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mv="urn:schemas-microsoft-com:mac:vml" xmlns:mx="http://schemas.microsoft.com/office/mac/excel/2008/main" xmlns:x14="http://schemas.microsoft.com/office/spreadsheetml/2009/9/main" xmlns:x14ac="http://schemas.microsoft.com/office/spreadsheetml/2009/9/ac" xmlns:x15="http://schemas.microsoft.com/office/spreadsheetml/2010/11/main" xmlns:xm="http://schemas.microsoft.com/office/excel/2006/main" mc:Ignorable="x15">
  <fileVersion appName="xl" lastEdited="4" lowestEdited="4" rupBuild="9302"/>
  <workbookPr/>
  <bookViews>
    <workbookView xWindow="240" yWindow="120" windowWidth="14940" windowHeight="9225" firstSheet="27" activeTab="32"/>
  </bookViews>
  <sheets>
    <sheet name="GOODREADS_DATA" sheetId="1" r:id="rId3"/>
    <sheet name="Evaluation Warning" sheetId="2" r:id="rId4"/>
    <sheet name="Evaluation Warning (1)" sheetId="3" r:id="rId5"/>
    <sheet name="Evaluation Warning (2)" sheetId="4" r:id="rId6"/>
    <sheet name="Evaluation Warning (3)" sheetId="5" r:id="rId7"/>
    <sheet name="Evaluation Warning (4)" sheetId="6" r:id="rId8"/>
    <sheet name="Evaluation Warning (5)" sheetId="7" r:id="rId9"/>
    <sheet name="Evaluation Warning (6)" sheetId="8" r:id="rId10"/>
    <sheet name="Evaluation Warning (7)" sheetId="9" r:id="rId11"/>
    <sheet name="Evaluation Warning (8)" sheetId="10" r:id="rId12"/>
    <sheet name="Evaluation Warning (9)" sheetId="11" r:id="rId13"/>
    <sheet name="Evaluation Warning (10)" sheetId="12" r:id="rId14"/>
    <sheet name="Evaluation Warning (11)" sheetId="13" r:id="rId15"/>
    <sheet name="Evaluation Warning (12)" sheetId="14" r:id="rId16"/>
    <sheet name="Evaluation Warning (13)" sheetId="15" r:id="rId17"/>
    <sheet name="Evaluation Warning (14)" sheetId="16" r:id="rId18"/>
    <sheet name="Evaluation Warning (15)" sheetId="17" r:id="rId19"/>
    <sheet name="Evaluation Warning (16)" sheetId="18" r:id="rId20"/>
    <sheet name="Evaluation Warning (17)" sheetId="19" r:id="rId21"/>
    <sheet name="Evaluation Warning (18)" sheetId="20" r:id="rId22"/>
    <sheet name="Evaluation Warning (19)" sheetId="21" r:id="rId23"/>
    <sheet name="Evaluation Warning (20)" sheetId="22" r:id="rId24"/>
    <sheet name="Evaluation Warning (21)" sheetId="23" r:id="rId25"/>
    <sheet name="Evaluation Warning (22)" sheetId="24" r:id="rId26"/>
    <sheet name="Evaluation Warning (23)" sheetId="25" r:id="rId27"/>
    <sheet name="Evaluation Warning (24)" sheetId="26" r:id="rId28"/>
    <sheet name="Evaluation Warning (25)" sheetId="27" r:id="rId29"/>
    <sheet name="Evaluation Warning (26)" sheetId="28" r:id="rId30"/>
    <sheet name="Evaluation Warning (27)" sheetId="29" r:id="rId31"/>
    <sheet name="Evaluation Warning (28)" sheetId="30" r:id="rId32"/>
    <sheet name="Evaluation Warning (29)" sheetId="31" r:id="rId33"/>
    <sheet name="Evaluation Warning (30)" sheetId="32" r:id="rId34"/>
    <sheet name="Evaluation Warning (31)" sheetId="33" r:id="rId35"/>
  </sheets>
  <definedNames/>
  <calcPr calcId="0"/>
</workbook>
</file>

<file path=xl/calcChain.xml><?xml version="1.0" encoding="utf-8"?>
<calcChain xmlns="http://schemas.openxmlformats.org/spreadsheetml/2006/main">
  <c r="G2539" i="1" l="1"/>
</calcChain>
</file>

<file path=xl/sharedStrings.xml><?xml version="1.0" encoding="utf-8"?>
<sst xmlns="http://schemas.openxmlformats.org/spreadsheetml/2006/main" count="21121" uniqueCount="10993">
  <si>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</si>
  <si>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</si>
  <si>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</si>
  <si>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</si>
  <si>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</si>
  <si>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</si>
  <si>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</si>
  <si>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</si>
  <si>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</si>
  <si>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</si>
  <si>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</si>
  <si>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</si>
  <si>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</si>
  <si>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</si>
  <si>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</si>
  <si>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</si>
  <si>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</si>
  <si>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</si>
  <si>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</si>
  <si>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</si>
  <si>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</si>
  <si>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</si>
  <si>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</si>
  <si>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Owned Copies</t>
  </si>
  <si>
    <t>Hidden Terrors: The Truth About U.S. Police Operations in Latin America (Forbidden Bookshelf Book 27)</t>
  </si>
  <si>
    <t>A. J. Langguth</t>
  </si>
  <si>
    <t>Langguth, A. J.</t>
  </si>
  <si>
    <t>Mark Crispin Miller</t>
  </si>
  <si>
    <t>Open Road Media</t>
  </si>
  <si>
    <t>Kindle Edition</t>
  </si>
  <si>
    <t xml:space="preserve">bib-torture, to-read, </t>
  </si>
  <si>
    <t>to-read (#2414), bib-torture (#22)</t>
  </si>
  <si>
    <t>to-read</t>
  </si>
  <si>
    <t>The History of Philosophy</t>
  </si>
  <si>
    <t>A.C. Grayling</t>
  </si>
  <si>
    <t>Grayling, A.C.</t>
  </si>
  <si>
    <t>Viking / Penguin</t>
  </si>
  <si>
    <t>Hardcover</t>
  </si>
  <si>
    <t xml:space="preserve">history, philosophy, to-read, </t>
  </si>
  <si>
    <t>to-read (#883), history (#24), philosophy (#43)</t>
  </si>
  <si>
    <t>Language, Truth, and Logic</t>
  </si>
  <si>
    <t>A.J. Ayer</t>
  </si>
  <si>
    <t>Ayer, A.J.</t>
  </si>
  <si>
    <t>Dover Publications (NYC)</t>
  </si>
  <si>
    <t>Paperback</t>
  </si>
  <si>
    <t xml:space="preserve">philosophy, to-read, </t>
  </si>
  <si>
    <t>to-read (#1812), philosophy (#62)</t>
  </si>
  <si>
    <t>A Dictionary of Philosophical Quotations</t>
  </si>
  <si>
    <t>Wiley-Blackwell</t>
  </si>
  <si>
    <t xml:space="preserve">dictionaries-and-encyclopedias, to-read, </t>
  </si>
  <si>
    <t>to-read (#860), dictionaries-and-encyclopedias (#3)</t>
  </si>
  <si>
    <t>Better Living Through Criticism: How to Think About Art, Pleasure, Beauty, and Truth</t>
  </si>
  <si>
    <t>A.O. Scott</t>
  </si>
  <si>
    <t>Scott, A.O.</t>
  </si>
  <si>
    <t>Penguin Press</t>
  </si>
  <si>
    <t xml:space="preserve">nonfiction, to-read, </t>
  </si>
  <si>
    <t>to-read (#2228), nonfiction (#228)</t>
  </si>
  <si>
    <t>The Penguin Dictionary of Classical Mythology</t>
  </si>
  <si>
    <t>A.R. Maxwell-Hyslop</t>
  </si>
  <si>
    <t>Maxwell-Hyslop, A.R.</t>
  </si>
  <si>
    <t>Pierre Grimal, Stephen Kershaw</t>
  </si>
  <si>
    <t>Penguin</t>
  </si>
  <si>
    <t>to-read (#847), dictionaries-and-encyclopedias (#35)</t>
  </si>
  <si>
    <t>Medusa’s Ankles: Selected Stories</t>
  </si>
  <si>
    <t>A.S. Byatt</t>
  </si>
  <si>
    <t>Byatt, A.S.</t>
  </si>
  <si>
    <t>Chatto &amp; Windus</t>
  </si>
  <si>
    <t>to-read (#916)</t>
  </si>
  <si>
    <t>Possession</t>
  </si>
  <si>
    <t>Vintage</t>
  </si>
  <si>
    <t xml:space="preserve">awards-man-booker-prize-winners, novels, to-read, </t>
  </si>
  <si>
    <t>to-read (#1261), awards-man-booker-prize-winners (#23), novels (#174)</t>
  </si>
  <si>
    <t>The Subtlety of Emotions</t>
  </si>
  <si>
    <t>Aaron Ben-Ze'ev</t>
  </si>
  <si>
    <t>Ben-Ze'ev, Aaron</t>
  </si>
  <si>
    <t>Bradford Books</t>
  </si>
  <si>
    <t>to-read (#669)</t>
  </si>
  <si>
    <t>The Arc of Love: How Our Romantic Lives Change over Time</t>
  </si>
  <si>
    <t>University of Chicago Press</t>
  </si>
  <si>
    <t>to-read (#668)</t>
  </si>
  <si>
    <t>When We Are No More: How Digital Memory Is Shaping Our Future</t>
  </si>
  <si>
    <t>Abby Smith Rumsey</t>
  </si>
  <si>
    <t>Rumsey, Abby Smith</t>
  </si>
  <si>
    <t>Bloomsbury Press</t>
  </si>
  <si>
    <t>to-read (#2234), nonfiction (#234)</t>
  </si>
  <si>
    <t>An Anatomy of Pain: How the Body and the Mind Experience and Endure Physical Suffering</t>
  </si>
  <si>
    <t>Abdul-Ghaaliq Lalkhen</t>
  </si>
  <si>
    <t>Lalkhen, Abdul-Ghaaliq</t>
  </si>
  <si>
    <t>Scribner</t>
  </si>
  <si>
    <t>to-read (#1971)</t>
  </si>
  <si>
    <t>Toward a Psychology of Being</t>
  </si>
  <si>
    <t>Abraham H. Maslow</t>
  </si>
  <si>
    <t>Maslow, Abraham H.</t>
  </si>
  <si>
    <t>Wiley</t>
  </si>
  <si>
    <t>to-read (#897)</t>
  </si>
  <si>
    <t>The Prophets</t>
  </si>
  <si>
    <t>Abraham Joshua Heschel</t>
  </si>
  <si>
    <t>Heschel, Abraham Joshua</t>
  </si>
  <si>
    <t>Harper Perennial Modern Classics (NY)</t>
  </si>
  <si>
    <t xml:space="preserve">0, authors-argentine-authors, novels, to-read, </t>
  </si>
  <si>
    <t>to-read (#1198)</t>
  </si>
  <si>
    <t>Who Is Man?</t>
  </si>
  <si>
    <t>Stanford University Press (CA)</t>
  </si>
  <si>
    <t>to-read (#913)</t>
  </si>
  <si>
    <t>Ada, the Enchantress of Numbers: A Selection from the Letters of Lord Byron's Daughter and Her Description of the First Computer</t>
  </si>
  <si>
    <t>Ada Lovelace</t>
  </si>
  <si>
    <t>Lovelace, Ada</t>
  </si>
  <si>
    <t>Betty Alexandra Toole</t>
  </si>
  <si>
    <t>Strawberry Press</t>
  </si>
  <si>
    <t xml:space="preserve">biographies-etc, to-read, </t>
  </si>
  <si>
    <t>to-read (#1038), biographies-etc (#10)</t>
  </si>
  <si>
    <t>Pro Angular 9: Build Powerful and Dynamic Web Apps</t>
  </si>
  <si>
    <t>Adam Freeman</t>
  </si>
  <si>
    <t>Freeman, Adam</t>
  </si>
  <si>
    <t>Apress</t>
  </si>
  <si>
    <t xml:space="preserve">0, to-read, </t>
  </si>
  <si>
    <t>to-read (#1663), 0 (#230)</t>
  </si>
  <si>
    <t>The Goldstone Report: The Legacy of the Landmark Investigation of the Gaza Conflict</t>
  </si>
  <si>
    <t>Adam Horowitz</t>
  </si>
  <si>
    <t>Horowitz, Adam</t>
  </si>
  <si>
    <t>Archbishop Desmond Tutu, Naomi Klein, Lizzy Ratner, Philip Weiss</t>
  </si>
  <si>
    <t>Bold Type Books</t>
  </si>
  <si>
    <t>to-read (#2374), nonfiction (#250)</t>
  </si>
  <si>
    <t>The Medicine Burns: And Other Stories (High Risk Books)</t>
  </si>
  <si>
    <t>Adam Klein</t>
  </si>
  <si>
    <t>Klein, Adam</t>
  </si>
  <si>
    <t>Serpent's Tail</t>
  </si>
  <si>
    <t xml:space="preserve">short-stories, to-read, </t>
  </si>
  <si>
    <t>to-read (#462), short-stories (#51)</t>
  </si>
  <si>
    <t>The Magical Calendar: A Synthesis of Magial Symbolism from the Seventeenth-Century Renaissance of Medieval Occultism (Magnum Opus Hermetic Sourceworks Series)</t>
  </si>
  <si>
    <t>Adam McLean</t>
  </si>
  <si>
    <t>McLean, Adam</t>
  </si>
  <si>
    <t>Phanes Press</t>
  </si>
  <si>
    <t>to-read (#960)</t>
  </si>
  <si>
    <t>Deep Sniff: A History of Poppers and Queer Futures</t>
  </si>
  <si>
    <t>Adam Zmith</t>
  </si>
  <si>
    <t>Zmith, Adam</t>
  </si>
  <si>
    <t>Repeater</t>
  </si>
  <si>
    <t xml:space="preserve">history, nonfiction, to-read, </t>
  </si>
  <si>
    <t>to-read (#839), history (#57), nonfiction (#133)</t>
  </si>
  <si>
    <t>Minor Detail</t>
  </si>
  <si>
    <t>Adania Shibli</t>
  </si>
  <si>
    <t>Shibli, Adania</t>
  </si>
  <si>
    <t>Elisabeth Jaquette</t>
  </si>
  <si>
    <t>Fitzcarraldo Editions</t>
  </si>
  <si>
    <t xml:space="preserve">books-from-twitter, to-read, </t>
  </si>
  <si>
    <t>to-read (#2260), books-from-twitter (#71)</t>
  </si>
  <si>
    <t>The Element Encyclopedia of Signs and Symbols: The Ultimate A-Z Guide from Alchemy to the Zodiac</t>
  </si>
  <si>
    <t>Adele Nozedar</t>
  </si>
  <si>
    <t>Nozedar, Adele</t>
  </si>
  <si>
    <t>HarperCollins Publishers</t>
  </si>
  <si>
    <t>to-read (#1645), 0 (#112)</t>
  </si>
  <si>
    <t>Borges (Spanish Edition)</t>
  </si>
  <si>
    <t>Adolfo Bioy Casares</t>
  </si>
  <si>
    <t>Casares, Adolfo Bioy</t>
  </si>
  <si>
    <t>DESTINO</t>
  </si>
  <si>
    <t xml:space="preserve">authors-argentine-authors, biographies-etc, nonfiction, to-read, </t>
  </si>
  <si>
    <t>to-read (#562), nonfiction (#199), biographies-etc (#56)</t>
  </si>
  <si>
    <t>La invención de Morel</t>
  </si>
  <si>
    <t>Jorge Luis Borges</t>
  </si>
  <si>
    <t>Emece Editores</t>
  </si>
  <si>
    <t xml:space="preserve">authors-martinican-authors, to-read, </t>
  </si>
  <si>
    <t>to-read (#980), novels (#53), 0 (#392)</t>
  </si>
  <si>
    <t>Diario De La Guerra Del Cerdo (Spanish Version)</t>
  </si>
  <si>
    <t>Circulo De Lectores (Courtesy of Emece Editores)</t>
  </si>
  <si>
    <t>to-read (#1000), novels (#10), 0 (#299)</t>
  </si>
  <si>
    <t>When I Think of My Missing Head</t>
  </si>
  <si>
    <t>Adolfo Couve</t>
  </si>
  <si>
    <t>Couve, Adolfo</t>
  </si>
  <si>
    <t>Jessica Sequeira</t>
  </si>
  <si>
    <t>Snuggly Books</t>
  </si>
  <si>
    <t>to-read (#1133)</t>
  </si>
  <si>
    <t>Emmanuel Levinas: Basic Philosophical Writings</t>
  </si>
  <si>
    <t>Adriaan T. Peperzak</t>
  </si>
  <si>
    <t>Peperzak, Adriaan T.</t>
  </si>
  <si>
    <t>Simon Critchley, Robert Bernasconi</t>
  </si>
  <si>
    <t>Indiana University Press</t>
  </si>
  <si>
    <t>to-read (#1129), philosophy (#60)</t>
  </si>
  <si>
    <t>A Brief History of the Philosophy of Time</t>
  </si>
  <si>
    <t>Adrian Bardon</t>
  </si>
  <si>
    <t>Bardon, Adrian</t>
  </si>
  <si>
    <t>Oxford University Press</t>
  </si>
  <si>
    <t>to-read (#885), history (#51), philosophy (#45)</t>
  </si>
  <si>
    <t>Doomed and Famous: Selected Obituaries</t>
  </si>
  <si>
    <t>Adrian Dannatt</t>
  </si>
  <si>
    <t>Dannatt, Adrian</t>
  </si>
  <si>
    <t>Hugo Guinness</t>
  </si>
  <si>
    <t>Sequence Press</t>
  </si>
  <si>
    <t>to-read (#829)</t>
  </si>
  <si>
    <t>Words and Buildings: A Vocabulary of Modern Architecture</t>
  </si>
  <si>
    <t>Adrian Forty</t>
  </si>
  <si>
    <t>Forty, Adrian</t>
  </si>
  <si>
    <t>Thames &amp; Hudson</t>
  </si>
  <si>
    <t>to-read (#584)</t>
  </si>
  <si>
    <t>Compulsory Heterosexuality and Lesbian Existence</t>
  </si>
  <si>
    <t>Adrienne Rich</t>
  </si>
  <si>
    <t>Rich, Adrienne</t>
  </si>
  <si>
    <t>Onlywomen Press</t>
  </si>
  <si>
    <t>Unknown Binding</t>
  </si>
  <si>
    <t>to-read (#606)</t>
  </si>
  <si>
    <t>Prometheus Bound (New York Review Books Classics)</t>
  </si>
  <si>
    <t>Aeschylus</t>
  </si>
  <si>
    <t>Aeschylus, Aeschylus</t>
  </si>
  <si>
    <t>Joel Agee</t>
  </si>
  <si>
    <t>NYRB Classics</t>
  </si>
  <si>
    <t xml:space="preserve">0, currently-reading, greeks-romans-etc, mythology, plays, </t>
  </si>
  <si>
    <t>plays (#5), mythology (#4), greeks-romans-etc (#8), 0 (#402), currently-reading (#1)</t>
  </si>
  <si>
    <t>currently-reading</t>
  </si>
  <si>
    <t>The Things We've Seen</t>
  </si>
  <si>
    <t>Agustín Fernández Mallo</t>
  </si>
  <si>
    <t>Mallo, Agustín Fernández</t>
  </si>
  <si>
    <t>Thomas Bunstead</t>
  </si>
  <si>
    <t>to-read (#1113)</t>
  </si>
  <si>
    <t>The Carnivorous Lamb</t>
  </si>
  <si>
    <t>Agustin Gomez-Arcos</t>
  </si>
  <si>
    <t>Gomez-Arcos, Agustin</t>
  </si>
  <si>
    <t>Sharon G. Feldman</t>
  </si>
  <si>
    <t>Arsenal Pulp Press</t>
  </si>
  <si>
    <t xml:space="preserve">novels, queer-gender-etc, to-read, </t>
  </si>
  <si>
    <t>to-read (#361), novels (#127), queer-gender-etc (#34)</t>
  </si>
  <si>
    <t>Journal of a Homecoming / Cahier d'un retour au pays natal</t>
  </si>
  <si>
    <t>Aimé Césaire</t>
  </si>
  <si>
    <t>Césaire, Aimé</t>
  </si>
  <si>
    <t>N. Gregson Davis, Francis Abiola Irele</t>
  </si>
  <si>
    <t>Duke University Press</t>
  </si>
  <si>
    <t xml:space="preserve">authors-algerian-authors, authors-french-authors, to-read, </t>
  </si>
  <si>
    <t>to-read (#768)</t>
  </si>
  <si>
    <t>Like a Misunderstood Salvation and Other Poems (Avant-Garde &amp; Modernism Collection)</t>
  </si>
  <si>
    <t>Annette Smith, Dominic Thomas</t>
  </si>
  <si>
    <t>Northwestern University Press</t>
  </si>
  <si>
    <t>to-read (#767)</t>
  </si>
  <si>
    <t>The Complete Poetry of Aime Cesaire</t>
  </si>
  <si>
    <t>Clayton Eshleman, A. James Arnold</t>
  </si>
  <si>
    <t>Wesleyan University Press</t>
  </si>
  <si>
    <t xml:space="preserve">authors-martinican-authors, poetry, to-read, </t>
  </si>
  <si>
    <t>to-read (#773), poetry (#61)</t>
  </si>
  <si>
    <t>The Particular Sadness of Lemon Cake</t>
  </si>
  <si>
    <t>Aimee Bender</t>
  </si>
  <si>
    <t>Bender, Aimee</t>
  </si>
  <si>
    <t>Knopf Doubleday Publishing Group</t>
  </si>
  <si>
    <t>to-read (#89)</t>
  </si>
  <si>
    <t>How to Disappear: Notes on Invisibility in a Time of Transparency</t>
  </si>
  <si>
    <t>Akiko Busch</t>
  </si>
  <si>
    <t>Busch, Akiko</t>
  </si>
  <si>
    <t>to-read (#310)</t>
  </si>
  <si>
    <t>The Savage God: A Study of Suicide</t>
  </si>
  <si>
    <t>Al Álvarez</t>
  </si>
  <si>
    <t>Álvarez, Al</t>
  </si>
  <si>
    <t>W. W. Norton &amp; Company</t>
  </si>
  <si>
    <t xml:space="preserve">biblio-noonday-demon, to-read, </t>
  </si>
  <si>
    <t>to-read (#2106), biblio-noonday-demon (#25)</t>
  </si>
  <si>
    <t>More Things Than Are Dreamt Of: Masterpieces of Supernatural Horror (Limelight)</t>
  </si>
  <si>
    <t>Alain Silver</t>
  </si>
  <si>
    <t>Silver, Alain</t>
  </si>
  <si>
    <t>James Ursini</t>
  </si>
  <si>
    <t>Limelight Editions</t>
  </si>
  <si>
    <t>to-read (#436)</t>
  </si>
  <si>
    <t>The Line of Beauty</t>
  </si>
  <si>
    <t>Alan Hollinghurst</t>
  </si>
  <si>
    <t>Hollinghurst, Alan</t>
  </si>
  <si>
    <t>Bloomsbury</t>
  </si>
  <si>
    <t xml:space="preserve">awards-man-booker-prize-winners, to-read, </t>
  </si>
  <si>
    <t>to-read (#1310), awards-man-booker-prize-winners (#38)</t>
  </si>
  <si>
    <t>The Pleasures of Reading in an Age of Distraction</t>
  </si>
  <si>
    <t>Alan Jacobs</t>
  </si>
  <si>
    <t>Jacobs, Alan</t>
  </si>
  <si>
    <t>to-read (#1570)</t>
  </si>
  <si>
    <t>Einstein's Dreams</t>
  </si>
  <si>
    <t>Alan Lightman</t>
  </si>
  <si>
    <t>Lightman, Alan</t>
  </si>
  <si>
    <t>Warner Books</t>
  </si>
  <si>
    <t>read</t>
  </si>
  <si>
    <t>Historia del dinero</t>
  </si>
  <si>
    <t>Alan Pauls</t>
  </si>
  <si>
    <t>Pauls, Alan</t>
  </si>
  <si>
    <t>Anagrama</t>
  </si>
  <si>
    <t>to-read (#516)</t>
  </si>
  <si>
    <t>Michel Foucault: The Will to Truth</t>
  </si>
  <si>
    <t>Alan Sheridan</t>
  </si>
  <si>
    <t>Sheridan, Alan</t>
  </si>
  <si>
    <t>Routledge</t>
  </si>
  <si>
    <t xml:space="preserve">foucault, philosophy, to-read, </t>
  </si>
  <si>
    <t>to-read (#1778), philosophy (#68), foucault (#2)</t>
  </si>
  <si>
    <t>Words Without Borders: The World Through the Eyes of Writers: An Anthology</t>
  </si>
  <si>
    <t>Alane Salierno Mason</t>
  </si>
  <si>
    <t>Mason, Alane Salierno</t>
  </si>
  <si>
    <t>Samantha Schnee, Parashuram, Goli Taraghi, Jabbar Yussin Hussin, Saniyya Saleh, Adania Shibli, Hassan Khader, Gamal al-Ghitani, Akinwumi Isola, Gabriela Adameșteanu, Senadin Musabegović, Giorgio Manganelli, Eleonora Hummel, Bronisław Maj, Myriam Anissimov, Etel Adnan, Johan Harstad, Juan Villoro, Mario Bellatin, Ambar Past, Horacio Castellanos Moya, Evelyne Trouillot, Marcela Sola, Juan José Saer, Juan Forn, Dedi Felman, Andre Dubus, Ma Jian, Can Xue, Jo Kyung Ran, Seno Gumira Ajidarma</t>
  </si>
  <si>
    <t>Anchor</t>
  </si>
  <si>
    <t>to-read (#807)</t>
  </si>
  <si>
    <t>Poor Things</t>
  </si>
  <si>
    <t>Alasdair Gray</t>
  </si>
  <si>
    <t>Gray, Alasdair</t>
  </si>
  <si>
    <t>Bloomsbury Publishing PLC</t>
  </si>
  <si>
    <t>to-read (#2268)</t>
  </si>
  <si>
    <t>Butler's Lives of the Saints: July: New Full Edition (Volume 7)</t>
  </si>
  <si>
    <t>Alban Butler</t>
  </si>
  <si>
    <t>Butler, Alban</t>
  </si>
  <si>
    <t>Peter     Doyle</t>
  </si>
  <si>
    <t>Liturgical Press</t>
  </si>
  <si>
    <t>to-read (#864)</t>
  </si>
  <si>
    <t>Lives of the Saints: For Every Day in the Year</t>
  </si>
  <si>
    <t>TAN Books</t>
  </si>
  <si>
    <t>to-read (#863)</t>
  </si>
  <si>
    <t>The Rebel</t>
  </si>
  <si>
    <t>Albert Camus</t>
  </si>
  <si>
    <t>Camus, Albert</t>
  </si>
  <si>
    <t xml:space="preserve">authors-argentine-authors, authors-canadian-authors, authors-jewish-authors, to-read, </t>
  </si>
  <si>
    <t>to-read (#32)</t>
  </si>
  <si>
    <t>Caligula and Cross Purpose</t>
  </si>
  <si>
    <t>Penguin Books</t>
  </si>
  <si>
    <t>to-read (#1696)</t>
  </si>
  <si>
    <t>The First Man</t>
  </si>
  <si>
    <t>David Hapgood</t>
  </si>
  <si>
    <t>G K Hall &amp; Co</t>
  </si>
  <si>
    <t>to-read (#34)</t>
  </si>
  <si>
    <t>Exile and the Kingdom</t>
  </si>
  <si>
    <t>Justin O'Brien</t>
  </si>
  <si>
    <t>Vintage International</t>
  </si>
  <si>
    <t>to-read (#31)</t>
  </si>
  <si>
    <t>The Myth of Sisyphus and Other Essays</t>
  </si>
  <si>
    <t xml:space="preserve">authors-algerian-authors, authors-french-authors, biblio-noonday-demon, to-read, </t>
  </si>
  <si>
    <t>to-read (#2123), biblio-noonday-demon (#44)</t>
  </si>
  <si>
    <t>The Stranger</t>
  </si>
  <si>
    <t>Matthew  Ward</t>
  </si>
  <si>
    <t xml:space="preserve">authors-algerian-authors, authors-french-authors, z-favorites-shelf, </t>
  </si>
  <si>
    <t>z-favorites-shelf (#32)</t>
  </si>
  <si>
    <t>Caligula and Three Other Plays (Vintage International)</t>
  </si>
  <si>
    <t>Ryan Bloom</t>
  </si>
  <si>
    <t xml:space="preserve">authors-algerian-authors, authors-french-authors, plays, to-read, </t>
  </si>
  <si>
    <t>to-read (#1201), plays (#13)</t>
  </si>
  <si>
    <t>A Happy Death</t>
  </si>
  <si>
    <t>Richard Howard</t>
  </si>
  <si>
    <t xml:space="preserve">0, authors-algerian-authors, authors-french-authors, novels, to-read, </t>
  </si>
  <si>
    <t>to-read (#33), novels (#47), 0 (#366)</t>
  </si>
  <si>
    <t>Many Circles: New and Selected Essays</t>
  </si>
  <si>
    <t>Albert Goldbarth</t>
  </si>
  <si>
    <t>Goldbarth, Albert</t>
  </si>
  <si>
    <t>Graywolf Press</t>
  </si>
  <si>
    <t xml:space="preserve">essays, nonfiction, to-read, </t>
  </si>
  <si>
    <t>to-read (#526), essays (#3), nonfiction (#164)</t>
  </si>
  <si>
    <t>The Rhetoric of Reaction: Perversity, Futility, Jeopardy</t>
  </si>
  <si>
    <t>Albert O. Hirschman</t>
  </si>
  <si>
    <t>Hirschman, Albert O.</t>
  </si>
  <si>
    <t>Belknap Press</t>
  </si>
  <si>
    <t>to-read (#941)</t>
  </si>
  <si>
    <t>Los Sorias (Spanish Edition)</t>
  </si>
  <si>
    <t>Alberto Laiseca</t>
  </si>
  <si>
    <t>Laiseca, Alberto</t>
  </si>
  <si>
    <t>Cuatro Vientos</t>
  </si>
  <si>
    <t>to-read (#1592), books-from-twitter (#11)</t>
  </si>
  <si>
    <t>A History of Reading</t>
  </si>
  <si>
    <t>Alberto Manguel</t>
  </si>
  <si>
    <t>Manguel, Alberto</t>
  </si>
  <si>
    <t xml:space="preserve">authors-english-authors, to-read, </t>
  </si>
  <si>
    <t>to-read (#1745)</t>
  </si>
  <si>
    <t>With Borges</t>
  </si>
  <si>
    <t>Telegram Books</t>
  </si>
  <si>
    <t>to-read (#183)</t>
  </si>
  <si>
    <t>The Time of Indifference</t>
  </si>
  <si>
    <t>Alberto Moravia</t>
  </si>
  <si>
    <t>Moravia, Alberto</t>
  </si>
  <si>
    <t>Tami Calliope</t>
  </si>
  <si>
    <t>Zoland Books</t>
  </si>
  <si>
    <t>to-read (#622)</t>
  </si>
  <si>
    <t>Fanaticism: On the Uses of an Idea</t>
  </si>
  <si>
    <t>Alberto Toscano</t>
  </si>
  <si>
    <t>Toscano, Alberto</t>
  </si>
  <si>
    <t>Verso</t>
  </si>
  <si>
    <t>to-read (#1392), 0 (#51)</t>
  </si>
  <si>
    <t>Repúblicas defraudadas (Spanish Edition)</t>
  </si>
  <si>
    <t>Alberto Vergara</t>
  </si>
  <si>
    <t>Vergara, Alberto</t>
  </si>
  <si>
    <t>Crítica Perú</t>
  </si>
  <si>
    <t>to-read (#2434), nonfiction (#275)</t>
  </si>
  <si>
    <t>La loca de la puerta de al lado</t>
  </si>
  <si>
    <t>Alda Merini</t>
  </si>
  <si>
    <t>Merini, Alda</t>
  </si>
  <si>
    <t>Raquel Vicedo</t>
  </si>
  <si>
    <t>Tránsito</t>
  </si>
  <si>
    <t>to-read (#831)</t>
  </si>
  <si>
    <t>Interesting Monsters</t>
  </si>
  <si>
    <t>Aldo Alvarez</t>
  </si>
  <si>
    <t>Alvarez, Aldo</t>
  </si>
  <si>
    <t xml:space="preserve">0, short-stories, to-read, </t>
  </si>
  <si>
    <t>to-read (#1489), short-stories (#8), 0 (#422)</t>
  </si>
  <si>
    <t>Latin America's Radical Left: Rebellion and Cold War in the Global 1960s (Cambridge Latin American Studies Book 107)</t>
  </si>
  <si>
    <t>Aldo Marchesi</t>
  </si>
  <si>
    <t>Marchesi, Aldo</t>
  </si>
  <si>
    <t>Cambridge University Press</t>
  </si>
  <si>
    <t>to-read (#680)</t>
  </si>
  <si>
    <t>The Devils of Loudun</t>
  </si>
  <si>
    <t>Aldous Huxley</t>
  </si>
  <si>
    <t>Huxley, Aldous</t>
  </si>
  <si>
    <t>Vintage Classics</t>
  </si>
  <si>
    <t xml:space="preserve">authors-russian-authors, to-read, </t>
  </si>
  <si>
    <t>to-read (#156)</t>
  </si>
  <si>
    <t>Brave New World</t>
  </si>
  <si>
    <t>Harper Perennial Modern Classics</t>
  </si>
  <si>
    <t>to-read (#1517)</t>
  </si>
  <si>
    <t>The Doors of Perception / Heaven and Hell</t>
  </si>
  <si>
    <t>to-read (#25)</t>
  </si>
  <si>
    <t>General Principles of Astrology</t>
  </si>
  <si>
    <t>Aleister Crowley</t>
  </si>
  <si>
    <t>Crowley, Aleister</t>
  </si>
  <si>
    <t>Evangeline Adams, Hymenaeus Beta</t>
  </si>
  <si>
    <t>Weiser Books</t>
  </si>
  <si>
    <t>to-read (#1703)</t>
  </si>
  <si>
    <t>The Book of Lies</t>
  </si>
  <si>
    <t>Samuel Weiser</t>
  </si>
  <si>
    <t>to-read (#1143)</t>
  </si>
  <si>
    <t>El sol mueve la sombra de las cosas quietas</t>
  </si>
  <si>
    <t>Alejandra Kamiya</t>
  </si>
  <si>
    <t>Kamiya, Alejandra</t>
  </si>
  <si>
    <t>Bajo la Luna</t>
  </si>
  <si>
    <t>to-read (#1028), short-stories (#12), 0 (#537)</t>
  </si>
  <si>
    <t>Extracting the Stone of Madness: Poems 1962 - 1972</t>
  </si>
  <si>
    <t>Alejandra Pizarnik</t>
  </si>
  <si>
    <t>Pizarnik, Alejandra</t>
  </si>
  <si>
    <t>Yvette Siegert</t>
  </si>
  <si>
    <t>New Directions</t>
  </si>
  <si>
    <t>ebook</t>
  </si>
  <si>
    <t xml:space="preserve">poetry, to-read, </t>
  </si>
  <si>
    <t>to-read (#788), poetry (#69)</t>
  </si>
  <si>
    <t>Íntima distancia</t>
  </si>
  <si>
    <t>Alejandra Zina</t>
  </si>
  <si>
    <t>Zina, Alejandra</t>
  </si>
  <si>
    <t>Dábale Arroz</t>
  </si>
  <si>
    <t>to-read (#2436)</t>
  </si>
  <si>
    <t>The Way of Tarot: The Spiritual Teacher in the Cards</t>
  </si>
  <si>
    <t>Alejandro Jodorowsky</t>
  </si>
  <si>
    <t>Jodorowsky, Alejandro</t>
  </si>
  <si>
    <t>Marianne Costa</t>
  </si>
  <si>
    <t>Destiny Books</t>
  </si>
  <si>
    <t>to-read (#932)</t>
  </si>
  <si>
    <t>The Kingdom of This World</t>
  </si>
  <si>
    <t>Alejo Carpentier</t>
  </si>
  <si>
    <t>Carpentier, Alejo</t>
  </si>
  <si>
    <t>Harriet de Onís</t>
  </si>
  <si>
    <t>Farrar, Straus and Giroux</t>
  </si>
  <si>
    <t>to-read (#1051)</t>
  </si>
  <si>
    <t>One Day in the Life of Ivan Denisovich</t>
  </si>
  <si>
    <t>Aleksandr Solzhenitsyn</t>
  </si>
  <si>
    <t>Solzhenitsyn, Aleksandr</t>
  </si>
  <si>
    <t>Ronald Hingley, H.T. Willetts, Leopold Labedz, Max Hayward</t>
  </si>
  <si>
    <t>to-read (#875)</t>
  </si>
  <si>
    <t>Love and Other Poems</t>
  </si>
  <si>
    <t>Alex Dimitrov</t>
  </si>
  <si>
    <t>Dimitrov, Alex</t>
  </si>
  <si>
    <t>Copper Canyon Press</t>
  </si>
  <si>
    <t xml:space="preserve">0, poetry, to-read, </t>
  </si>
  <si>
    <t>to-read (#779), poetry (#17), 0 (#534)</t>
  </si>
  <si>
    <t>The Coma</t>
  </si>
  <si>
    <t>Alex Garland</t>
  </si>
  <si>
    <t>Garland, Alex</t>
  </si>
  <si>
    <t>Faber &amp; Faber</t>
  </si>
  <si>
    <t>to-read (#142)</t>
  </si>
  <si>
    <t>The End of Policing</t>
  </si>
  <si>
    <t>Alex S. Vitale</t>
  </si>
  <si>
    <t>Vitale, Alex S.</t>
  </si>
  <si>
    <t>to-read (#227)</t>
  </si>
  <si>
    <t>A Scheme of Heaven: The History of Astrology and the Search for our Destiny in Data</t>
  </si>
  <si>
    <t>Alexander Boxer</t>
  </si>
  <si>
    <t>Boxer, Alexander</t>
  </si>
  <si>
    <t xml:space="preserve">history, to-read, </t>
  </si>
  <si>
    <t>to-read (#1702), history (#86)</t>
  </si>
  <si>
    <t>How to Write an Autobiographical Novel</t>
  </si>
  <si>
    <t>Alexander Chee</t>
  </si>
  <si>
    <t>Chee, Alexander</t>
  </si>
  <si>
    <t>Mariner Books</t>
  </si>
  <si>
    <t xml:space="preserve">essays, nonfiction, queer-gender-etc, </t>
  </si>
  <si>
    <t>essays (#6), nonfiction (#160), queer-gender-etc (#30)</t>
  </si>
  <si>
    <t>Whiteout: The CIA, Drugs and the Press</t>
  </si>
  <si>
    <t>Alexander Cockburn</t>
  </si>
  <si>
    <t>Cockburn, Alexander</t>
  </si>
  <si>
    <t>Jeffrey St. Clair</t>
  </si>
  <si>
    <t>to-read (#2403), bib-torture (#12)</t>
  </si>
  <si>
    <t>Genocide: An Anthropological Reader</t>
  </si>
  <si>
    <t>Alexander Laban Hinton</t>
  </si>
  <si>
    <t>Hinton, Alexander Laban</t>
  </si>
  <si>
    <t xml:space="preserve">biblio-shock-doctrine, to-read, </t>
  </si>
  <si>
    <t>to-read (#2308), biblio-shock-doctrine (#43)</t>
  </si>
  <si>
    <t>Alchemy &amp; Mysticism</t>
  </si>
  <si>
    <t>Alexander Roob</t>
  </si>
  <si>
    <t>Roob, Alexander</t>
  </si>
  <si>
    <t>TASCHEN</t>
  </si>
  <si>
    <t xml:space="preserve">0, mythology, nonfiction, to-read, </t>
  </si>
  <si>
    <t>to-read (#995), mythology (#1), 0 (#394), nonfiction (#84)</t>
  </si>
  <si>
    <t>Tarot: The Origins, Meaning and Uses of the Cards (Penguin 3737)</t>
  </si>
  <si>
    <t>Alfred Douglas</t>
  </si>
  <si>
    <t>Douglas, Alfred</t>
  </si>
  <si>
    <t>David Sheridan</t>
  </si>
  <si>
    <t xml:space="preserve">tarot, to-read, </t>
  </si>
  <si>
    <t>to-read (#1062), tarot (#11)</t>
  </si>
  <si>
    <t>Communism</t>
  </si>
  <si>
    <t>Alfred G. Meyer</t>
  </si>
  <si>
    <t>Meyer, Alfred G.</t>
  </si>
  <si>
    <t>Random House, Inc.</t>
  </si>
  <si>
    <t>to-read (#1382), 0 (#49)</t>
  </si>
  <si>
    <t>My Face for the World to See</t>
  </si>
  <si>
    <t>Alfred Hayes</t>
  </si>
  <si>
    <t>Hayes, Alfred</t>
  </si>
  <si>
    <t>David Thomson</t>
  </si>
  <si>
    <t xml:space="preserve">novels, to-read, </t>
  </si>
  <si>
    <t>to-read (#986), novels (#49)</t>
  </si>
  <si>
    <t>A Question of Torture: CIA Interrogation from the Cold War to the War on Terror</t>
  </si>
  <si>
    <t>Alfred W. McCoy</t>
  </si>
  <si>
    <t>McCoy, Alfred W.</t>
  </si>
  <si>
    <t>Holt Paperbacks</t>
  </si>
  <si>
    <t>biblio-shock-doctrine</t>
  </si>
  <si>
    <t>biblio-shock-doctrine (#22)</t>
  </si>
  <si>
    <t>Orpheus and the Roots of Platonism</t>
  </si>
  <si>
    <t>Algis Uždavinys</t>
  </si>
  <si>
    <t>Uždavinys, Algis</t>
  </si>
  <si>
    <t>Matheson Trust</t>
  </si>
  <si>
    <t xml:space="preserve">greeks-romans-etc, philosophy, to-read, </t>
  </si>
  <si>
    <t>to-read (#905), philosophy (#51), greeks-romans-etc (#18)</t>
  </si>
  <si>
    <t>How to Speak Money: The Language and Knowledge You Need Now</t>
  </si>
  <si>
    <t>Ali Velshi</t>
  </si>
  <si>
    <t>Velshi, Ali</t>
  </si>
  <si>
    <t>Christine Romans</t>
  </si>
  <si>
    <t>to-read (#678)</t>
  </si>
  <si>
    <t>The History of Hell</t>
  </si>
  <si>
    <t>Alice K. Turner</t>
  </si>
  <si>
    <t>Turner, Alice K.</t>
  </si>
  <si>
    <t>Donadio &amp; Olson</t>
  </si>
  <si>
    <t>HarperOne</t>
  </si>
  <si>
    <t>to-read (#925)</t>
  </si>
  <si>
    <t>Too Much Happiness: Stories</t>
  </si>
  <si>
    <t>Alice Munro</t>
  </si>
  <si>
    <t>Munro, Alice</t>
  </si>
  <si>
    <t>Alfred A. Knopf</t>
  </si>
  <si>
    <t>to-read (#1428), short-stories (#7), 0 (#506)</t>
  </si>
  <si>
    <t>The Emotional Life of the Toddler</t>
  </si>
  <si>
    <t>Alicia F. Lieberman</t>
  </si>
  <si>
    <t>Lieberman, Alicia F.</t>
  </si>
  <si>
    <t>Free Press</t>
  </si>
  <si>
    <t>to-read (#1676)</t>
  </si>
  <si>
    <t>The Little School: Tales of Disappearance and Survival</t>
  </si>
  <si>
    <t>Alicia Partnoy</t>
  </si>
  <si>
    <t>Partnoy, Alicia</t>
  </si>
  <si>
    <t>Cleis Press</t>
  </si>
  <si>
    <t xml:space="preserve">books-about-argentina, nonfiction, to-read, </t>
  </si>
  <si>
    <t>to-read (#2209), nonfiction (#224), books-about-argentina (#20)</t>
  </si>
  <si>
    <t>Voices of Madness, 1683-1796</t>
  </si>
  <si>
    <t>Allan Ingram</t>
  </si>
  <si>
    <t>Ingram, Allan</t>
  </si>
  <si>
    <t>Sutton Pub Ltd</t>
  </si>
  <si>
    <t>to-read (#2105), biblio-noonday-demon (#24)</t>
  </si>
  <si>
    <t>Essays on the Blurring of Art and Life</t>
  </si>
  <si>
    <t>Allan Kaprow</t>
  </si>
  <si>
    <t>Kaprow, Allan</t>
  </si>
  <si>
    <t>Jeff Kelley</t>
  </si>
  <si>
    <t>University of California Press</t>
  </si>
  <si>
    <t xml:space="preserve">essays, to-read, </t>
  </si>
  <si>
    <t>to-read (#128), essays (#39)</t>
  </si>
  <si>
    <t>Deliberate Prose: Selected Essays, 1952-1995</t>
  </si>
  <si>
    <t>Allen Ginsberg</t>
  </si>
  <si>
    <t>Ginsberg, Allen</t>
  </si>
  <si>
    <t>Harper</t>
  </si>
  <si>
    <t>cloth</t>
  </si>
  <si>
    <t xml:space="preserve">authors-usa-authors, essays, poetry, to-read, </t>
  </si>
  <si>
    <t>to-read (#1387), poetry (#45), essays (#38)</t>
  </si>
  <si>
    <t>The Book of Martyrdom and Artifice: First Journals and Poems, 1937-1952</t>
  </si>
  <si>
    <t>Juanita Lieberman-Plimpton, Bill Morgan</t>
  </si>
  <si>
    <t>Da Capo Press</t>
  </si>
  <si>
    <t xml:space="preserve">authors-usa-authors, biographies-etc, to-read, </t>
  </si>
  <si>
    <t>to-read (#6), biographies-etc (#34)</t>
  </si>
  <si>
    <t>Howl and Other Poems</t>
  </si>
  <si>
    <t>City Lights</t>
  </si>
  <si>
    <t xml:space="preserve">authors-argentine-authors, to-read, </t>
  </si>
  <si>
    <t>poetry (#5), 0 (#362)</t>
  </si>
  <si>
    <t>Collected Poems 1947-1997</t>
  </si>
  <si>
    <t>0 (#270), poetry (#46)</t>
  </si>
  <si>
    <t>Looking for History: Dispatches from Latin America</t>
  </si>
  <si>
    <t>Alma Guillermoprieto</t>
  </si>
  <si>
    <t>Guillermoprieto, Alma</t>
  </si>
  <si>
    <t>to-read (#625)</t>
  </si>
  <si>
    <t>Caligula: A Biography</t>
  </si>
  <si>
    <t>Aloys Winterling</t>
  </si>
  <si>
    <t>Winterling, Aloys</t>
  </si>
  <si>
    <t>Deborah Lucas Schneider, Glenn W. Most, Paul Psoinos</t>
  </si>
  <si>
    <t xml:space="preserve">biographies-etc, greeks-romans-etc, nonfiction, to-read, </t>
  </si>
  <si>
    <t>to-read (#906), biographies-etc (#4), nonfiction (#138), greeks-romans-etc (#19)</t>
  </si>
  <si>
    <t>This is How You Lose the Time War</t>
  </si>
  <si>
    <t>Amal El-Mohtar</t>
  </si>
  <si>
    <t>El-Mohtar, Amal</t>
  </si>
  <si>
    <t>Max Gladstone</t>
  </si>
  <si>
    <t>Saga Press</t>
  </si>
  <si>
    <t>to-read (#2375), books-from-twitter (#74)</t>
  </si>
  <si>
    <t>Clash of Civilizations Over an Elevator in Piazza Vittorio</t>
  </si>
  <si>
    <t>Amara Lakhous</t>
  </si>
  <si>
    <t>Lakhous, Amara</t>
  </si>
  <si>
    <t>Ann Goldstein</t>
  </si>
  <si>
    <t>Europa Editions</t>
  </si>
  <si>
    <t xml:space="preserve">0, novels, </t>
  </si>
  <si>
    <t>novels (#25), 0 (#380)</t>
  </si>
  <si>
    <t>The Unabridged Devil's Dictionary</t>
  </si>
  <si>
    <t>Ambrose Bierce</t>
  </si>
  <si>
    <t>Bierce, Ambrose</t>
  </si>
  <si>
    <t>David E. Schultz, S.T. Joshi</t>
  </si>
  <si>
    <t>University of Georgia Press</t>
  </si>
  <si>
    <t>to-read (#367), dictionaries-and-encyclopedias (#5)</t>
  </si>
  <si>
    <t>The Book of Symbols: Reflections on Archetypal Images</t>
  </si>
  <si>
    <t>Ami Ronnberg</t>
  </si>
  <si>
    <t>Ronnberg, Ami</t>
  </si>
  <si>
    <t>Archive for Research in Archetypal Symbolism (ARAS)</t>
  </si>
  <si>
    <t xml:space="preserve">0, mythology, to-read, </t>
  </si>
  <si>
    <t>to-read (#994), 0 (#196), mythology (#6)</t>
  </si>
  <si>
    <t>You Are Having a Good Time</t>
  </si>
  <si>
    <t>Amie Barrodale</t>
  </si>
  <si>
    <t>Barrodale, Amie</t>
  </si>
  <si>
    <t>FSG Originals</t>
  </si>
  <si>
    <t>to-read (#683), short-stories (#37)</t>
  </si>
  <si>
    <t>In the Name of Identity: Violence and the Need to Belong</t>
  </si>
  <si>
    <t>Amin Maalouf</t>
  </si>
  <si>
    <t>Maalouf, Amin</t>
  </si>
  <si>
    <t>Arcade Publishing</t>
  </si>
  <si>
    <t>to-read (#903)</t>
  </si>
  <si>
    <t>Big Friendship: How We Keep Each Other Close</t>
  </si>
  <si>
    <t>Aminatou Sow</t>
  </si>
  <si>
    <t>Sow, Aminatou</t>
  </si>
  <si>
    <t>Ann Friedman</t>
  </si>
  <si>
    <t>Simon &amp; Schuster</t>
  </si>
  <si>
    <t>to-read (#364)</t>
  </si>
  <si>
    <t>The Mystery of the Aleph</t>
  </si>
  <si>
    <t>Amir D. Aczel</t>
  </si>
  <si>
    <t>Aczel, Amir D.</t>
  </si>
  <si>
    <t>Atria Books</t>
  </si>
  <si>
    <t>to-read (#1810)</t>
  </si>
  <si>
    <t>The System of Dante's Hell (AkashiClassics: Renegade Reprint Series)</t>
  </si>
  <si>
    <t>Amiri Baraka</t>
  </si>
  <si>
    <t>Baraka, Amiri</t>
  </si>
  <si>
    <t>Akashic Books, Ltd.</t>
  </si>
  <si>
    <t xml:space="preserve">books-from-twitter, novels, to-read, </t>
  </si>
  <si>
    <t>to-read (#1585), books-from-twitter (#1), novels (#215)</t>
  </si>
  <si>
    <t>Una historia de amor y oscuridad</t>
  </si>
  <si>
    <t>Amos Oz</t>
  </si>
  <si>
    <t>Oz, Amos</t>
  </si>
  <si>
    <t>Siruela</t>
  </si>
  <si>
    <t>to-read (#453)</t>
  </si>
  <si>
    <t>Arrangements in Blue: Notes on Loving and Living Alone</t>
  </si>
  <si>
    <t>Amy Key</t>
  </si>
  <si>
    <t>Key, Amy</t>
  </si>
  <si>
    <t>Liveright</t>
  </si>
  <si>
    <t>to-read (#1126), essays (#19), nonfiction (#166)</t>
  </si>
  <si>
    <t>The Weight of Temptation (Latin American Women Writers)</t>
  </si>
  <si>
    <t>Ana María Shua</t>
  </si>
  <si>
    <t>Shua, Ana María</t>
  </si>
  <si>
    <t>Andrea G. Labinger</t>
  </si>
  <si>
    <t>University of Nebraska Press</t>
  </si>
  <si>
    <t>to-read (#1770)</t>
  </si>
  <si>
    <t>Estás muy callada hoy</t>
  </si>
  <si>
    <t>Ana Navajas</t>
  </si>
  <si>
    <t>Navajas, Ana</t>
  </si>
  <si>
    <t>Rosa Iceberg</t>
  </si>
  <si>
    <t>to-read (#472)</t>
  </si>
  <si>
    <t>What Is Surrealism?: Selected Writings</t>
  </si>
  <si>
    <t>André Breton</t>
  </si>
  <si>
    <t>Breton, André</t>
  </si>
  <si>
    <t>Samuel Beckett, David Gascoyne, Stephen Schwartz, John Simmons, Bravig Imbs, Guy Ducornet, John Ashberry, Ralph Manheim, Franklin Rosemont</t>
  </si>
  <si>
    <t>Pathfinder</t>
  </si>
  <si>
    <t>to-read (#460), essays (#8), nonfiction (#163)</t>
  </si>
  <si>
    <t>Nadja</t>
  </si>
  <si>
    <t>Grove Press</t>
  </si>
  <si>
    <t>to-read (#1183), novels (#160)</t>
  </si>
  <si>
    <t>Mad Love</t>
  </si>
  <si>
    <t>Mary Ann Caws</t>
  </si>
  <si>
    <t>Bison Books</t>
  </si>
  <si>
    <t>to-read (#907)</t>
  </si>
  <si>
    <t>Economic Genocide In Chile: Monetarist Theory Versus Humanity: Two Open Letters To Arnold Harberger And Milton Friedman</t>
  </si>
  <si>
    <t>André Gunder Frank</t>
  </si>
  <si>
    <t>Frank, André Gunder</t>
  </si>
  <si>
    <t>Spokesman Books</t>
  </si>
  <si>
    <t>to-read (#2274), biblio-shock-doctrine (#3)</t>
  </si>
  <si>
    <t>A Dry White Season</t>
  </si>
  <si>
    <t>André P. Brink</t>
  </si>
  <si>
    <t>Brink, André P.</t>
  </si>
  <si>
    <t>William Morrow Paperbacks</t>
  </si>
  <si>
    <t>to-read (#2064), novels (#220)</t>
  </si>
  <si>
    <t>Pole Dancing to Gospel Hymns</t>
  </si>
  <si>
    <t>Andrea Gibson</t>
  </si>
  <si>
    <t>Gibson, Andrea</t>
  </si>
  <si>
    <t>Write Bloody Publishing</t>
  </si>
  <si>
    <t>to-read (#1722), poetry (#36), 0 (#432)</t>
  </si>
  <si>
    <t>Meaningful Work</t>
  </si>
  <si>
    <t>Andrea Veltman</t>
  </si>
  <si>
    <t>Veltman, Andrea</t>
  </si>
  <si>
    <t>to-read (#2084)</t>
  </si>
  <si>
    <t>The Art of Courtly Love</t>
  </si>
  <si>
    <t>Andreas Capellanus</t>
  </si>
  <si>
    <t>Capellanus, Andreas</t>
  </si>
  <si>
    <t>John Jay Parry</t>
  </si>
  <si>
    <t>Columbia University Press (NY)</t>
  </si>
  <si>
    <t>to-read (#1116)</t>
  </si>
  <si>
    <t>Una vez Argentina</t>
  </si>
  <si>
    <t>Andrés Neuman</t>
  </si>
  <si>
    <t>Neuman, Andrés</t>
  </si>
  <si>
    <t xml:space="preserve">authors-argentine-authors, novels, to-read, </t>
  </si>
  <si>
    <t>to-read (#635), novels (#131)</t>
  </si>
  <si>
    <t>How to Travel without Seeing: Dispatches from the New Latin America</t>
  </si>
  <si>
    <t>Jeffrey Lawrence</t>
  </si>
  <si>
    <t>Restless Books</t>
  </si>
  <si>
    <t xml:space="preserve">authors-chilean-authors, to-read, </t>
  </si>
  <si>
    <t>to-read (#634)</t>
  </si>
  <si>
    <t>The Things We Don't Do</t>
  </si>
  <si>
    <t>Nick Caistor, Lorenza García</t>
  </si>
  <si>
    <t>Open Letter</t>
  </si>
  <si>
    <t>to-read (#138)</t>
  </si>
  <si>
    <t>Ingenious Pain</t>
  </si>
  <si>
    <t>Andrew  Miller</t>
  </si>
  <si>
    <t>Miller, Andrew</t>
  </si>
  <si>
    <t xml:space="preserve">pain, to-read, </t>
  </si>
  <si>
    <t>to-read (#1621), pain (#6)</t>
  </si>
  <si>
    <t>Schelling and Modern European Philosophy: An Introduction</t>
  </si>
  <si>
    <t>Andrew Bowie</t>
  </si>
  <si>
    <t>Bowie, Andrew</t>
  </si>
  <si>
    <t>to-read (#2121), biblio-noonday-demon (#41)</t>
  </si>
  <si>
    <t>Rumsfeld: An American Disaster</t>
  </si>
  <si>
    <t>Andrew Cockburn</t>
  </si>
  <si>
    <t>Cockburn, Andrew</t>
  </si>
  <si>
    <t>Verso Books</t>
  </si>
  <si>
    <t>to-read (#2368), biblio-shock-doctrine (#91)</t>
  </si>
  <si>
    <t>Bacchus: A Biography</t>
  </si>
  <si>
    <t>Andrew Dalby</t>
  </si>
  <si>
    <t>Dalby, Andrew</t>
  </si>
  <si>
    <t xml:space="preserve">greeks-romans-etc, to-read, </t>
  </si>
  <si>
    <t>to-read (#1492), greeks-romans-etc (#53)</t>
  </si>
  <si>
    <t>Sancta;New Series (New Series, 44)</t>
  </si>
  <si>
    <t>Andrew Grace</t>
  </si>
  <si>
    <t>Grace, Andrew</t>
  </si>
  <si>
    <t>Ahsahta Press</t>
  </si>
  <si>
    <t>to-read (#1727), poetry (#31), 0 (#520)</t>
  </si>
  <si>
    <t>Madness in Civilization: The Cultural History of Insanity</t>
  </si>
  <si>
    <t>Andrew Scull</t>
  </si>
  <si>
    <t>Scull, Andrew</t>
  </si>
  <si>
    <t>to-read (#1748)</t>
  </si>
  <si>
    <t>The Noonday Demon: An Atlas of Depression</t>
  </si>
  <si>
    <t>Andrew Solomon</t>
  </si>
  <si>
    <t>Solomon, Andrew</t>
  </si>
  <si>
    <t xml:space="preserve">0, fuck-this-book, nonfiction, to-read, </t>
  </si>
  <si>
    <t>0 (#275), nonfiction (#82), fuck-this-book (#2), to-read (#2385)</t>
  </si>
  <si>
    <t>The Reckoning: Searching for Meaning with the Father of the Sandy Hook Killer</t>
  </si>
  <si>
    <t>to-read (#1927)</t>
  </si>
  <si>
    <t>The Pragmatic Programmer: From Journeyman to Master</t>
  </si>
  <si>
    <t>Andy Hunt</t>
  </si>
  <si>
    <t>Hunt, Andy</t>
  </si>
  <si>
    <t>Dave Thomas</t>
  </si>
  <si>
    <t>Addison-Wesley Professional</t>
  </si>
  <si>
    <t>to-read (#1984)</t>
  </si>
  <si>
    <t>La vida perra de Juanita Narboni</t>
  </si>
  <si>
    <t>Ángel Vázquez</t>
  </si>
  <si>
    <t>Vázquez, Ángel</t>
  </si>
  <si>
    <t>Virginia Trueba</t>
  </si>
  <si>
    <t>Cátedra</t>
  </si>
  <si>
    <t>to-read (#379)</t>
  </si>
  <si>
    <t>Ace: What Asexuality Reveals About Desire, Society, and the Meaning of Sex</t>
  </si>
  <si>
    <t>Angela  Chen</t>
  </si>
  <si>
    <t>Chen, Angela</t>
  </si>
  <si>
    <t>Beacon Press</t>
  </si>
  <si>
    <t>The Emotion Thesaurus: A Writer's Guide to Character Expression (Writers Helping Writers, #1)</t>
  </si>
  <si>
    <t>Angela Ackerman</t>
  </si>
  <si>
    <t>Ackerman, Angela</t>
  </si>
  <si>
    <t>Becca Puglisi</t>
  </si>
  <si>
    <t>JADD Publishing</t>
  </si>
  <si>
    <t>to-read (#366), dictionaries-and-encyclopedias (#23)</t>
  </si>
  <si>
    <t>The Infernal Desire Machines of Doctor Hoffman</t>
  </si>
  <si>
    <t>Angela Carter</t>
  </si>
  <si>
    <t>Carter, Angela</t>
  </si>
  <si>
    <t>to-read (#1182), novels (#159)</t>
  </si>
  <si>
    <t>Policing the Black Man: Arrest, Prosecution, and Imprisonment</t>
  </si>
  <si>
    <t>Angela J. Davis</t>
  </si>
  <si>
    <t>Davis, Angela J.</t>
  </si>
  <si>
    <t>Pantheon</t>
  </si>
  <si>
    <t>to-read (#527)</t>
  </si>
  <si>
    <t>Kill All Normies: Online Culture Wars from 4chan and Tumblr to Trump and the Alt-Right</t>
  </si>
  <si>
    <t>Angela Nagle</t>
  </si>
  <si>
    <t>Nagle, Angela</t>
  </si>
  <si>
    <t>Zero Books</t>
  </si>
  <si>
    <t>to-read (#1824)</t>
  </si>
  <si>
    <t>La piedra de la cordura: Historias sobre enfermedades mentales (Spanish Edition)</t>
  </si>
  <si>
    <t>Ángela Pradelli</t>
  </si>
  <si>
    <t>Pradelli, Ángela</t>
  </si>
  <si>
    <t>Ariel Magnus, Claudia Piñeiro, Oliverio Coelho, Esther Cross, Guillermo Martínez, Sergio S Olguin, Carlos Chernov, Mariana Enríquez</t>
  </si>
  <si>
    <t>Ediciones IntraMed</t>
  </si>
  <si>
    <t>to-read (#600)</t>
  </si>
  <si>
    <t>If They Come in the Morning: Voices of Resistance (Radical Thinkers)</t>
  </si>
  <si>
    <t>Angela Y. Davis</t>
  </si>
  <si>
    <t>Davis, Angela Y.</t>
  </si>
  <si>
    <t xml:space="preserve">0, nonfiction, to-read, </t>
  </si>
  <si>
    <t>to-read (#1384), nonfiction (#11), 0 (#316)</t>
  </si>
  <si>
    <t>Freedom is a Constant Struggle</t>
  </si>
  <si>
    <t>Cornel West, Frank Barat</t>
  </si>
  <si>
    <t>Haymarket Books</t>
  </si>
  <si>
    <t>to-read (#241)</t>
  </si>
  <si>
    <t>Kalpa Imperial: The Greatest Empire That Never Was</t>
  </si>
  <si>
    <t>Angélica Gorodischer</t>
  </si>
  <si>
    <t>Gorodischer, Angélica</t>
  </si>
  <si>
    <t>Ursula K. Le Guin</t>
  </si>
  <si>
    <t>Small Beer Press</t>
  </si>
  <si>
    <t>to-read (#1540)</t>
  </si>
  <si>
    <t>How Not to Drown in a Glass of Water</t>
  </si>
  <si>
    <t>Angie Cruz</t>
  </si>
  <si>
    <t>Cruz, Angie</t>
  </si>
  <si>
    <t>Flatiron Books</t>
  </si>
  <si>
    <t>to-read (#1147)</t>
  </si>
  <si>
    <t>If Hemingway Wrote JavaScript</t>
  </si>
  <si>
    <t>Angus Croll</t>
  </si>
  <si>
    <t>Croll, Angus</t>
  </si>
  <si>
    <t>No Starch Press</t>
  </si>
  <si>
    <t>to-read (#1433), 0 (#229)</t>
  </si>
  <si>
    <t>Hotel du Lac</t>
  </si>
  <si>
    <t>Anita Brookner</t>
  </si>
  <si>
    <t>Brookner, Anita</t>
  </si>
  <si>
    <t>Vintage Books</t>
  </si>
  <si>
    <t>to-read (#1294), awards-man-booker-prize-winners (#17)</t>
  </si>
  <si>
    <t>The Street</t>
  </si>
  <si>
    <t>Ann Petry</t>
  </si>
  <si>
    <t>Petry, Ann</t>
  </si>
  <si>
    <t xml:space="preserve">0, novels, to-read, </t>
  </si>
  <si>
    <t>to-read (#1876), novels (#66), 0 (#441)</t>
  </si>
  <si>
    <t>Bright Unbearable Reality</t>
  </si>
  <si>
    <t>Anna Badkhen</t>
  </si>
  <si>
    <t>Badkhen, Anna</t>
  </si>
  <si>
    <t>New York Review Books</t>
  </si>
  <si>
    <t>to-read (#1235), essays (#16), nonfiction (#172)</t>
  </si>
  <si>
    <t>Milkman</t>
  </si>
  <si>
    <t>Anna Burns</t>
  </si>
  <si>
    <t>Burns, Anna</t>
  </si>
  <si>
    <t>to-read (#1323), awards-man-booker-prize-winners (#52)</t>
  </si>
  <si>
    <t>Glyph: A Visual Exploration of Punctuation Marks and Other Typographic Symbols</t>
  </si>
  <si>
    <t>Anna Davies</t>
  </si>
  <si>
    <t>Davies, Anna</t>
  </si>
  <si>
    <t>Shiro Nishimoto, Adriana Caneva</t>
  </si>
  <si>
    <t>Cicada Books</t>
  </si>
  <si>
    <t>to-read (#1761)</t>
  </si>
  <si>
    <t>Uncanny Valley</t>
  </si>
  <si>
    <t>Anna Wiener</t>
  </si>
  <si>
    <t>Wiener, Anna</t>
  </si>
  <si>
    <t>MCD</t>
  </si>
  <si>
    <t>to-read (#533), biographies-etc (#40)</t>
  </si>
  <si>
    <t>Hannah Arendt: A Life in Dark Times</t>
  </si>
  <si>
    <t>Anne C. Heller</t>
  </si>
  <si>
    <t>Heller, Anne C.</t>
  </si>
  <si>
    <t>Houghton Mifflin Harcourt New Harvest</t>
  </si>
  <si>
    <t>to-read (#274)</t>
  </si>
  <si>
    <t>Autobiography of Red</t>
  </si>
  <si>
    <t>Anne Carson</t>
  </si>
  <si>
    <t>Carson, Anne</t>
  </si>
  <si>
    <t xml:space="preserve">poetry, z-favorites-shelf, </t>
  </si>
  <si>
    <t>poetry (#50), z-favorites-shelf (#36)</t>
  </si>
  <si>
    <t>The Beauty of the Husband: A Fictional Essay in 29 Tangos</t>
  </si>
  <si>
    <t xml:space="preserve">0, poetry, to-read, z-favorites-shelf, </t>
  </si>
  <si>
    <t>to-read (#1346), poetry (#4), z-favorites-shelf (#22), 0 (#294)</t>
  </si>
  <si>
    <t>An Oresteia: Agamemnon by Aiskhylos, Elektra by Sophokles, Orestes by Euripides</t>
  </si>
  <si>
    <t>Aeschylus, Sophocles, Euripides</t>
  </si>
  <si>
    <t xml:space="preserve">greeks-romans-etc, plays, to-read, </t>
  </si>
  <si>
    <t>to-read (#1219), greeks-romans-etc (#30), plays (#14)</t>
  </si>
  <si>
    <t>Variaciones sobre el derecho a guardar silencio</t>
  </si>
  <si>
    <t>Soledad Marambio</t>
  </si>
  <si>
    <t>cuadro de tiza ediciones</t>
  </si>
  <si>
    <t>plaquette</t>
  </si>
  <si>
    <t xml:space="preserve">0, authors-canadian-authors, poetry, to-read, z-favorites-shelf, </t>
  </si>
  <si>
    <t>to-read (#1220)</t>
  </si>
  <si>
    <t>H of H Playbook</t>
  </si>
  <si>
    <t>to-read (#1167)</t>
  </si>
  <si>
    <t>Men in the Off Hours</t>
  </si>
  <si>
    <t>to-read (#335)</t>
  </si>
  <si>
    <t>Red Doc&gt;</t>
  </si>
  <si>
    <t>to-read (#614)</t>
  </si>
  <si>
    <t>Norma Jeane Baker of Troy</t>
  </si>
  <si>
    <t>Oberon Books</t>
  </si>
  <si>
    <t xml:space="preserve">authors-usa-authors, to-read, </t>
  </si>
  <si>
    <t>to-read (#1197), poetry (#42), z-favorites-shelf (#21), 0 (#542)</t>
  </si>
  <si>
    <t>Plainwater: Essays and Poetry</t>
  </si>
  <si>
    <t xml:space="preserve">0, authors-canadian-authors, to-read, z-favorites-shelf, </t>
  </si>
  <si>
    <t>to-read (#1402), z-favorites-shelf (#24), 0 (#321)</t>
  </si>
  <si>
    <t>Glass, Irony and God</t>
  </si>
  <si>
    <t>to-read (#1401), poetry (#43), z-favorites-shelf (#23), 0 (#320)</t>
  </si>
  <si>
    <t>In the Sleep Room: The Story of the CIA Brainwashing Experiments in Canada</t>
  </si>
  <si>
    <t>Anne Collins</t>
  </si>
  <si>
    <t>Collins, Anne</t>
  </si>
  <si>
    <t>Key Porter Books</t>
  </si>
  <si>
    <t>to-read (#2357), biblio-shock-doctrine (#80)</t>
  </si>
  <si>
    <t>The Gathering</t>
  </si>
  <si>
    <t>Anne Enright</t>
  </si>
  <si>
    <t>Enright, Anne</t>
  </si>
  <si>
    <t>Grove Press, Black Cat</t>
  </si>
  <si>
    <t>to-read (#1312), awards-man-booker-prize-winners (#41)</t>
  </si>
  <si>
    <t>The Spirit Catches You and You Fall Down: A Hmong Child, Her American Doctors, and the Collision of Two Cultures</t>
  </si>
  <si>
    <t>Anne Fadiman</t>
  </si>
  <si>
    <t>Fadiman, Anne</t>
  </si>
  <si>
    <t xml:space="preserve">Farrar, Straus and Giroux </t>
  </si>
  <si>
    <t>to-read (#2088), nonfiction (#157)</t>
  </si>
  <si>
    <t>Ex Libris: Confessions of a Common Reader</t>
  </si>
  <si>
    <t>Farrar Straus Giroux</t>
  </si>
  <si>
    <t>to-read (#318)</t>
  </si>
  <si>
    <t>Sphinx</t>
  </si>
  <si>
    <t>Anne Garréta</t>
  </si>
  <si>
    <t>Garréta, Anne</t>
  </si>
  <si>
    <t>Emma Ramadan, Daniel Levin Becker</t>
  </si>
  <si>
    <t>Deep Vellum Publishing</t>
  </si>
  <si>
    <t>to-read (#137)</t>
  </si>
  <si>
    <t>Bird by Bird</t>
  </si>
  <si>
    <t>Anne Lamott</t>
  </si>
  <si>
    <t>Lamott, Anne</t>
  </si>
  <si>
    <t>to-read (#777)</t>
  </si>
  <si>
    <t>Thought Forms</t>
  </si>
  <si>
    <t>Annie Besant</t>
  </si>
  <si>
    <t>Besant, Annie</t>
  </si>
  <si>
    <t>Charles W. Leadbeater</t>
  </si>
  <si>
    <t>Dover Publications</t>
  </si>
  <si>
    <t>to-read (#1822)</t>
  </si>
  <si>
    <t>For the Time Being: Essays (PEN Literary Award Winner)</t>
  </si>
  <si>
    <t>Annie Dillard</t>
  </si>
  <si>
    <t>Dillard, Annie</t>
  </si>
  <si>
    <t>to-read (#862)</t>
  </si>
  <si>
    <t>Teaching a Stone to Talk: Expeditions and Encounters</t>
  </si>
  <si>
    <t>Harper Perennial</t>
  </si>
  <si>
    <t>to-read (#390)</t>
  </si>
  <si>
    <t>The Writing Life</t>
  </si>
  <si>
    <t>Harper Perennial (HarperCollins)</t>
  </si>
  <si>
    <t>to-read (#329)</t>
  </si>
  <si>
    <t>Happening</t>
  </si>
  <si>
    <t>Annie Ernaux</t>
  </si>
  <si>
    <t>Ernaux, Annie</t>
  </si>
  <si>
    <t>Tanya Leslie</t>
  </si>
  <si>
    <t>Seven Stories Press</t>
  </si>
  <si>
    <t>to-read (#1897)</t>
  </si>
  <si>
    <t>The Years</t>
  </si>
  <si>
    <t>Alison L. Strayer</t>
  </si>
  <si>
    <t>to-read (#1365), 0 (#198)</t>
  </si>
  <si>
    <t>The Book of Job</t>
  </si>
  <si>
    <t>Anonymous</t>
  </si>
  <si>
    <t>Anonymous, Anonymous</t>
  </si>
  <si>
    <t>Stephen Mitchell</t>
  </si>
  <si>
    <t xml:space="preserve">mythology, to-read, </t>
  </si>
  <si>
    <t>to-read (#1400), mythology (#43)</t>
  </si>
  <si>
    <t>Egil's Saga</t>
  </si>
  <si>
    <t>Egill Skallagrímsson, Bernard Scudder, Svanhildur Óskarsdóttir</t>
  </si>
  <si>
    <t>to-read (#1554)</t>
  </si>
  <si>
    <t>The Egyptian Book of the Dead</t>
  </si>
  <si>
    <t>Mark Oxford, E.A. Wallis Budge</t>
  </si>
  <si>
    <t>Dover</t>
  </si>
  <si>
    <t>to-read (#1553)</t>
  </si>
  <si>
    <t>Myths from Mesopotamia: Creation, the Flood, Gilgamesh, and Others</t>
  </si>
  <si>
    <t>Stephanie Dalley</t>
  </si>
  <si>
    <t>to-read (#1161)</t>
  </si>
  <si>
    <t>The Camera</t>
  </si>
  <si>
    <t>Ansel Adams</t>
  </si>
  <si>
    <t>Adams, Ansel</t>
  </si>
  <si>
    <t>Robert Hardy Baker</t>
  </si>
  <si>
    <t>Little, Brown and Co.</t>
  </si>
  <si>
    <t xml:space="preserve">photography, to-read, </t>
  </si>
  <si>
    <t>to-read (#545), photography (#2)</t>
  </si>
  <si>
    <t>The Cambridge Companion to Early Greek Philosophy</t>
  </si>
  <si>
    <t>Anthony A. Long</t>
  </si>
  <si>
    <t>Long, Anthony A.</t>
  </si>
  <si>
    <t xml:space="preserve">cambridge-companions, greeks-romans-etc, philosophy, to-read, </t>
  </si>
  <si>
    <t>to-read (#1651), cambridge-companions (#3), greeks-romans-etc (#85), philosophy (#72)</t>
  </si>
  <si>
    <t>Art and Architecture in France, 1500-1700 (The Yale University Press Pelican History of Art)</t>
  </si>
  <si>
    <t>Anthony Blunt</t>
  </si>
  <si>
    <t>Blunt, Anthony</t>
  </si>
  <si>
    <t>Yale University Press</t>
  </si>
  <si>
    <t>to-read (#946)</t>
  </si>
  <si>
    <t>World Travel: An Irreverent Guide</t>
  </si>
  <si>
    <t>Anthony Bourdain</t>
  </si>
  <si>
    <t>Bourdain, Anthony</t>
  </si>
  <si>
    <t>Laurie Woolever</t>
  </si>
  <si>
    <t>Ecco</t>
  </si>
  <si>
    <t>to-read (#1965)</t>
  </si>
  <si>
    <t>Kitchen Confidential: Adventures in the Culinary Underbelly</t>
  </si>
  <si>
    <t>Ecco/Harper Perennial</t>
  </si>
  <si>
    <t>to-read (#1865), nonfiction (#76), 0 (#352)</t>
  </si>
  <si>
    <t>Augusto: el primer emperador</t>
  </si>
  <si>
    <t>Anthony Everitt</t>
  </si>
  <si>
    <t>Everitt, Anthony</t>
  </si>
  <si>
    <t>Ariel</t>
  </si>
  <si>
    <t>to-read (#1661)</t>
  </si>
  <si>
    <t>Dream of Reason: A History of Western Philosophy from the Greeks to the Renaissance</t>
  </si>
  <si>
    <t>Anthony Gottlieb</t>
  </si>
  <si>
    <t>Gottlieb, Anthony</t>
  </si>
  <si>
    <t>to-read (#1826)</t>
  </si>
  <si>
    <t>Magus: The Art of Magic from Faustus to Agrippa</t>
  </si>
  <si>
    <t>Anthony Grafton</t>
  </si>
  <si>
    <t>Grafton, Anthony</t>
  </si>
  <si>
    <t>Belknap Press: An Imprint of Harvard University Press</t>
  </si>
  <si>
    <t>to-read (#2425)</t>
  </si>
  <si>
    <t>Ancient Philosophy</t>
  </si>
  <si>
    <t>Anthony Kenny</t>
  </si>
  <si>
    <t>Kenny, Anthony</t>
  </si>
  <si>
    <t>Oxford University Press, USA</t>
  </si>
  <si>
    <t>to-read (#1923), philosophy (#64)</t>
  </si>
  <si>
    <t>A Brief History of Western Philosophy</t>
  </si>
  <si>
    <t>to-read (#1922), history (#66), philosophy (#57)</t>
  </si>
  <si>
    <t>Scar Tissue</t>
  </si>
  <si>
    <t>Anthony Kiedis</t>
  </si>
  <si>
    <t>Kiedis, Anthony</t>
  </si>
  <si>
    <t>Larry Sloman</t>
  </si>
  <si>
    <t>Hachette Books</t>
  </si>
  <si>
    <t>Nobody's Perfect: Writings from The New Yorker</t>
  </si>
  <si>
    <t>Anthony Lane</t>
  </si>
  <si>
    <t>Lane, Anthony</t>
  </si>
  <si>
    <t>to-read (#2391)</t>
  </si>
  <si>
    <t>Night Draws Near: Iraq's People in the Shadow of America's War</t>
  </si>
  <si>
    <t>Anthony Shadid</t>
  </si>
  <si>
    <t>Shadid, Anthony</t>
  </si>
  <si>
    <t>Picador</t>
  </si>
  <si>
    <t>to-read (#2360), biblio-shock-doctrine (#83)</t>
  </si>
  <si>
    <t>Ariadne's Clue: A Guide to the Symbols of Humankind (Mythos: The Princeton/Bollingen Series in World Mythology, 90)</t>
  </si>
  <si>
    <t>Anthony Stevens</t>
  </si>
  <si>
    <t>Stevens, Anthony</t>
  </si>
  <si>
    <t>Princeton University Press</t>
  </si>
  <si>
    <t>to-read (#944), mythology (#12)</t>
  </si>
  <si>
    <t>A Rulebook for Arguments</t>
  </si>
  <si>
    <t>Anthony Weston</t>
  </si>
  <si>
    <t>Weston, Anthony</t>
  </si>
  <si>
    <t>Hackett Pub Co Inc</t>
  </si>
  <si>
    <t xml:space="preserve">0, tech, to-read, </t>
  </si>
  <si>
    <t>to-read (#1393), tech (#4), 0 (#318)</t>
  </si>
  <si>
    <t>Lady with Lapdog and Other Stories</t>
  </si>
  <si>
    <t>Anton Chekhov</t>
  </si>
  <si>
    <t>Chekhov, Anton</t>
  </si>
  <si>
    <t>David Magarshack</t>
  </si>
  <si>
    <t>Penguin Classics</t>
  </si>
  <si>
    <t xml:space="preserve">biblio-noonday-demon, short-stories, to-read, </t>
  </si>
  <si>
    <t>to-read (#2127), biblio-noonday-demon (#48), short-stories (#49)</t>
  </si>
  <si>
    <t>The Bush Agenda: Invading the World, One Economy at a Time</t>
  </si>
  <si>
    <t>Antonia Juhasz</t>
  </si>
  <si>
    <t>Juhasz, Antonia</t>
  </si>
  <si>
    <t>William Morrow</t>
  </si>
  <si>
    <t>to-read (#2366), biblio-shock-doctrine (#89)</t>
  </si>
  <si>
    <t>Antonin Artaud: Works on Paper</t>
  </si>
  <si>
    <t>Antonin Artaud</t>
  </si>
  <si>
    <t>Artaud, Antonin</t>
  </si>
  <si>
    <t>Margit Rowell</t>
  </si>
  <si>
    <t>Harry N Abrams Inc</t>
  </si>
  <si>
    <t xml:space="preserve">authors-french-authors, biblio-noonday-demon, to-read, </t>
  </si>
  <si>
    <t>to-read (#2110), biblio-noonday-demon (#29)</t>
  </si>
  <si>
    <t>Heliogabalus; or, the Crowned Anarchist</t>
  </si>
  <si>
    <t>Alexis Lykiard</t>
  </si>
  <si>
    <t>Solar Books</t>
  </si>
  <si>
    <t xml:space="preserve">authors-french-authors, biographies-etc, greeks-romans-etc, novels, to-read, </t>
  </si>
  <si>
    <t>to-read (#1179), biographies-etc (#2), novels (#158), greeks-romans-etc (#27)</t>
  </si>
  <si>
    <t>The Peyote Dance</t>
  </si>
  <si>
    <t>Helen Weaver</t>
  </si>
  <si>
    <t>Farrar, Straus &amp; Giroux (NY)</t>
  </si>
  <si>
    <t xml:space="preserve">authors-english-authors, authors-mexican-authors, to-read, </t>
  </si>
  <si>
    <t>to-read (#275)</t>
  </si>
  <si>
    <t>The Songs of António Botto</t>
  </si>
  <si>
    <t>António Botto</t>
  </si>
  <si>
    <t>Botto, António</t>
  </si>
  <si>
    <t>Josiah Blackmore, Fernando Pessoa</t>
  </si>
  <si>
    <t>Univ Of Minnesota Press</t>
  </si>
  <si>
    <t xml:space="preserve">poetry, queer-gender-etc, to-read, </t>
  </si>
  <si>
    <t>to-read (#781), poetry (#62), queer-gender-etc (#49)</t>
  </si>
  <si>
    <t>The Silentiary</t>
  </si>
  <si>
    <t>Antonio di Benedetto</t>
  </si>
  <si>
    <t>Benedetto, Antonio di</t>
  </si>
  <si>
    <t>Esther Allen, Juan José Saer</t>
  </si>
  <si>
    <t>to-read (#1240)</t>
  </si>
  <si>
    <t>Descartes' Error: Emotion, Reason and the Human Brain</t>
  </si>
  <si>
    <t>António R. Damásio</t>
  </si>
  <si>
    <t>Damásio, António R.</t>
  </si>
  <si>
    <t>Penguin Books Ltd</t>
  </si>
  <si>
    <t xml:space="preserve">nonfiction, psychology, to-read, </t>
  </si>
  <si>
    <t>to-read (#2140), nonfiction (#185), psychology (#14)</t>
  </si>
  <si>
    <t>Apollodorus' Library and Hyginus' Fabulae: Two Handbooks of Greek Mythology (Hackett Classics)</t>
  </si>
  <si>
    <t>Apollodorus of Athens</t>
  </si>
  <si>
    <t>Athens, Apollodorus of</t>
  </si>
  <si>
    <t>R. Scott Smith, Stephen M. Trzaskoma, Hyginus</t>
  </si>
  <si>
    <t>Hackett Publishing Co.</t>
  </si>
  <si>
    <t>to-read (#1649), greeks-romans-etc (#82)</t>
  </si>
  <si>
    <t>The Library of Greek Mythology</t>
  </si>
  <si>
    <t>Robin Hard</t>
  </si>
  <si>
    <t>to-read (#1263), mythology (#37)</t>
  </si>
  <si>
    <t>Kingdom Animalia (American Poets Continuum)</t>
  </si>
  <si>
    <t>Aracelis Girmay</t>
  </si>
  <si>
    <t>Girmay, Aracelis</t>
  </si>
  <si>
    <t>BOA Editions Ltd.</t>
  </si>
  <si>
    <t>to-read (#1732), poetry (#23), 0 (#521)</t>
  </si>
  <si>
    <t>The White Tiger</t>
  </si>
  <si>
    <t>Aravind Adiga</t>
  </si>
  <si>
    <t>Adiga, Aravind</t>
  </si>
  <si>
    <t>to-read (#1313), awards-man-booker-prize-winners (#42)</t>
  </si>
  <si>
    <t>Poetry and Experience (Peregrine Books)</t>
  </si>
  <si>
    <t>Archibald MacLeish</t>
  </si>
  <si>
    <t>MacLeish, Archibald</t>
  </si>
  <si>
    <t>Peregrine Books</t>
  </si>
  <si>
    <t>to-read (#1906), 0 (#271)</t>
  </si>
  <si>
    <t>Die, My Love</t>
  </si>
  <si>
    <t>Ariana Harwicz</t>
  </si>
  <si>
    <t>Harwicz, Ariana</t>
  </si>
  <si>
    <t>Sarah Moses, Carolina Orloff</t>
  </si>
  <si>
    <t>Charco Press</t>
  </si>
  <si>
    <t>to-read (#283)</t>
  </si>
  <si>
    <t>Roadside Picnic</t>
  </si>
  <si>
    <t>Arkady Strugatsky</t>
  </si>
  <si>
    <t>Strugatsky, Arkady</t>
  </si>
  <si>
    <t>Boris Strugatsky, Theodore Sturgeon, Antonina W. Bouis</t>
  </si>
  <si>
    <t>Gollancz</t>
  </si>
  <si>
    <t>to-read (#1753)</t>
  </si>
  <si>
    <t>Strangers in Their Own Land: Anger and Mourning on the American Right</t>
  </si>
  <si>
    <t>Arlie Russell Hochschild</t>
  </si>
  <si>
    <t>Hochschild, Arlie Russell</t>
  </si>
  <si>
    <t>The New Press</t>
  </si>
  <si>
    <t>to-read (#1995)</t>
  </si>
  <si>
    <t>Witchcraft and the Gay Counterculture</t>
  </si>
  <si>
    <t>Arthur  Evans</t>
  </si>
  <si>
    <t>Evans, Arthur</t>
  </si>
  <si>
    <t>Fag Rag Books</t>
  </si>
  <si>
    <t xml:space="preserve">queer-gender-etc, to-read, </t>
  </si>
  <si>
    <t>to-read (#49), queer-gender-etc (#10)</t>
  </si>
  <si>
    <t>The God of Ecstasy: Sex Roles and the Madness of Dionysus</t>
  </si>
  <si>
    <t>St Martins Pr</t>
  </si>
  <si>
    <t>to-read (#1491), greeks-romans-etc (#52)</t>
  </si>
  <si>
    <t>One-Third of a Nation: A Living Newspaper</t>
  </si>
  <si>
    <t>Arthur Arent</t>
  </si>
  <si>
    <t>Arent, Arthur</t>
  </si>
  <si>
    <t>Multimedia Studies in Amer</t>
  </si>
  <si>
    <t>Zeus: A Study in Ancient Religion; Volume 1: Zeus God of the Bright Sky</t>
  </si>
  <si>
    <t>Arthur B. Cook</t>
  </si>
  <si>
    <t>Cook, Arthur B.</t>
  </si>
  <si>
    <t>Biblo-Moser</t>
  </si>
  <si>
    <t>to-read (#1095)</t>
  </si>
  <si>
    <t>What Art Is</t>
  </si>
  <si>
    <t>Arthur C. Danto</t>
  </si>
  <si>
    <t>Danto, Arthur C.</t>
  </si>
  <si>
    <t>to-read (#289)</t>
  </si>
  <si>
    <t>The Art of Heraldry: An Encyclopedia of Armory (Classic Reprint)</t>
  </si>
  <si>
    <t>Arthur Charles Fox-Davies</t>
  </si>
  <si>
    <t>Fox-Davies, Arthur Charles</t>
  </si>
  <si>
    <t>Forgotten Books</t>
  </si>
  <si>
    <t xml:space="preserve">dictionaries-and-encyclopedias, mythology, to-read, </t>
  </si>
  <si>
    <t>to-read (#1648), dictionaries-and-encyclopedias (#30), mythology (#53)</t>
  </si>
  <si>
    <t>Another Good Loving Blues</t>
  </si>
  <si>
    <t>Arthur Flowers</t>
  </si>
  <si>
    <t>Flowers, Arthur</t>
  </si>
  <si>
    <t>Viking</t>
  </si>
  <si>
    <t>to-read (#2162), biblio-noonday-demon (#68)</t>
  </si>
  <si>
    <t>The Great God Pan and Other Horror Stories</t>
  </si>
  <si>
    <t>Arthur Machen</t>
  </si>
  <si>
    <t>Machen, Arthur</t>
  </si>
  <si>
    <t>Aaron Worth</t>
  </si>
  <si>
    <t xml:space="preserve">horror, short-stories, to-read, </t>
  </si>
  <si>
    <t>to-read (#823), short-stories (#44), horror (#2)</t>
  </si>
  <si>
    <t>The Penguin Arthur Miller: Collected Plays</t>
  </si>
  <si>
    <t>Arthur Miller</t>
  </si>
  <si>
    <t>Miller, Arthur</t>
  </si>
  <si>
    <t>Lynn Nottage</t>
  </si>
  <si>
    <t xml:space="preserve">0, plays, to-read, </t>
  </si>
  <si>
    <t>to-read (#1626), plays (#1), 0 (#512)</t>
  </si>
  <si>
    <t>The Fuck-Up</t>
  </si>
  <si>
    <t>Arthur Nersesian</t>
  </si>
  <si>
    <t>Nersesian, Arthur</t>
  </si>
  <si>
    <t>MTV Books</t>
  </si>
  <si>
    <t>to-read (#113), novels (#219)</t>
  </si>
  <si>
    <t>I Promise to Be Good: The Letters of Arthur Rimbaud</t>
  </si>
  <si>
    <t>Arthur Rimbaud</t>
  </si>
  <si>
    <t>Rimbaud, Arthur</t>
  </si>
  <si>
    <t>Wyatt Mason</t>
  </si>
  <si>
    <t>Modern Library Classics</t>
  </si>
  <si>
    <t>to-read (#769)</t>
  </si>
  <si>
    <t>Illuminations</t>
  </si>
  <si>
    <t>Louise Varèse</t>
  </si>
  <si>
    <t>to-read (#445)</t>
  </si>
  <si>
    <t>Complete Works</t>
  </si>
  <si>
    <t>Paul Schmidt</t>
  </si>
  <si>
    <t>HarpPerenM</t>
  </si>
  <si>
    <t>to-read (#8)</t>
  </si>
  <si>
    <t>Essays and Aphorisms</t>
  </si>
  <si>
    <t>Arthur Schopenhauer</t>
  </si>
  <si>
    <t>Schopenhauer, Arthur</t>
  </si>
  <si>
    <t>R.J. Hollingdale</t>
  </si>
  <si>
    <t>to-read (#1940), biblio-noonday-demon (#3)</t>
  </si>
  <si>
    <t>The Art of Always Being Right</t>
  </si>
  <si>
    <t>Gibson Square Books Ltd.</t>
  </si>
  <si>
    <t>to-read (#890)</t>
  </si>
  <si>
    <t>Catching the Light: The Entwined History of Light and Mind</t>
  </si>
  <si>
    <t>Arthur Zajonc</t>
  </si>
  <si>
    <t>Zajonc, Arthur</t>
  </si>
  <si>
    <t>to-read (#2030)</t>
  </si>
  <si>
    <t>Las lanzas coloradas</t>
  </si>
  <si>
    <t>Arturo Uslar Pietri</t>
  </si>
  <si>
    <t>Pietri, Arturo Uslar</t>
  </si>
  <si>
    <t>FisicalBook</t>
  </si>
  <si>
    <t>to-read (#2195), books-from-twitter (#41)</t>
  </si>
  <si>
    <t>The God of Small Things</t>
  </si>
  <si>
    <t>Arundhati Roy</t>
  </si>
  <si>
    <t>Roy, Arundhati</t>
  </si>
  <si>
    <t>Random House</t>
  </si>
  <si>
    <t xml:space="preserve">0, awards-man-booker-prize-winners, novels, to-read, </t>
  </si>
  <si>
    <t>to-read (#1304), awards-man-booker-prize-winners (#31), novels (#17), 0 (#305)</t>
  </si>
  <si>
    <t>The Conference of the Birds</t>
  </si>
  <si>
    <t>Attar of Nishapur</t>
  </si>
  <si>
    <t>Nishapur, Attar of</t>
  </si>
  <si>
    <t>Dick Davis, Afkham Darbandi</t>
  </si>
  <si>
    <t>to-read (#1493)</t>
  </si>
  <si>
    <t>Being Mortal: Medicine and What Matters in the End</t>
  </si>
  <si>
    <t>Atul Gawande</t>
  </si>
  <si>
    <t>Gawande, Atul</t>
  </si>
  <si>
    <t>Metropolitan Books</t>
  </si>
  <si>
    <t>to-read (#222), nonfiction (#211)</t>
  </si>
  <si>
    <t>On Free Choice of the Will</t>
  </si>
  <si>
    <t>Augustine of Hippo</t>
  </si>
  <si>
    <t>Hippo, Augustine of</t>
  </si>
  <si>
    <t>Thomas   Williams</t>
  </si>
  <si>
    <t>Hackett Publishing Company, Inc.</t>
  </si>
  <si>
    <t xml:space="preserve">0, philosophy, to-read, </t>
  </si>
  <si>
    <t>philosophy (#3), to-read (#1800), 0 (#317)</t>
  </si>
  <si>
    <t>Movimiento perpetuo</t>
  </si>
  <si>
    <t>Augusto Monterroso</t>
  </si>
  <si>
    <t>Monterroso, Augusto</t>
  </si>
  <si>
    <t>to-read (#1175), novels (#156)</t>
  </si>
  <si>
    <t>El paraíso imperfecto: Antología tímida</t>
  </si>
  <si>
    <t>DeBolsillo</t>
  </si>
  <si>
    <t>to-read (#702)</t>
  </si>
  <si>
    <t>El Fiscal (Trilogía sobre el monoteísmo del poder #3)</t>
  </si>
  <si>
    <t>Augusto Roa Bastos</t>
  </si>
  <si>
    <t>Bastos, Augusto Roa</t>
  </si>
  <si>
    <t>Sudamericana</t>
  </si>
  <si>
    <t>to-read (#561)</t>
  </si>
  <si>
    <t>Las primas</t>
  </si>
  <si>
    <t>Aurora Venturini</t>
  </si>
  <si>
    <t>Venturini, Aurora</t>
  </si>
  <si>
    <t>Pagina 12</t>
  </si>
  <si>
    <t>Mass Market Paperback</t>
  </si>
  <si>
    <t>to-read (#576)</t>
  </si>
  <si>
    <t>Undocumented: How Immigration Became Illegal</t>
  </si>
  <si>
    <t>Aviva Chomsky</t>
  </si>
  <si>
    <t>Chomsky, Aviva</t>
  </si>
  <si>
    <t>to-read (#242)</t>
  </si>
  <si>
    <t>The Fountainhead</t>
  </si>
  <si>
    <t>Ayn Rand</t>
  </si>
  <si>
    <t>Rand, Ayn</t>
  </si>
  <si>
    <t>Signet</t>
  </si>
  <si>
    <t xml:space="preserve">0, to-read, z-favorites-shelf, </t>
  </si>
  <si>
    <t>to-read (#1348), 0 (#369), z-favorites-shelf (#34)</t>
  </si>
  <si>
    <t>Atlas Shrugged</t>
  </si>
  <si>
    <t>Leonard Peikoff</t>
  </si>
  <si>
    <t>NAL</t>
  </si>
  <si>
    <t>0 (#282)</t>
  </si>
  <si>
    <t>Tripping: A Memoir</t>
  </si>
  <si>
    <t>B.H. Friedman</t>
  </si>
  <si>
    <t>Friedman, B.H.</t>
  </si>
  <si>
    <t>Provincetown Arts Press</t>
  </si>
  <si>
    <t>to-read (#1882), 0 (#267)</t>
  </si>
  <si>
    <t>Albert Angelo</t>
  </si>
  <si>
    <t>B.S. Johnson</t>
  </si>
  <si>
    <t>Johnson, B.S.</t>
  </si>
  <si>
    <t>to-read (#1593), books-from-twitter (#12)</t>
  </si>
  <si>
    <t>Poetry Handbook: A Dictionary of Terms</t>
  </si>
  <si>
    <t>Babette Deutsch</t>
  </si>
  <si>
    <t>Deutsch, Babette</t>
  </si>
  <si>
    <t>to-read (#855)</t>
  </si>
  <si>
    <t>Dictionary of Untranslatables: A Philosophical Lexicon (Translation/Transnation, 35)</t>
  </si>
  <si>
    <t>Barbara Cassin</t>
  </si>
  <si>
    <t>Cassin, Barbara</t>
  </si>
  <si>
    <t>Emily Apter, Jacques Lezra</t>
  </si>
  <si>
    <t xml:space="preserve">dictionaries-and-encyclopedias, philosophy, to-read, </t>
  </si>
  <si>
    <t>to-read (#449), dictionaries-and-encyclopedias (#14), philosophy (#36)</t>
  </si>
  <si>
    <t>Small Wonder</t>
  </si>
  <si>
    <t>Barbara Kingsolver</t>
  </si>
  <si>
    <t>Kingsolver, Barbara</t>
  </si>
  <si>
    <t>to-read (#519)</t>
  </si>
  <si>
    <t>Tarot for Beginners: A Practical Guide to Reading the Cards (Llewellyn's For Beginners, 28)</t>
  </si>
  <si>
    <t>Barbara Moore</t>
  </si>
  <si>
    <t>Moore, Barbara</t>
  </si>
  <si>
    <t>Llewellyn Publications</t>
  </si>
  <si>
    <t xml:space="preserve">0, tarot, to-read, </t>
  </si>
  <si>
    <t>to-read (#1017), 0 (#197), tarot (#4)</t>
  </si>
  <si>
    <t>A Distant Mirror: The Calamitous 14th Century</t>
  </si>
  <si>
    <t>Barbara W. Tuchman</t>
  </si>
  <si>
    <t>Tuchman, Barbara W.</t>
  </si>
  <si>
    <t>Random House Trade Paperbacks</t>
  </si>
  <si>
    <t>to-read (#2076), history (#74), nonfiction (#281)</t>
  </si>
  <si>
    <t>The March of Folly</t>
  </si>
  <si>
    <t>to-read (#1899), nonfiction (#154)</t>
  </si>
  <si>
    <t>Twins: Dead Ringers</t>
  </si>
  <si>
    <t>Bari Wood</t>
  </si>
  <si>
    <t>Wood, Bari</t>
  </si>
  <si>
    <t>Jack Geasland</t>
  </si>
  <si>
    <t>iUniverse</t>
  </si>
  <si>
    <t>to-read (#1782)</t>
  </si>
  <si>
    <t>Sacred Hunger (Sacred Hunger #1)</t>
  </si>
  <si>
    <t>Barry Unsworth</t>
  </si>
  <si>
    <t>Unsworth, Barry</t>
  </si>
  <si>
    <t>W.W. Norton  Company</t>
  </si>
  <si>
    <t>to-read (#1300), awards-man-booker-prize-winners (#26)</t>
  </si>
  <si>
    <t>Heaven and Hell: A History of the Afterlife</t>
  </si>
  <si>
    <t>Bart D. Ehrman</t>
  </si>
  <si>
    <t>Ehrman, Bart D.</t>
  </si>
  <si>
    <t>Simon  Schuster</t>
  </si>
  <si>
    <t>to-read (#2175), nonfiction (#227), history (#71)</t>
  </si>
  <si>
    <t>The Apocryphal Gospels: Texts and Translations</t>
  </si>
  <si>
    <t>Zlatko Pleše</t>
  </si>
  <si>
    <t>to-read (#1551)</t>
  </si>
  <si>
    <t>The Pleasure and Pain of Cult Horror Films: An Historical Survey</t>
  </si>
  <si>
    <t>Bartłomiej Paszylk</t>
  </si>
  <si>
    <t>Paszylk, Bartłomiej</t>
  </si>
  <si>
    <t>McFarland &amp; Company</t>
  </si>
  <si>
    <t>to-read (#1832)</t>
  </si>
  <si>
    <t>Compendio Del Sistema Alegorico, Y Diccionario Manual De La Iconologia Universal ... (Spanish Edition)</t>
  </si>
  <si>
    <t>Basilio Sebastian Castellanos</t>
  </si>
  <si>
    <t>Castellanos, Basilio Sebastian</t>
  </si>
  <si>
    <t>Nabu Press</t>
  </si>
  <si>
    <t>to-read (#1093)</t>
  </si>
  <si>
    <t>Clases de literatura argentina: Facultad de Filosofía y Letras (UBA), 1984-1988 (Biblioteca Beatriz Sarlo) (Spanish Edition)</t>
  </si>
  <si>
    <t>Beatriz Sarlo</t>
  </si>
  <si>
    <t>Sarlo, Beatriz</t>
  </si>
  <si>
    <t>Siglo XXI Editores</t>
  </si>
  <si>
    <t>to-read (#1027), nonfiction (#67)</t>
  </si>
  <si>
    <t>Donde no hago pie</t>
  </si>
  <si>
    <t>Belén López Peiró</t>
  </si>
  <si>
    <t>Peiró, Belén López</t>
  </si>
  <si>
    <t>Lumen</t>
  </si>
  <si>
    <t xml:space="preserve">books-from-twitter, sa-mx, to-read, </t>
  </si>
  <si>
    <t>to-read (#2190), sa-mx (#3), books-from-twitter (#34)</t>
  </si>
  <si>
    <t>Forgotten Fatherland: The Search for Elisabeth Nietzsche</t>
  </si>
  <si>
    <t>Ben Macintyre</t>
  </si>
  <si>
    <t>Macintyre, Ben</t>
  </si>
  <si>
    <t>HarperPerennial</t>
  </si>
  <si>
    <t>to-read (#818)</t>
  </si>
  <si>
    <t>The Famished Road</t>
  </si>
  <si>
    <t>Ben Okri</t>
  </si>
  <si>
    <t>Okri, Ben</t>
  </si>
  <si>
    <t>Anchor Books</t>
  </si>
  <si>
    <t>to-read (#1298), awards-man-booker-prize-winners (#24)</t>
  </si>
  <si>
    <t>Holistic Tarot: An Integrative Approach to Using Tarot for Personal Growth</t>
  </si>
  <si>
    <t>Benebell Wen</t>
  </si>
  <si>
    <t>Wen, Benebell</t>
  </si>
  <si>
    <t>North Atlantic Books</t>
  </si>
  <si>
    <t>to-read (#931)</t>
  </si>
  <si>
    <t>The Intelligent Investor</t>
  </si>
  <si>
    <t>Benjamin Graham</t>
  </si>
  <si>
    <t>Graham, Benjamin</t>
  </si>
  <si>
    <t>Jason Zweig, Warren Buffett</t>
  </si>
  <si>
    <t>Harper Business</t>
  </si>
  <si>
    <t>to-read (#534)</t>
  </si>
  <si>
    <t>Celibacies: American Modernism and Sexual Life</t>
  </si>
  <si>
    <t>Benjamin Kahan</t>
  </si>
  <si>
    <t>Kahan, Benjamin</t>
  </si>
  <si>
    <t>Duke University Press Books</t>
  </si>
  <si>
    <t>to-read (#663)</t>
  </si>
  <si>
    <t>The Book of Minor Perverts: Sexology, Etiology, and the Emergences of Sexuality</t>
  </si>
  <si>
    <t>to-read (#662)</t>
  </si>
  <si>
    <t>The MANIAC</t>
  </si>
  <si>
    <t>Benjamín Labatut</t>
  </si>
  <si>
    <t>Labatut, Benjamín</t>
  </si>
  <si>
    <t>to-read (#2334), books-from-twitter (#67)</t>
  </si>
  <si>
    <t>Language, Thought, and Reality: Selected Writings of Benjamin Lee Whorf</t>
  </si>
  <si>
    <t>Benjamin Lee Whorf</t>
  </si>
  <si>
    <t>Whorf, Benjamin Lee</t>
  </si>
  <si>
    <t>John B. Carroll</t>
  </si>
  <si>
    <t>MIT Press</t>
  </si>
  <si>
    <t>to-read (#1912)</t>
  </si>
  <si>
    <t>Quick Fixes: Drugs in America from Prohibition to the 21st Century Binge</t>
  </si>
  <si>
    <t>Benjamin Y. Fong</t>
  </si>
  <si>
    <t>Fong, Benjamin Y.</t>
  </si>
  <si>
    <t>to-read (#1495)</t>
  </si>
  <si>
    <t>Labyrinths of Iron: A History of the World's Subways</t>
  </si>
  <si>
    <t>Benson Bobrick</t>
  </si>
  <si>
    <t>Bobrick, Benson</t>
  </si>
  <si>
    <t>Newsweek Books</t>
  </si>
  <si>
    <t>to-read (#1700)</t>
  </si>
  <si>
    <t>The Fated Sky: Astrology in History</t>
  </si>
  <si>
    <t>to-read (#1699)</t>
  </si>
  <si>
    <t>A Private Affair</t>
  </si>
  <si>
    <t>Beppe Fenoglio</t>
  </si>
  <si>
    <t>Fenoglio, Beppe</t>
  </si>
  <si>
    <t>Howard Curtis</t>
  </si>
  <si>
    <t>to-read (#1231), novels (#169)</t>
  </si>
  <si>
    <t>Shame and Necessity</t>
  </si>
  <si>
    <t>Bernard Williams</t>
  </si>
  <si>
    <t>Williams, Bernard</t>
  </si>
  <si>
    <t>to-read (#1656)</t>
  </si>
  <si>
    <t>Girl, Woman, Other</t>
  </si>
  <si>
    <t>Bernardine Evaristo</t>
  </si>
  <si>
    <t>Evaristo, Bernardine</t>
  </si>
  <si>
    <t>Hamish Hamilton</t>
  </si>
  <si>
    <t>to-read (#1325), awards-man-booker-prize-winners (#54)</t>
  </si>
  <si>
    <t>My Stupid Intentions</t>
  </si>
  <si>
    <t>Bernardo Zannoni</t>
  </si>
  <si>
    <t>Zannoni, Bernardo</t>
  </si>
  <si>
    <t>to-read (#1225), novels (#48), 0 (#543)</t>
  </si>
  <si>
    <t>The Elected Member</t>
  </si>
  <si>
    <t>Bernice Rubens</t>
  </si>
  <si>
    <t>Rubens, Bernice</t>
  </si>
  <si>
    <t>Abacus</t>
  </si>
  <si>
    <t>to-read (#1280), awards-man-booker-prize-winners (#2), novels (#176)</t>
  </si>
  <si>
    <t>The Conquest of Happiness</t>
  </si>
  <si>
    <t>Bertrand Russell</t>
  </si>
  <si>
    <t>Russell, Bertrand</t>
  </si>
  <si>
    <t>Daniel C. Dennett</t>
  </si>
  <si>
    <t>to-read (#1391), philosophy (#13), 0 (#412)</t>
  </si>
  <si>
    <t>The Hemlock Cup: Socrates, Athens and the Search for the Good Life</t>
  </si>
  <si>
    <t>Bettany Hughes</t>
  </si>
  <si>
    <t>Hughes, Bettany</t>
  </si>
  <si>
    <t>Knopf</t>
  </si>
  <si>
    <t>to-read (#1794), biographies-etc (#33)</t>
  </si>
  <si>
    <t>The Feminine Mystique</t>
  </si>
  <si>
    <t>Betty Friedan</t>
  </si>
  <si>
    <t>Friedan, Betty</t>
  </si>
  <si>
    <t>Gail Collins, Anna Quindlen</t>
  </si>
  <si>
    <t>to-read (#951)</t>
  </si>
  <si>
    <t>A Walk in the Woods: Rediscovering America on the Appalachian Trail</t>
  </si>
  <si>
    <t>Bill Bryson</t>
  </si>
  <si>
    <t>Bryson, Bill</t>
  </si>
  <si>
    <t>to-read (#1919)</t>
  </si>
  <si>
    <t>The Definitive Tarot</t>
  </si>
  <si>
    <t>Bill Butler</t>
  </si>
  <si>
    <t>Butler, Bill</t>
  </si>
  <si>
    <t>Unknown</t>
  </si>
  <si>
    <t>to-read (#1060)</t>
  </si>
  <si>
    <t>Five Quarts: A Personal and Natural History of Blood</t>
  </si>
  <si>
    <t>Bill Hayes</t>
  </si>
  <si>
    <t>Hayes, Bill</t>
  </si>
  <si>
    <t>Ballantine Books</t>
  </si>
  <si>
    <t>to-read (#666)</t>
  </si>
  <si>
    <t>Sleep Demons: An Insomniac's Memoir</t>
  </si>
  <si>
    <t>Washington Square Press</t>
  </si>
  <si>
    <t>to-read (#665)</t>
  </si>
  <si>
    <t>I Celebrate Myself: The Somewhat Private Life of Allen Ginsberg</t>
  </si>
  <si>
    <t>Bill Morgan</t>
  </si>
  <si>
    <t>Morgan, Bill</t>
  </si>
  <si>
    <t>Viking Adult</t>
  </si>
  <si>
    <t>to-read (#160), biographies-etc (#20)</t>
  </si>
  <si>
    <t>Rabid: A Cultural History of the World's Most Diabolical Virus</t>
  </si>
  <si>
    <t>Bill Wasik</t>
  </si>
  <si>
    <t>Wasik, Bill</t>
  </si>
  <si>
    <t>Monica Murphy</t>
  </si>
  <si>
    <t>to-read (#691), history (#50), nonfiction (#110)</t>
  </si>
  <si>
    <t>The Apple that Astonished Paris</t>
  </si>
  <si>
    <t>Billy Collins</t>
  </si>
  <si>
    <t>Collins, Billy</t>
  </si>
  <si>
    <t>University of Arkansas Press</t>
  </si>
  <si>
    <t>to-read (#425)</t>
  </si>
  <si>
    <t>The Skin Is the Elastic Covering that Encases the Entire Body</t>
  </si>
  <si>
    <t>Bjørn Rasmussen</t>
  </si>
  <si>
    <t>Rasmussen, Bjørn</t>
  </si>
  <si>
    <t>Martin Aiken</t>
  </si>
  <si>
    <t>Two Lines Press</t>
  </si>
  <si>
    <t>novels (#75), 0 (#482)</t>
  </si>
  <si>
    <t>State of Denial</t>
  </si>
  <si>
    <t>Bob Woodward</t>
  </si>
  <si>
    <t>Woodward, Bob</t>
  </si>
  <si>
    <t>to-read (#2364), biblio-shock-doctrine (#87)</t>
  </si>
  <si>
    <t>All My Cats</t>
  </si>
  <si>
    <t>Bohumil Hrabal</t>
  </si>
  <si>
    <t>Hrabal, Bohumil</t>
  </si>
  <si>
    <t>Paul Wilson</t>
  </si>
  <si>
    <t>to-read (#1169), biographies-etc (#47)</t>
  </si>
  <si>
    <t>Closely Watched Trains</t>
  </si>
  <si>
    <t>Edith Pargeter, Josef Škvorecký</t>
  </si>
  <si>
    <t>to-read (#1783)</t>
  </si>
  <si>
    <t>Lamb</t>
  </si>
  <si>
    <t>Bonnie Nadzam</t>
  </si>
  <si>
    <t>Nadzam, Bonnie</t>
  </si>
  <si>
    <t>Hutchinson</t>
  </si>
  <si>
    <t>to-read (#67)</t>
  </si>
  <si>
    <t>Square Wheels: How Russian Democracy Got Derailed</t>
  </si>
  <si>
    <t>Boris Kagarlitsky</t>
  </si>
  <si>
    <t>Kagarlitsky, Boris</t>
  </si>
  <si>
    <t>Monthly Review Press</t>
  </si>
  <si>
    <t>to-read (#2341), biblio-shock-doctrine (#65)</t>
  </si>
  <si>
    <t>Dionysus in Literature: Essays on Literary Madness</t>
  </si>
  <si>
    <t>Branimir M Rieger</t>
  </si>
  <si>
    <t>Rieger, Branimir M</t>
  </si>
  <si>
    <t>Popular Press</t>
  </si>
  <si>
    <t>to-read (#1660)</t>
  </si>
  <si>
    <t>Torture in Brazil: A Shocking Report on the Pervasive Use of Torture by Brazilian Military Governments, 1964-1979, Secretly Prepared by the Archiodese of São Paulo (LLILAS Special Publications)</t>
  </si>
  <si>
    <t>Brazil Archdiocese of São Paulo</t>
  </si>
  <si>
    <t>Paulo, Brazil Archdiocese of São</t>
  </si>
  <si>
    <t>Jaime Wright, Joan Dassin</t>
  </si>
  <si>
    <t>University of Texas Press</t>
  </si>
  <si>
    <t>to-read (#2301), biblio-shock-doctrine (#35)</t>
  </si>
  <si>
    <t>Less Than Zero</t>
  </si>
  <si>
    <t>Bret Easton Ellis</t>
  </si>
  <si>
    <t>Ellis, Bret Easton</t>
  </si>
  <si>
    <t>to-read (#992), novels (#60), 0 (#393)</t>
  </si>
  <si>
    <t>The Subtle Dance of Impulse and Light</t>
  </si>
  <si>
    <t>Brett Riley</t>
  </si>
  <si>
    <t>Riley, Brett</t>
  </si>
  <si>
    <t>Ink Brush Press</t>
  </si>
  <si>
    <t>to-read (#1416), short-stories (#13), 0 (#499)</t>
  </si>
  <si>
    <t>Booknotes: America's Finest Authors on Reading, Writing, and the Power of Ideas</t>
  </si>
  <si>
    <t>Brian  Lamb</t>
  </si>
  <si>
    <t>Lamb, Brian</t>
  </si>
  <si>
    <t>Three Rivers Press</t>
  </si>
  <si>
    <t>to-read (#2036)</t>
  </si>
  <si>
    <t>How the Internet Happened: From Netscape to the iPhone</t>
  </si>
  <si>
    <t>Brian  McCullough</t>
  </si>
  <si>
    <t>McCullough, Brian</t>
  </si>
  <si>
    <t>to-read (#1750)</t>
  </si>
  <si>
    <t>Essayism</t>
  </si>
  <si>
    <t>Brian Dillon</t>
  </si>
  <si>
    <t>Dillon, Brian</t>
  </si>
  <si>
    <t xml:space="preserve">authors-swiss-authors, psychology, to-read, </t>
  </si>
  <si>
    <t>to-read (#705)</t>
  </si>
  <si>
    <t>Suppose a Sentence</t>
  </si>
  <si>
    <t>to-read (#648)</t>
  </si>
  <si>
    <t>Father of Lies</t>
  </si>
  <si>
    <t>Brian Evenson</t>
  </si>
  <si>
    <t>Evenson, Brian</t>
  </si>
  <si>
    <t>Samuel R. Delany</t>
  </si>
  <si>
    <t>Coffee House Press</t>
  </si>
  <si>
    <t>to-read (#1264)</t>
  </si>
  <si>
    <t>A Collapse of Horses</t>
  </si>
  <si>
    <t>to-read (#1107)</t>
  </si>
  <si>
    <t>The Glassy, Burning Floor of Hell</t>
  </si>
  <si>
    <t>to-read (#940)</t>
  </si>
  <si>
    <t>The Book of Magic: From Antiquity to the Enlightenment</t>
  </si>
  <si>
    <t>Brian P. Copenhaver</t>
  </si>
  <si>
    <t>Copenhaver, Brian P.</t>
  </si>
  <si>
    <t>to-read (#277), nonfiction (#33), 0 (#476)</t>
  </si>
  <si>
    <t>Pleasure (New Series #37)</t>
  </si>
  <si>
    <t>Brian Teare</t>
  </si>
  <si>
    <t>Teare, Brian</t>
  </si>
  <si>
    <t>to-read (#287)</t>
  </si>
  <si>
    <t>100 Boyfriends</t>
  </si>
  <si>
    <t>Brontez Purnell</t>
  </si>
  <si>
    <t>Purnell, Brontez</t>
  </si>
  <si>
    <t>MCD x FSG Originals</t>
  </si>
  <si>
    <t xml:space="preserve">queer-gender-etc, short-stories, to-read, </t>
  </si>
  <si>
    <t>to-read (#721), short-stories (#40), queer-gender-etc (#47)</t>
  </si>
  <si>
    <t>Johnny Would You Love Me If My Dick Were Bigger</t>
  </si>
  <si>
    <t>The Feminist Press at CUNY</t>
  </si>
  <si>
    <t>to-read (#356)</t>
  </si>
  <si>
    <t>In Patagonia</t>
  </si>
  <si>
    <t>Bruce Chatwin</t>
  </si>
  <si>
    <t>Chatwin, Bruce</t>
  </si>
  <si>
    <t>Nicholas Shakespeare</t>
  </si>
  <si>
    <t>to-read (#2204), nonfiction (#216)</t>
  </si>
  <si>
    <t>The Boy Who Was Raised as a Dog: And Other Stories from a Child Psychiatrist's Notebook</t>
  </si>
  <si>
    <t>Bruce D. Perry</t>
  </si>
  <si>
    <t>Perry, Bruce D.</t>
  </si>
  <si>
    <t>Maia Szalavitz</t>
  </si>
  <si>
    <t>Basic Books</t>
  </si>
  <si>
    <t>to-read (#889), nonfiction (#136)</t>
  </si>
  <si>
    <t>Nightwalkers: Gothic Horror Movies</t>
  </si>
  <si>
    <t>Bruce Lanier Wright</t>
  </si>
  <si>
    <t>Wright, Bruce Lanier</t>
  </si>
  <si>
    <t>Taylor Trade Publishing</t>
  </si>
  <si>
    <t>to-read (#432)</t>
  </si>
  <si>
    <t>The Great Philosophers: An Introduction to Western Philosophy</t>
  </si>
  <si>
    <t>Bryan Magee</t>
  </si>
  <si>
    <t>Magee, Bryan</t>
  </si>
  <si>
    <t>to-read (#1949)</t>
  </si>
  <si>
    <t>Understanding Exposure: How to Shoot Great Photographs with a Film or Digital Camera</t>
  </si>
  <si>
    <t>Bryan Peterson</t>
  </si>
  <si>
    <t>Peterson, Bryan</t>
  </si>
  <si>
    <t>Amphoto Books</t>
  </si>
  <si>
    <t>to-read (#372)</t>
  </si>
  <si>
    <t>Bulleh Shah: Selected Poems</t>
  </si>
  <si>
    <t>Bulleh Shah</t>
  </si>
  <si>
    <t>Shah, Bulleh</t>
  </si>
  <si>
    <t>Paul   Smith</t>
  </si>
  <si>
    <t>CreateSpace Independent Publishing Platform</t>
  </si>
  <si>
    <t>to-read (#99)</t>
  </si>
  <si>
    <t>A History of Western Philosophy: From the Pre-Socratics to Postmodernism</t>
  </si>
  <si>
    <t>C. Stephen Evans</t>
  </si>
  <si>
    <t>Evans, C. Stephen</t>
  </si>
  <si>
    <t>IVP Academic</t>
  </si>
  <si>
    <t xml:space="preserve">biographies-etc, nonfiction, philosophy, to-read, </t>
  </si>
  <si>
    <t>to-read (#887), biographies-etc (#27), nonfiction (#135), philosophy (#47)</t>
  </si>
  <si>
    <t>Symbols of Transformation (Collected Works 5)</t>
  </si>
  <si>
    <t>C.G. Jung</t>
  </si>
  <si>
    <t>Jung, C.G.</t>
  </si>
  <si>
    <t>Gerhard Adler, R.F.C. Hull</t>
  </si>
  <si>
    <t xml:space="preserve">authors-swiss-authors, nonfiction, psychology, to-read, </t>
  </si>
  <si>
    <t>to-read (#1084), psychology (#19)</t>
  </si>
  <si>
    <t>Modern Man in Search of a Soul</t>
  </si>
  <si>
    <t>W.S. Dell, Cary F. Baynes</t>
  </si>
  <si>
    <t>Harcourt</t>
  </si>
  <si>
    <t>to-read (#2041), psychology (#18)</t>
  </si>
  <si>
    <t>Four Archetypes</t>
  </si>
  <si>
    <t>R.F.C. Hull</t>
  </si>
  <si>
    <t xml:space="preserve">authors-english-authors, novels, to-read, </t>
  </si>
  <si>
    <t>to-read (#2139), nonfiction (#183), psychology (#12)</t>
  </si>
  <si>
    <t>Synchronicity: An Acausal Connecting Principle</t>
  </si>
  <si>
    <t>to-read (#2137), nonfiction (#181), psychology (#10)</t>
  </si>
  <si>
    <t>The Archetypes and the Collective Unconscious (Collected Works 9i)</t>
  </si>
  <si>
    <t>Michael Fordham, Herbert Read, R.F.C. Hull</t>
  </si>
  <si>
    <t>Princeton University Press (NJ)</t>
  </si>
  <si>
    <t>to-read (#2135), nonfiction (#178), psychology (#7)</t>
  </si>
  <si>
    <t>Man and His Symbols</t>
  </si>
  <si>
    <t>Bantam</t>
  </si>
  <si>
    <t xml:space="preserve">0, authors-swiss-authors, to-read, </t>
  </si>
  <si>
    <t>to-read (#957), 0 (#276)</t>
  </si>
  <si>
    <t>Why Tai Chi? / Questions and Answers</t>
  </si>
  <si>
    <t>C.K. Chu</t>
  </si>
  <si>
    <t>Chu, C.K.</t>
  </si>
  <si>
    <t>Jeremy W. Hubbell</t>
  </si>
  <si>
    <t>Sunflower Press</t>
  </si>
  <si>
    <t>Perfect Paperback</t>
  </si>
  <si>
    <t>to-read (#1408), 0 (#259)</t>
  </si>
  <si>
    <t>Till We Have Faces</t>
  </si>
  <si>
    <t>C.S. Lewis</t>
  </si>
  <si>
    <t>Lewis, C.S.</t>
  </si>
  <si>
    <t>Harcourt Paperbacks</t>
  </si>
  <si>
    <t xml:space="preserve">authors-uruguayan-authors, to-read, </t>
  </si>
  <si>
    <t>to-read (#1437), novels (#181)</t>
  </si>
  <si>
    <t>Virtue and Vice: A Dictionary of the Good Life</t>
  </si>
  <si>
    <t>to-read (#2069)</t>
  </si>
  <si>
    <t>The Problem of Pain</t>
  </si>
  <si>
    <t>CollinsWillow</t>
  </si>
  <si>
    <t>to-read (#1831)</t>
  </si>
  <si>
    <t>The Magician's Nephew (Chronicles of Narnia, #6)</t>
  </si>
  <si>
    <t>HarperCollins Narnia</t>
  </si>
  <si>
    <t>From Here to Eternity: Traveling the World to Find the Good Death</t>
  </si>
  <si>
    <t>Caitlin Doughty</t>
  </si>
  <si>
    <t>Doughty, Caitlin</t>
  </si>
  <si>
    <t>Landis Blair</t>
  </si>
  <si>
    <t>W. W. Norton &amp; Company, Inc.</t>
  </si>
  <si>
    <t>to-read (#692)</t>
  </si>
  <si>
    <t>Digital Minimalism: Choosing a Focused Life in a Noisy World</t>
  </si>
  <si>
    <t>Cal Newport</t>
  </si>
  <si>
    <t>Newport, Cal</t>
  </si>
  <si>
    <t>Portfolio</t>
  </si>
  <si>
    <t>to-read (#1149)</t>
  </si>
  <si>
    <t>A Natural History of Transition</t>
  </si>
  <si>
    <t>Callum Angus</t>
  </si>
  <si>
    <t>Angus, Callum</t>
  </si>
  <si>
    <t>Metonymy Press</t>
  </si>
  <si>
    <t>to-read (#714), short-stories (#38), queer-gender-etc (#46)</t>
  </si>
  <si>
    <t>A Primer of Jungian Psychology</t>
  </si>
  <si>
    <t>Calvin Springer Hall</t>
  </si>
  <si>
    <t>Hall, Calvin Springer</t>
  </si>
  <si>
    <t>Vernon J. Nordby</t>
  </si>
  <si>
    <t>Signet/Mentor/New American Library (NY)</t>
  </si>
  <si>
    <t>to-read (#958), nonfiction (#197), psychology (#20)</t>
  </si>
  <si>
    <t>The Dead Animal Handbook: An Anthology of Contemporary Poetry</t>
  </si>
  <si>
    <t>Cameron Awkward-Rich</t>
  </si>
  <si>
    <t>Awkward-Rich, Cameron</t>
  </si>
  <si>
    <t>Sam Sax</t>
  </si>
  <si>
    <t>University of Hell Press</t>
  </si>
  <si>
    <t>to-read (#196)</t>
  </si>
  <si>
    <t>No te ama</t>
  </si>
  <si>
    <t>Camila Gutiérrez</t>
  </si>
  <si>
    <t>Gutiérrez, Camila</t>
  </si>
  <si>
    <t>Plaza &amp; Janés</t>
  </si>
  <si>
    <t>to-read (#477)</t>
  </si>
  <si>
    <t>El viaje inútil</t>
  </si>
  <si>
    <t>Camila Sosa Villada</t>
  </si>
  <si>
    <t>Villada, Camila Sosa</t>
  </si>
  <si>
    <t>Ediciones DocumentA/Escénicas</t>
  </si>
  <si>
    <t>to-read (#509)</t>
  </si>
  <si>
    <t>Las malas</t>
  </si>
  <si>
    <t>Tusquets</t>
  </si>
  <si>
    <t>to-read (#508), novels (#35), 0 (#533)</t>
  </si>
  <si>
    <t>Fifth Sun: A New History of the Aztecs</t>
  </si>
  <si>
    <t>Camilla Townsend</t>
  </si>
  <si>
    <t>Townsend, Camilla</t>
  </si>
  <si>
    <t>to-read (#740), history (#38), nonfiction (#117)</t>
  </si>
  <si>
    <t>Dyscalculia: A Love Story of Epic Miscalculation</t>
  </si>
  <si>
    <t>Camonghne Felix</t>
  </si>
  <si>
    <t>Felix, Camonghne</t>
  </si>
  <si>
    <t>One World</t>
  </si>
  <si>
    <t>to-read (#1114), nonfiction (#263)</t>
  </si>
  <si>
    <t>Practical Gods</t>
  </si>
  <si>
    <t>Carl  Dennis</t>
  </si>
  <si>
    <t>Dennis, Carl</t>
  </si>
  <si>
    <t>Penguin Publishing Group</t>
  </si>
  <si>
    <t>The Urge: Our History of Addiction</t>
  </si>
  <si>
    <t>Carl Erik Fisher</t>
  </si>
  <si>
    <t>Fisher, Carl Erik</t>
  </si>
  <si>
    <t>Allen Lane</t>
  </si>
  <si>
    <t xml:space="preserve">nonfiction, to-read, z-2023, </t>
  </si>
  <si>
    <t>to-read (#1985), z-2023 (#9), nonfiction (#273)</t>
  </si>
  <si>
    <t>Encircling (Innsirkling #1)</t>
  </si>
  <si>
    <t>Carl Frode Tiller</t>
  </si>
  <si>
    <t>Tiller, Carl Frode</t>
  </si>
  <si>
    <t>to-read (#1683)</t>
  </si>
  <si>
    <t>The Rest of Love: Poems</t>
  </si>
  <si>
    <t>Carl Phillips</t>
  </si>
  <si>
    <t>Phillips, Carl</t>
  </si>
  <si>
    <t>to-read (#288)</t>
  </si>
  <si>
    <t>Reconnaissance</t>
  </si>
  <si>
    <t>Jeff Clark</t>
  </si>
  <si>
    <t>On Becoming a Person: A Therapist's View of Psychotherapy</t>
  </si>
  <si>
    <t>Carl R. Rogers</t>
  </si>
  <si>
    <t>Rogers, Carl R.</t>
  </si>
  <si>
    <t>Peter D.    Kramer</t>
  </si>
  <si>
    <t xml:space="preserve">psychology, to-read, </t>
  </si>
  <si>
    <t>to-read (#2095), psychology (#4)</t>
  </si>
  <si>
    <t>The Dragons of Eden: Speculations on the Evolution of Human Intelligence</t>
  </si>
  <si>
    <t>Carl Sagan</t>
  </si>
  <si>
    <t>Sagan, Carl</t>
  </si>
  <si>
    <t>Random House USA</t>
  </si>
  <si>
    <t>to-read (#1936)</t>
  </si>
  <si>
    <t>The Teachings of Don Juan: A Yaqui Way of Knowledge</t>
  </si>
  <si>
    <t>Carlos Castaneda</t>
  </si>
  <si>
    <t>Castaneda, Carlos</t>
  </si>
  <si>
    <t>Touchstone/Simon &amp; Schuster</t>
  </si>
  <si>
    <t>to-read (#1849)</t>
  </si>
  <si>
    <t>El espejo enterrado</t>
  </si>
  <si>
    <t>Carlos Fuentes</t>
  </si>
  <si>
    <t>Fuentes, Carlos</t>
  </si>
  <si>
    <t>Aguilar</t>
  </si>
  <si>
    <t xml:space="preserve">authors-mexican-authors, nonfiction, to-read, </t>
  </si>
  <si>
    <t>to-read (#2206), nonfiction (#220)</t>
  </si>
  <si>
    <t>Holy place</t>
  </si>
  <si>
    <t>E. P. Dutton</t>
  </si>
  <si>
    <t xml:space="preserve">authors-german-authors, authors-usa-authors, to-read, </t>
  </si>
  <si>
    <t>to-read (#483)</t>
  </si>
  <si>
    <t>LA REGION MAS TRANSPARENTE | CARLOS FUENTES | FCE 1977</t>
  </si>
  <si>
    <t>Fondo de la cultura económica.</t>
  </si>
  <si>
    <t xml:space="preserve">0, authors-mexican-authors, novels, to-read, </t>
  </si>
  <si>
    <t>to-read (#573), novels (#77), 0 (#293)</t>
  </si>
  <si>
    <t>Todos los gatos son pardos</t>
  </si>
  <si>
    <t>Siglo XXI de España Editores, S.A.</t>
  </si>
  <si>
    <t>to-read (#482)</t>
  </si>
  <si>
    <t>What Were We Thinking: A Brief Intellectual History of the Trump Era</t>
  </si>
  <si>
    <t>Carlos Lozada</t>
  </si>
  <si>
    <t>Lozada, Carlos</t>
  </si>
  <si>
    <t>to-read (#2037), nonfiction (#206)</t>
  </si>
  <si>
    <t>Chechnya: Calamity in the Caucasus</t>
  </si>
  <si>
    <t>Carlotta Gall</t>
  </si>
  <si>
    <t>Gall, Carlotta</t>
  </si>
  <si>
    <t>Thomas de Waal</t>
  </si>
  <si>
    <t>NYU Press</t>
  </si>
  <si>
    <t>to-read (#2347), biblio-shock-doctrine (#71)</t>
  </si>
  <si>
    <t>The Quiet in the Land: Luang Prabang, Laos</t>
  </si>
  <si>
    <t>Carol Becker</t>
  </si>
  <si>
    <t>Becker, Carol</t>
  </si>
  <si>
    <t>Francis Engelmann, John Farmer</t>
  </si>
  <si>
    <t>The Quiet in the Land, Inc.</t>
  </si>
  <si>
    <t>to-read (#1664), 0 (#231)</t>
  </si>
  <si>
    <t>How to Read Buildings: A Crash Course in Architectural Styles</t>
  </si>
  <si>
    <t>Carol Davidson Cragoe</t>
  </si>
  <si>
    <t>Cragoe, Carol Davidson</t>
  </si>
  <si>
    <t>Rizzoli</t>
  </si>
  <si>
    <t>to-read (#1688)</t>
  </si>
  <si>
    <t>The A to Z of Nietzscheanism (The A to Z Guide Series, 171) (Volume 171)</t>
  </si>
  <si>
    <t>Carol Diethe</t>
  </si>
  <si>
    <t>Diethe, Carol</t>
  </si>
  <si>
    <t>Scarecrow Press</t>
  </si>
  <si>
    <t>to-read (#814), dictionaries-and-encyclopedias (#4), philosophy (#39)</t>
  </si>
  <si>
    <t>Nietzsche's Sister and the Will to Power: A Biography of Elisabeth Förster-Nietzsche (International Nietzsche Studies)</t>
  </si>
  <si>
    <t>University of Illinois Press</t>
  </si>
  <si>
    <t xml:space="preserve">biographies-etc, nonfiction, to-read, </t>
  </si>
  <si>
    <t>to-read (#813), biographies-etc (#25), nonfiction (#129)</t>
  </si>
  <si>
    <t>A Field Guide to Demons, Fairies, Fallen Angels and Other Subversive Spirits</t>
  </si>
  <si>
    <t>Carol K. Mack</t>
  </si>
  <si>
    <t>Mack, Carol K.</t>
  </si>
  <si>
    <t>Owl Books (Henry Holt and Company)</t>
  </si>
  <si>
    <t>Library Binding</t>
  </si>
  <si>
    <t>to-read (#373), mythology (#62), dictionaries-and-encyclopedias (#37)</t>
  </si>
  <si>
    <t>Food and Culture: A Reader</t>
  </si>
  <si>
    <t>Carole Counihan</t>
  </si>
  <si>
    <t>Counihan, Carole</t>
  </si>
  <si>
    <t>Penny van Esterik</t>
  </si>
  <si>
    <t>to-read (#359)</t>
  </si>
  <si>
    <t>Corrigan (New York Review Books Classics)</t>
  </si>
  <si>
    <t>Caroline Blackwood</t>
  </si>
  <si>
    <t>Blackwood, Caroline</t>
  </si>
  <si>
    <t>to-read (#1929)</t>
  </si>
  <si>
    <t>Drawing the Line: The American Decision to Divide Germany, 1944-1949</t>
  </si>
  <si>
    <t>Carolyn Woods Eisenberg</t>
  </si>
  <si>
    <t>Eisenberg, Carolyn Woods</t>
  </si>
  <si>
    <t>to-read (#2349), biblio-shock-doctrine (#72)</t>
  </si>
  <si>
    <t>Norman Parkinson: Always in Fashion</t>
  </si>
  <si>
    <t>Carrie Kania</t>
  </si>
  <si>
    <t>Kania, Carrie</t>
  </si>
  <si>
    <t>Alex Anthony</t>
  </si>
  <si>
    <t>Acc Art Books</t>
  </si>
  <si>
    <t>to-read (#967)</t>
  </si>
  <si>
    <t>Intervening Absence</t>
  </si>
  <si>
    <t>Carrie Olivia Adams</t>
  </si>
  <si>
    <t>Adams, Carrie Olivia</t>
  </si>
  <si>
    <t>to-read (#1406), poetry (#13), 0 (#498)</t>
  </si>
  <si>
    <t>The Heart Is a Lonely Hunter</t>
  </si>
  <si>
    <t>Carson McCullers</t>
  </si>
  <si>
    <t>McCullers, Carson</t>
  </si>
  <si>
    <t>HOUGHTON MIFFLIN</t>
  </si>
  <si>
    <t>to-read (#843), novels (#143)</t>
  </si>
  <si>
    <t>Queering the Tarot</t>
  </si>
  <si>
    <t>Cassandra Snow</t>
  </si>
  <si>
    <t>Snow, Cassandra</t>
  </si>
  <si>
    <t>Beth Maiden</t>
  </si>
  <si>
    <t>to-read (#933)</t>
  </si>
  <si>
    <t>Antropología filosófica: Introducción a una filosofía de la cultura</t>
  </si>
  <si>
    <t>Cassirer Ernst</t>
  </si>
  <si>
    <t>Ernst, Cassirer</t>
  </si>
  <si>
    <t>Fondo de Cultura Económica</t>
  </si>
  <si>
    <t>to-read (#1092), philosophy (#58)</t>
  </si>
  <si>
    <t>Pew</t>
  </si>
  <si>
    <t>Catherine Lacey</t>
  </si>
  <si>
    <t>Lacey, Catherine</t>
  </si>
  <si>
    <t>to-read (#550)</t>
  </si>
  <si>
    <t>Unsettling Statecraft: Democracy and Neoliberalism in the Central Andes (Pitt Latin American Series)</t>
  </si>
  <si>
    <t>Catherine M. Conaghan</t>
  </si>
  <si>
    <t>Conaghan, Catherine M.</t>
  </si>
  <si>
    <t>James Malloy</t>
  </si>
  <si>
    <t>University of Pittsburgh Press</t>
  </si>
  <si>
    <t>to-read (#2320), biblio-shock-doctrine (#55)</t>
  </si>
  <si>
    <t>Masonic &amp; Occult Symbols Illustrated</t>
  </si>
  <si>
    <t>Cathy Burns</t>
  </si>
  <si>
    <t>Burns, Cathy</t>
  </si>
  <si>
    <t>Sharing</t>
  </si>
  <si>
    <t>to-read (#962)</t>
  </si>
  <si>
    <t>Core Java Volume I--Fundamentals (Core Series)</t>
  </si>
  <si>
    <t>Cay S. Horstmann</t>
  </si>
  <si>
    <t>Horstmann, Cay S.</t>
  </si>
  <si>
    <t>Pearson</t>
  </si>
  <si>
    <t>to-read (#1010), tech (#10), 0 (#488)</t>
  </si>
  <si>
    <t>The Heritage of Symbolism.</t>
  </si>
  <si>
    <t>Cecil Maurice Bowra</t>
  </si>
  <si>
    <t>Bowra, Cecil Maurice</t>
  </si>
  <si>
    <t>Macmillan and Co., Ltd.</t>
  </si>
  <si>
    <t>to-read (#1089)</t>
  </si>
  <si>
    <t>Un hotel con mi nombre</t>
  </si>
  <si>
    <t>Cecilia Pavón</t>
  </si>
  <si>
    <t>Pavón, Cecilia</t>
  </si>
  <si>
    <t>Mansalva</t>
  </si>
  <si>
    <t>to-read (#827), poetry (#63)</t>
  </si>
  <si>
    <t>Fantasmas buenos</t>
  </si>
  <si>
    <t>to-read (#828)</t>
  </si>
  <si>
    <t>Street Art: The Graffiti Revolution</t>
  </si>
  <si>
    <t>Cedar Lewisohn</t>
  </si>
  <si>
    <t>Lewisohn, Cedar</t>
  </si>
  <si>
    <t>Abrams</t>
  </si>
  <si>
    <t xml:space="preserve">0, art, to-read, </t>
  </si>
  <si>
    <t>to-read (#1889), art (#5), 0 (#527)</t>
  </si>
  <si>
    <t>Fictitious Capital: How Finance Is Appropriating Our Future</t>
  </si>
  <si>
    <t>Cédric Durand</t>
  </si>
  <si>
    <t>Durand, Cédric</t>
  </si>
  <si>
    <t>David Broder</t>
  </si>
  <si>
    <t>to-read (#228)</t>
  </si>
  <si>
    <t>An Episode in the Life of a Landscape Painter</t>
  </si>
  <si>
    <t>César Aira</t>
  </si>
  <si>
    <t>Aira, César</t>
  </si>
  <si>
    <t>Chris Andrews, Roberto Bolaño</t>
  </si>
  <si>
    <t>to-read (#2223), books-from-twitter (#50)</t>
  </si>
  <si>
    <t>Dinner</t>
  </si>
  <si>
    <t>Katherine Silver</t>
  </si>
  <si>
    <t>to-read (#153), novels (#115)</t>
  </si>
  <si>
    <t>How I Became a Nun</t>
  </si>
  <si>
    <t>Chris    Andrews</t>
  </si>
  <si>
    <t>to-read (#58), novels (#105)</t>
  </si>
  <si>
    <t>Matar a Platón</t>
  </si>
  <si>
    <t>Chantal Maillard</t>
  </si>
  <si>
    <t>Maillard, Chantal</t>
  </si>
  <si>
    <t>Tusquets Editores S.A.</t>
  </si>
  <si>
    <t>to-read (#703)</t>
  </si>
  <si>
    <t>Christine de Pizan: Her Life and Works</t>
  </si>
  <si>
    <t>Charity Cannon Willard</t>
  </si>
  <si>
    <t>Willard, Charity Cannon</t>
  </si>
  <si>
    <t>Persea Books, Inc.</t>
  </si>
  <si>
    <t xml:space="preserve">biographies-etc, history, to-read, </t>
  </si>
  <si>
    <t>to-read (#1040), biographies-etc (#60), history (#75)</t>
  </si>
  <si>
    <t>The Greater Trumps</t>
  </si>
  <si>
    <t>Charles  Williams</t>
  </si>
  <si>
    <t>Williams, Charles</t>
  </si>
  <si>
    <t>Regent College Publishing</t>
  </si>
  <si>
    <t>to-read (#1066), novels (#217)</t>
  </si>
  <si>
    <t>Witchcraft</t>
  </si>
  <si>
    <t>Meridian Books</t>
  </si>
  <si>
    <t xml:space="preserve">authors-english-authors, to-read, z-2023, </t>
  </si>
  <si>
    <t>to-read (#1856), z-2023 (#5)</t>
  </si>
  <si>
    <t>Many Dimensions</t>
  </si>
  <si>
    <t>Kessinger Pub Co</t>
  </si>
  <si>
    <t>to-read (#1855)</t>
  </si>
  <si>
    <t>Descent into Hell</t>
  </si>
  <si>
    <t>William B. Eerdmans Publishing Company</t>
  </si>
  <si>
    <t>to-read (#297)</t>
  </si>
  <si>
    <t>The Flowers of Evil</t>
  </si>
  <si>
    <t>Charles Baudelaire</t>
  </si>
  <si>
    <t>Baudelaire, Charles</t>
  </si>
  <si>
    <t>Jonathan D. Culler</t>
  </si>
  <si>
    <t>to-read (#68), biblio-noonday-demon (#33)</t>
  </si>
  <si>
    <t>Nicholas Nickleby</t>
  </si>
  <si>
    <t>Charles Dickens</t>
  </si>
  <si>
    <t>Dickens, Charles</t>
  </si>
  <si>
    <t xml:space="preserve">biblio-noonday-demon, novels, to-read, </t>
  </si>
  <si>
    <t>to-read (#2149), novels (#194), biblio-noonday-demon (#55)</t>
  </si>
  <si>
    <t>A Christmas Carol</t>
  </si>
  <si>
    <t>Watermill Press</t>
  </si>
  <si>
    <t>to-read (#1877), novels (#67), 0 (#442)</t>
  </si>
  <si>
    <t>A Handbook on Hanging</t>
  </si>
  <si>
    <t>Charles Duff</t>
  </si>
  <si>
    <t>Duff, Charles</t>
  </si>
  <si>
    <t>Christopher Hitchens</t>
  </si>
  <si>
    <t>to-read (#1218), nonfiction (#193)</t>
  </si>
  <si>
    <t>The Circus of Dr. Lao</t>
  </si>
  <si>
    <t>Charles G. Finney</t>
  </si>
  <si>
    <t>Finney, Charles G.</t>
  </si>
  <si>
    <t>John Marco, Boris Artzybasheff</t>
  </si>
  <si>
    <t>to-read (#881)</t>
  </si>
  <si>
    <t>Return to Sodom &amp; Gomorrah</t>
  </si>
  <si>
    <t>Charles Pellegrino</t>
  </si>
  <si>
    <t>Pellegrino, Charles</t>
  </si>
  <si>
    <t>to-read (#1854)</t>
  </si>
  <si>
    <t>Mansa Musa and Timbuktu: The History of the West African Emperor and Medieval Africa’s Most Fabled City</t>
  </si>
  <si>
    <t>Charles River Editors</t>
  </si>
  <si>
    <t>Editors, Charles River</t>
  </si>
  <si>
    <t>to-read (#2186), history (#84), biographies-etc (#64)</t>
  </si>
  <si>
    <t>Zero: The Biography of a Dangerous Idea</t>
  </si>
  <si>
    <t>Charles Seife</t>
  </si>
  <si>
    <t>Seife, Charles</t>
  </si>
  <si>
    <t>to-read (#694)</t>
  </si>
  <si>
    <t>The Horse Has Six Legs: An Anthology of Serbian Poetry</t>
  </si>
  <si>
    <t>Charles Simic</t>
  </si>
  <si>
    <t>Simic, Charles</t>
  </si>
  <si>
    <t>to-read (#1608), poetry (#8), 0 (#333)</t>
  </si>
  <si>
    <t>The Racial Contract</t>
  </si>
  <si>
    <t>Charles W. Mills</t>
  </si>
  <si>
    <t>Mills, Charles W.</t>
  </si>
  <si>
    <t>Cornell University Press</t>
  </si>
  <si>
    <t>to-read (#1715), philosophy (#25), 0 (#344)</t>
  </si>
  <si>
    <t>Greek Myths: A New Retelling</t>
  </si>
  <si>
    <t>Charlotte Higgins</t>
  </si>
  <si>
    <t>Higgins, Charlotte</t>
  </si>
  <si>
    <t>Jonathan Cape</t>
  </si>
  <si>
    <t>to-read (#1516), greeks-romans-etc (#72)</t>
  </si>
  <si>
    <t>Red Thread: On Mazes and Labyrinths</t>
  </si>
  <si>
    <t>to-read (#1558)</t>
  </si>
  <si>
    <t>The Yellow Wall-Paper</t>
  </si>
  <si>
    <t>Charlotte Perkins Gilman</t>
  </si>
  <si>
    <t>Gilman, Charlotte Perkins</t>
  </si>
  <si>
    <t>Elaine Hedges</t>
  </si>
  <si>
    <t>to-read (#1464)</t>
  </si>
  <si>
    <t>Wetlands</t>
  </si>
  <si>
    <t>Charlotte Roche</t>
  </si>
  <si>
    <t>Roche, Charlotte</t>
  </si>
  <si>
    <t>Tim Mohr</t>
  </si>
  <si>
    <t>novels</t>
  </si>
  <si>
    <t>novels (#128)</t>
  </si>
  <si>
    <t>Rereading its synopsis after finishing Wetlands, "increasingly uncomfortable detail" and "compulsively readable" were not the two phrases I would have stuck side-by-side but together they describe the hex of the book well: It's pretty gnarly at times and, like a car accident, it kept drawing my eye back to it no matter how many times I put it down. Helen – 18 years old, bored, horny, and hospitalized – spends the 200 plus pages musing about everything from her graphic (keyword here, folks – be warned) sexual experiences to her family's grim and undiscussed history to avocado trees. She's an experience. I felt as trapped in her head as she must have felt in her hospital room, in her life. It felt something like solidarity, after a while, to grimace while reading. She is in pain of all kinds, and being disgusted gave my face contours that mimed Helen's pain, even if mine came from being nauseous and not abandoned. &lt;br/&gt;I finished this book on the toilet, which is probably one of the more appropriate places to finish this particular novel off. I think Helen would have been proud.</t>
  </si>
  <si>
    <t>October: The Story of the Russian Revolution</t>
  </si>
  <si>
    <t>China Miéville</t>
  </si>
  <si>
    <t>Miéville, China</t>
  </si>
  <si>
    <t>to-read (#243)</t>
  </si>
  <si>
    <t>Legs Get Led Astray</t>
  </si>
  <si>
    <t>Chloe Caldwell</t>
  </si>
  <si>
    <t>Caldwell, Chloe</t>
  </si>
  <si>
    <t>Future Tense Books</t>
  </si>
  <si>
    <t>to-read (#139)</t>
  </si>
  <si>
    <t>The Routledge Guidebook to Foucault's The History of Sexuality</t>
  </si>
  <si>
    <t>Chloë Taylor</t>
  </si>
  <si>
    <t>Taylor, Chloë</t>
  </si>
  <si>
    <t xml:space="preserve">foucault, nonfiction, philosophy, to-read, </t>
  </si>
  <si>
    <t>to-read (#248), nonfiction (#92), philosophy (#32), foucault (#19)</t>
  </si>
  <si>
    <t>Read Write Own: Building the Next Era of the Internet</t>
  </si>
  <si>
    <t>Chris  Dixon</t>
  </si>
  <si>
    <t>Dixon, Chris</t>
  </si>
  <si>
    <t>to-read (#2440), nonfiction (#278)</t>
  </si>
  <si>
    <t>Dayswork</t>
  </si>
  <si>
    <t>Chris Bachelder</t>
  </si>
  <si>
    <t>Bachelder, Chris</t>
  </si>
  <si>
    <t>Jennifer Habel</t>
  </si>
  <si>
    <t>to-read (#2325), books-from-twitter (#62)</t>
  </si>
  <si>
    <t>Making Up the Mind: How the Brain Creates Our Mental World</t>
  </si>
  <si>
    <t>Chris Frith</t>
  </si>
  <si>
    <t>Frith, Chris</t>
  </si>
  <si>
    <t>Christopher D. Frith</t>
  </si>
  <si>
    <t>to-read (#2028)</t>
  </si>
  <si>
    <t>Schizophrenia: A Very Short Introduction</t>
  </si>
  <si>
    <t>Christopher D. Frith, Eve C. Johnstone</t>
  </si>
  <si>
    <t>to-read (#164)</t>
  </si>
  <si>
    <t>The Interrogators: Inside the Secret War Against al Qaeda</t>
  </si>
  <si>
    <t>Chris Mackey</t>
  </si>
  <si>
    <t>Mackey, Chris</t>
  </si>
  <si>
    <t>Greg Miller</t>
  </si>
  <si>
    <t>Little, Brown and Company</t>
  </si>
  <si>
    <t>to-read (#2422), bib-torture (#30)</t>
  </si>
  <si>
    <t>Where Are Your Boys Tonight?: The Oral History of Emo's Mainstream Explosion 1999-2008</t>
  </si>
  <si>
    <t>Chris Payne</t>
  </si>
  <si>
    <t>Payne, Chris</t>
  </si>
  <si>
    <t>Dey Street Books</t>
  </si>
  <si>
    <t>to-read (#1190), history (#20), nonfiction (#146)</t>
  </si>
  <si>
    <t>A Small Farm Future: Making the Case for a Society Built Around Local Economies, Self-Provisioning, Agricultural Diversity, and a Shared Earth</t>
  </si>
  <si>
    <t>Chris Smaje</t>
  </si>
  <si>
    <t>Smaje, Chris</t>
  </si>
  <si>
    <t>Chelsea Green Publishing Company</t>
  </si>
  <si>
    <t>to-read (#710)</t>
  </si>
  <si>
    <t>Medea</t>
  </si>
  <si>
    <t>Christa Wolf</t>
  </si>
  <si>
    <t>Wolf, Christa</t>
  </si>
  <si>
    <t>Nan A. Talese</t>
  </si>
  <si>
    <t xml:space="preserve">greeks-romans-etc, novels, to-read, </t>
  </si>
  <si>
    <t>to-read (#1520), greeks-romans-etc (#73), novels (#211)</t>
  </si>
  <si>
    <t>Cassandra</t>
  </si>
  <si>
    <t>Daunt Books</t>
  </si>
  <si>
    <t xml:space="preserve">greeks-romans-etc, mythology, novels, to-read, </t>
  </si>
  <si>
    <t>to-read (#1515), novels (#182), greeks-romans-etc (#71), mythology (#51)</t>
  </si>
  <si>
    <t>Before I Came Home Naked</t>
  </si>
  <si>
    <t>Christina Olson</t>
  </si>
  <si>
    <t>Olson, Christina</t>
  </si>
  <si>
    <t>Spire Press, Inc.</t>
  </si>
  <si>
    <t>to-read (#1733), poetry (#27), 0 (#522)</t>
  </si>
  <si>
    <t>The Man Who Loved Children</t>
  </si>
  <si>
    <t>Christina Stead</t>
  </si>
  <si>
    <t>Stead, Christina</t>
  </si>
  <si>
    <t>The Miegunyah Press</t>
  </si>
  <si>
    <t>to-read (#406)</t>
  </si>
  <si>
    <t>Under the Sign of the Labyrinth</t>
  </si>
  <si>
    <t>Christina Tudor-Sideri</t>
  </si>
  <si>
    <t>Tudor-Sideri, Christina</t>
  </si>
  <si>
    <t>Sublunary Editions</t>
  </si>
  <si>
    <t>to-read (#1166), nonfiction (#177), biographies-etc (#52)</t>
  </si>
  <si>
    <t>Landscapes</t>
  </si>
  <si>
    <t>Christine Lai</t>
  </si>
  <si>
    <t>Lai, Christine</t>
  </si>
  <si>
    <t>Doubleday Canada</t>
  </si>
  <si>
    <t>to-read (#2326), books-from-twitter (#63)</t>
  </si>
  <si>
    <t>The Haunted Bookshop</t>
  </si>
  <si>
    <t>Christopher  Morley</t>
  </si>
  <si>
    <t>Morley, Christopher</t>
  </si>
  <si>
    <t>Douglas W. Gorsline, Joyce Meskis</t>
  </si>
  <si>
    <t>Booksellers Pub</t>
  </si>
  <si>
    <t>to-read (#1466)</t>
  </si>
  <si>
    <t>Sex at Dawn: The Prehistoric Origins of Modern Sexuality</t>
  </si>
  <si>
    <t>Christopher  Ryan</t>
  </si>
  <si>
    <t>Ryan, Christopher</t>
  </si>
  <si>
    <t>Cacilda Jethá</t>
  </si>
  <si>
    <t>HarperCollins</t>
  </si>
  <si>
    <t>to-read (#279), nonfiction (#209)</t>
  </si>
  <si>
    <t>Eminent Outlaws: The Gay Writers Who Changed America</t>
  </si>
  <si>
    <t>Christopher Bram</t>
  </si>
  <si>
    <t>Bram, Christopher</t>
  </si>
  <si>
    <t>Twelve</t>
  </si>
  <si>
    <t xml:space="preserve">0, nonfiction, queer-gender-etc, to-read, </t>
  </si>
  <si>
    <t>to-read (#1379), queer-gender-etc (#6), nonfiction (#30), 0 (#458)</t>
  </si>
  <si>
    <t>A Single Man</t>
  </si>
  <si>
    <t>Christopher Isherwood</t>
  </si>
  <si>
    <t>Isherwood, Christopher</t>
  </si>
  <si>
    <t>to-read (#799), queer-gender-etc (#51)</t>
  </si>
  <si>
    <t>The Culture of Narcissism: American Life in An Age of Diminishing Expectations</t>
  </si>
  <si>
    <t>Christopher Lasch</t>
  </si>
  <si>
    <t>Lasch, Christopher</t>
  </si>
  <si>
    <t>to-read (#1791)</t>
  </si>
  <si>
    <t>The Lords of Easy Money: How the Federal Reserve Broke the American Economy</t>
  </si>
  <si>
    <t>Christopher Leonard</t>
  </si>
  <si>
    <t>Leonard, Christopher</t>
  </si>
  <si>
    <t>Jacques Roy</t>
  </si>
  <si>
    <t>Simon &amp; Schuster Audio</t>
  </si>
  <si>
    <t>Audiobook</t>
  </si>
  <si>
    <t>to-read (#2429), nonfiction (#256)</t>
  </si>
  <si>
    <t>Science of Coercion: Communication Research and Psychological Warfare, 1945-1960</t>
  </si>
  <si>
    <t>Christopher Simpson</t>
  </si>
  <si>
    <t>Simpson, Christopher</t>
  </si>
  <si>
    <t>to-read (#2410), bib-torture (#19)</t>
  </si>
  <si>
    <t>PokéNatomy: An Unofficial Guide</t>
  </si>
  <si>
    <t>Christopher Stoll</t>
  </si>
  <si>
    <t>Stoll, Christopher</t>
  </si>
  <si>
    <t>to-read (#1870), 0 (#265)</t>
  </si>
  <si>
    <t>Sale of the Century: Russia's Wild Ride from Communism to Capitalism</t>
  </si>
  <si>
    <t>Chrystia Freeland</t>
  </si>
  <si>
    <t>Freeland, Chrystia</t>
  </si>
  <si>
    <t>Crown Business</t>
  </si>
  <si>
    <t>to-read (#2344), biblio-shock-doctrine (#68)</t>
  </si>
  <si>
    <t>Notes of a Desolate Man</t>
  </si>
  <si>
    <t>Chu Tienwen</t>
  </si>
  <si>
    <t>Tienwen, Chu</t>
  </si>
  <si>
    <t>Howard Goldblatt, Sylvia Lichun Lin</t>
  </si>
  <si>
    <t>Columbia University Press</t>
  </si>
  <si>
    <t>to-read (#392), novels (#214), queer-gender-etc (#58)</t>
  </si>
  <si>
    <t>Invisible Monsters</t>
  </si>
  <si>
    <t>Chuck Palahniuk</t>
  </si>
  <si>
    <t>Palahniuk, Chuck</t>
  </si>
  <si>
    <t xml:space="preserve">novels, z-favorites-shelf, </t>
  </si>
  <si>
    <t>novels (#87), z-favorites-shelf (#31)</t>
  </si>
  <si>
    <t>Monsters: A Fan's Dilemma</t>
  </si>
  <si>
    <t>Claire Dederer</t>
  </si>
  <si>
    <t>Dederer, Claire</t>
  </si>
  <si>
    <t>to-read (#1199), essays (#7), nonfiction (#148)</t>
  </si>
  <si>
    <t>How Not to Kill Yourself: A Portrait of the Suicidal Mind</t>
  </si>
  <si>
    <t>Clancy Martin</t>
  </si>
  <si>
    <t>Martin, Clancy</t>
  </si>
  <si>
    <t>to-read (#1957), nonfiction (#266)</t>
  </si>
  <si>
    <t>Philosopher of the Heart: The Restless Life of Søren Kierkegaard</t>
  </si>
  <si>
    <t>Clare Carlisle</t>
  </si>
  <si>
    <t>Carlisle, Clare</t>
  </si>
  <si>
    <t>to-read (#748), biographies-etc (#23), nonfiction (#122)</t>
  </si>
  <si>
    <t>The Stream of Life</t>
  </si>
  <si>
    <t>Clarice Lispector</t>
  </si>
  <si>
    <t>Lispector, Clarice</t>
  </si>
  <si>
    <t>Hélène Cixous, Elizabeth Lowe, Earl Fitz</t>
  </si>
  <si>
    <t>University of Minnesota Press</t>
  </si>
  <si>
    <t>to-read (#2227), books-from-twitter (#54)</t>
  </si>
  <si>
    <t>An Apprenticeship or The Book of Pleasures</t>
  </si>
  <si>
    <t>Stefan Tobler, Sheila Heti, Benjamin Moser</t>
  </si>
  <si>
    <t>to-read (#711), novels (#133)</t>
  </si>
  <si>
    <t>The Passion According to G.H.</t>
  </si>
  <si>
    <t>Ronald W. Sousa</t>
  </si>
  <si>
    <t>to-read (#712), novels (#134)</t>
  </si>
  <si>
    <t>The Battle of Pharsalus</t>
  </si>
  <si>
    <t>Claude Simon</t>
  </si>
  <si>
    <t>Simon, Claude</t>
  </si>
  <si>
    <t>George Braziller</t>
  </si>
  <si>
    <t>to-read (#1595), books-from-twitter (#14)</t>
  </si>
  <si>
    <t>Daughter</t>
  </si>
  <si>
    <t>Claudia Dey</t>
  </si>
  <si>
    <t>Dey, Claudia</t>
  </si>
  <si>
    <t>to-read (#2333), books-from-twitter (#65)</t>
  </si>
  <si>
    <t>La Nación Desdibujada: México en Trece Ensayos</t>
  </si>
  <si>
    <t>Claudio Lomnitz</t>
  </si>
  <si>
    <t>Lomnitz, Claudio</t>
  </si>
  <si>
    <t>Malpaso Editores</t>
  </si>
  <si>
    <t>to-read (#2199)</t>
  </si>
  <si>
    <t>The New Lifetime Reading Plan: The Classic Guide to World Literature</t>
  </si>
  <si>
    <t>Clifton Fadiman</t>
  </si>
  <si>
    <t>Fadiman, Clifton</t>
  </si>
  <si>
    <t>John S Major</t>
  </si>
  <si>
    <t>Collins Reference</t>
  </si>
  <si>
    <t>to-read (#1565)</t>
  </si>
  <si>
    <t>Chéri and The End of Chéri</t>
  </si>
  <si>
    <t>Colette</t>
  </si>
  <si>
    <t>Colette, Colette</t>
  </si>
  <si>
    <t>Paul Eprile</t>
  </si>
  <si>
    <t>to-read (#1233)</t>
  </si>
  <si>
    <t>Horror Films</t>
  </si>
  <si>
    <t>Colin Odell</t>
  </si>
  <si>
    <t>Odell, Colin</t>
  </si>
  <si>
    <t>Michelle Le Blanc</t>
  </si>
  <si>
    <t>Oldcastle Books</t>
  </si>
  <si>
    <t>to-read (#438)</t>
  </si>
  <si>
    <t>The Occult</t>
  </si>
  <si>
    <t>Colin Wilson</t>
  </si>
  <si>
    <t>Wilson, Colin</t>
  </si>
  <si>
    <t>Watkins Publishing</t>
  </si>
  <si>
    <t>to-read (#1158)</t>
  </si>
  <si>
    <t>The Testament of Mary</t>
  </si>
  <si>
    <t>Colm Tóibín</t>
  </si>
  <si>
    <t>Tóibín, Colm</t>
  </si>
  <si>
    <t>to-read (#1577)</t>
  </si>
  <si>
    <t>Nunca Más: The Report of the Argentine National Commission on the Disappeared</t>
  </si>
  <si>
    <t>Conadep</t>
  </si>
  <si>
    <t>Conadep, Conadep</t>
  </si>
  <si>
    <t xml:space="preserve">biblio-shock-doctrine, books-about-argentina, to-read, </t>
  </si>
  <si>
    <t>books-about-argentina (#2), to-read (#2279), biblio-shock-doctrine (#10)</t>
  </si>
  <si>
    <t>Nunca más: informe de la Comisión Nacional sobre la Desaparición de Personas</t>
  </si>
  <si>
    <t>Eudeba</t>
  </si>
  <si>
    <t>to-read (#1851), nonfiction (#70), 0 (#351)</t>
  </si>
  <si>
    <t>not the same edition but whatevs</t>
  </si>
  <si>
    <t>The Deepest Sense: A Cultural History of Touch (Studies in Sensory History)</t>
  </si>
  <si>
    <t>Constance Classen</t>
  </si>
  <si>
    <t>Classen, Constance</t>
  </si>
  <si>
    <t>to-read (#1847)</t>
  </si>
  <si>
    <t>C. P. Cavafy: Collected Poems</t>
  </si>
  <si>
    <t>Constantinos P. Cavafy</t>
  </si>
  <si>
    <t>Cavafy, Constantinos P.</t>
  </si>
  <si>
    <t>Daniel Mendelsohn</t>
  </si>
  <si>
    <t>poetry</t>
  </si>
  <si>
    <t>poetry (#71)</t>
  </si>
  <si>
    <t>La carretera</t>
  </si>
  <si>
    <t>Cormac McCarthy</t>
  </si>
  <si>
    <t>McCarthy, Cormac</t>
  </si>
  <si>
    <t>Literatura Random House</t>
  </si>
  <si>
    <t>to-read (#16), novels (#92), 0 (#559)</t>
  </si>
  <si>
    <t>Three Books of Occult Philosophy</t>
  </si>
  <si>
    <t>Cornelius Agrippa</t>
  </si>
  <si>
    <t>Agrippa, Cornelius</t>
  </si>
  <si>
    <t>Donald Tyson</t>
  </si>
  <si>
    <t>to-read (#422)</t>
  </si>
  <si>
    <t>Clytemnestra</t>
  </si>
  <si>
    <t>Costanza Casati</t>
  </si>
  <si>
    <t>Casati, Costanza</t>
  </si>
  <si>
    <t>Sourcebooks Landmark</t>
  </si>
  <si>
    <t>to-read (#1638)</t>
  </si>
  <si>
    <t>Joan of Arc: La Pucelle</t>
  </si>
  <si>
    <t>Craig Taylor</t>
  </si>
  <si>
    <t>Taylor, Craig</t>
  </si>
  <si>
    <t>Manchester University Press</t>
  </si>
  <si>
    <t>to-read (#729), history (#26), nonfiction (#113)</t>
  </si>
  <si>
    <t>Spring in Action</t>
  </si>
  <si>
    <t>Craig Walls</t>
  </si>
  <si>
    <t>Walls, Craig</t>
  </si>
  <si>
    <t>Manning</t>
  </si>
  <si>
    <t>to-read (#1005), tech (#1), 0 (#300)</t>
  </si>
  <si>
    <t>El invencible verano de Liliana</t>
  </si>
  <si>
    <t>Cristina Rivera Garza</t>
  </si>
  <si>
    <t>Garza, Cristina Rivera</t>
  </si>
  <si>
    <t>to-read (#2196), books-from-twitter (#42)</t>
  </si>
  <si>
    <t>Friedrich Nietzsche</t>
  </si>
  <si>
    <t>Curtis Cate</t>
  </si>
  <si>
    <t>Cate, Curtis</t>
  </si>
  <si>
    <t>Abrams Press</t>
  </si>
  <si>
    <t>to-read (#754), nonfiction (#126)</t>
  </si>
  <si>
    <t>Kaputt</t>
  </si>
  <si>
    <t>Curzio Malaparte</t>
  </si>
  <si>
    <t>Malaparte, Curzio</t>
  </si>
  <si>
    <t>Dan Hofstadter, Cesare Foligno</t>
  </si>
  <si>
    <t>to-read (#1215)</t>
  </si>
  <si>
    <t>Vernon God Little</t>
  </si>
  <si>
    <t>D.B.C. Pierre</t>
  </si>
  <si>
    <t>Pierre, D.B.C.</t>
  </si>
  <si>
    <t>Faber and Faber</t>
  </si>
  <si>
    <t>to-read (#1309), awards-man-booker-prize-winners (#37)</t>
  </si>
  <si>
    <t>The Bad Side of Books: Selected Essays of D.H. Lawrence (New York Review Books Classics)</t>
  </si>
  <si>
    <t>D.H. Lawrence</t>
  </si>
  <si>
    <t>Lawrence, D.H.</t>
  </si>
  <si>
    <t>Geoff Dyer</t>
  </si>
  <si>
    <t>to-read (#1637), essays (#24), nonfiction (#173)</t>
  </si>
  <si>
    <t>The Rainbow</t>
  </si>
  <si>
    <t>Daphne Merkin</t>
  </si>
  <si>
    <t>to-read (#63), novels (#106)</t>
  </si>
  <si>
    <t>The Man Who Died</t>
  </si>
  <si>
    <t>to-read (#966), novels (#18), 0 (#297)</t>
  </si>
  <si>
    <t>An Education in Judgment: Hannah Arendt and the Humanities</t>
  </si>
  <si>
    <t>D.N. Rodowick</t>
  </si>
  <si>
    <t>Rodowick, D.N.</t>
  </si>
  <si>
    <t>to-read (#667)</t>
  </si>
  <si>
    <t>What Philosophy Wants from Images</t>
  </si>
  <si>
    <t>to-read (#664)</t>
  </si>
  <si>
    <t>The Family that Couldn't Sleep</t>
  </si>
  <si>
    <t>D.T. Max</t>
  </si>
  <si>
    <t>Max, D.T.</t>
  </si>
  <si>
    <t>to-read (#1741)</t>
  </si>
  <si>
    <t>On Growth and Form</t>
  </si>
  <si>
    <t>D'Arcy Wentworth Thompson</t>
  </si>
  <si>
    <t>Thompson, D'Arcy Wentworth</t>
  </si>
  <si>
    <t>John Tyler Bonner</t>
  </si>
  <si>
    <t xml:space="preserve">nonfiction, philosophy, to-read, </t>
  </si>
  <si>
    <t>to-read (#898), nonfiction (#137), philosophy (#50)</t>
  </si>
  <si>
    <t>Sisters</t>
  </si>
  <si>
    <t>Daisy Johnson</t>
  </si>
  <si>
    <t>Johnson, Daisy</t>
  </si>
  <si>
    <t>Riverhead Books</t>
  </si>
  <si>
    <t>to-read (#619)</t>
  </si>
  <si>
    <t>Visions and Revisions: Coming of Age in the Age of AIDs</t>
  </si>
  <si>
    <t>Dale Peck</t>
  </si>
  <si>
    <t>Peck, Dale</t>
  </si>
  <si>
    <t>Soho Press</t>
  </si>
  <si>
    <t>to-read (#1014), queer-gender-etc (#1), nonfiction (#18), 0 (#468)</t>
  </si>
  <si>
    <t>The Promise</t>
  </si>
  <si>
    <t>Damon Galgut</t>
  </si>
  <si>
    <t>Galgut, Damon</t>
  </si>
  <si>
    <t>to-read (#1326), awards-man-booker-prize-winners (#56)</t>
  </si>
  <si>
    <t>10% Happier</t>
  </si>
  <si>
    <t>Dan   Harris</t>
  </si>
  <si>
    <t>Harris, Dan</t>
  </si>
  <si>
    <t>It Books</t>
  </si>
  <si>
    <t>to-read (#2022)</t>
  </si>
  <si>
    <t>The Halliburton Agenda: The Politics of Oil and Money</t>
  </si>
  <si>
    <t>Dan Briody</t>
  </si>
  <si>
    <t>Briody, Dan</t>
  </si>
  <si>
    <t>to-read (#2367), biblio-shock-doctrine (#90)</t>
  </si>
  <si>
    <t>Pretentiousness: Why It Matters</t>
  </si>
  <si>
    <t>Dan Fox</t>
  </si>
  <si>
    <t>Fox, Dan</t>
  </si>
  <si>
    <t>to-read (#2236), nonfiction (#236)</t>
  </si>
  <si>
    <t>The Silence of Bartleby</t>
  </si>
  <si>
    <t>Dan McCall</t>
  </si>
  <si>
    <t>McCall, Dan</t>
  </si>
  <si>
    <t>to-read (#2068)</t>
  </si>
  <si>
    <t>At Night We Walk in Circles</t>
  </si>
  <si>
    <t>Daniel Alarcón</t>
  </si>
  <si>
    <t>Alarcón, Daniel</t>
  </si>
  <si>
    <t>to-read (#143)</t>
  </si>
  <si>
    <t>Intuition Pumps And Other Tools for Thinking</t>
  </si>
  <si>
    <t>Dennett, Daniel C.</t>
  </si>
  <si>
    <t>to-read (#1257)</t>
  </si>
  <si>
    <t>Kafka in a Skirt: Stories from the Wall (Camino del Sol)</t>
  </si>
  <si>
    <t>Daniel Chacon</t>
  </si>
  <si>
    <t>Chacon, Daniel</t>
  </si>
  <si>
    <t>University of Arizona Press</t>
  </si>
  <si>
    <t>to-read (#424), short-stories (#54)</t>
  </si>
  <si>
    <t>Hasta que la muerte nos separe : poder y prácticas sociales genocidas en America Latina</t>
  </si>
  <si>
    <t>Daniel Feierstein</t>
  </si>
  <si>
    <t>Feierstein, Daniel</t>
  </si>
  <si>
    <t>Guillermo Levy</t>
  </si>
  <si>
    <t>Ediciones Al Margen</t>
  </si>
  <si>
    <t>to-read (#2278), biblio-shock-doctrine (#9)</t>
  </si>
  <si>
    <t>Anaxagoras and the Birth of Physics</t>
  </si>
  <si>
    <t>Daniel Gershenson</t>
  </si>
  <si>
    <t>Gershenson, Daniel</t>
  </si>
  <si>
    <t>Daniel   Greenberg, Thomas Nagel, Ernest Nagel</t>
  </si>
  <si>
    <t>Blaisdell Pub. Co</t>
  </si>
  <si>
    <t>to-read (#923)</t>
  </si>
  <si>
    <t>The Trial of Joan of Arc</t>
  </si>
  <si>
    <t>Daniel Hobbins</t>
  </si>
  <si>
    <t>Hobbins, Daniel</t>
  </si>
  <si>
    <t>Harvard University Press</t>
  </si>
  <si>
    <t>to-read (#730), history (#7), nonfiction (#114)</t>
  </si>
  <si>
    <t>How to Hide an Empire: A History of the Greater United States</t>
  </si>
  <si>
    <t>Daniel Immerwahr</t>
  </si>
  <si>
    <t>Immerwahr, Daniel</t>
  </si>
  <si>
    <t>to-read (#628), history (#55), nonfiction (#104)</t>
  </si>
  <si>
    <t>A Field Guide to Lies: Critical Thinking in the Information Age</t>
  </si>
  <si>
    <t>Daniel J. Levitin</t>
  </si>
  <si>
    <t>Levitin, Daniel J.</t>
  </si>
  <si>
    <t>Dutton</t>
  </si>
  <si>
    <t>to-read (#2237), nonfiction (#238)</t>
  </si>
  <si>
    <t>Flowers for Algernon</t>
  </si>
  <si>
    <t>Daniel Keyes</t>
  </si>
  <si>
    <t>Keyes, Daniel</t>
  </si>
  <si>
    <t>to-read (#1869), novels (#59), 0 (#391)</t>
  </si>
  <si>
    <t>The Joy of Search: A Google Insider's Guide to Going Beyond the Basics (Mit Press)</t>
  </si>
  <si>
    <t>Daniel M. Russell</t>
  </si>
  <si>
    <t>Russell, Daniel M.</t>
  </si>
  <si>
    <t>The MIT Press</t>
  </si>
  <si>
    <t>to-read (#1411), nonfiction (#75), 0 (#547)</t>
  </si>
  <si>
    <t>Waiting for the Barbarians: Essays from the Classics to Pop Culture</t>
  </si>
  <si>
    <t>Mendelsohn, Daniel</t>
  </si>
  <si>
    <t>to-read (#1217), essays (#14), nonfiction (#170)</t>
  </si>
  <si>
    <t>Ecstasy and Terror: From the Greeks to Game of Thrones</t>
  </si>
  <si>
    <t>to-read (#1142)</t>
  </si>
  <si>
    <t>Exit Right: The People Who Left the Left and Reshaped the American Century</t>
  </si>
  <si>
    <t>Daniel Oppenheimer</t>
  </si>
  <si>
    <t>Oppenheimer, Daniel</t>
  </si>
  <si>
    <t>to-read (#2230), nonfiction (#230)</t>
  </si>
  <si>
    <t>Memoirs of My Nervous Illness</t>
  </si>
  <si>
    <t>Daniel Paul Schreber</t>
  </si>
  <si>
    <t>Schreber, Daniel Paul</t>
  </si>
  <si>
    <t>Ida Macalpine, Richard A. Hunter, Rosemary Dinnage</t>
  </si>
  <si>
    <t xml:space="preserve">biographies-etc, novels, to-read, </t>
  </si>
  <si>
    <t>to-read (#1178), biographies-etc (#1), novels (#157)</t>
  </si>
  <si>
    <t>Ishmael: An Adventure of the Mind and Spirit (Ishmael, #1)</t>
  </si>
  <si>
    <t>Daniel Quinn</t>
  </si>
  <si>
    <t>Quinn, Daniel</t>
  </si>
  <si>
    <t>to-read (#3)</t>
  </si>
  <si>
    <t>Porque parece mentira la verdad nunca se sabe</t>
  </si>
  <si>
    <t>Daniel Sada</t>
  </si>
  <si>
    <t>Sada, Daniel</t>
  </si>
  <si>
    <t>to-read (#564)</t>
  </si>
  <si>
    <t>Belated Heavens (Malcolm McDonald Series Selection)</t>
  </si>
  <si>
    <t>Daniel Tobin</t>
  </si>
  <si>
    <t>Tobin, Daniel</t>
  </si>
  <si>
    <t>Four Way Books</t>
  </si>
  <si>
    <t>to-read (#1734), poetry (#26), 0 (#523)</t>
  </si>
  <si>
    <t>City of Torment</t>
  </si>
  <si>
    <t>Daniela Hodrová</t>
  </si>
  <si>
    <t>Hodrová, Daniela</t>
  </si>
  <si>
    <t>Véronique Firkusny, Elena Sokol</t>
  </si>
  <si>
    <t>Jantar Publishing</t>
  </si>
  <si>
    <t>to-read (#1053)</t>
  </si>
  <si>
    <t>Incidences</t>
  </si>
  <si>
    <t>Daniil Kharms</t>
  </si>
  <si>
    <t>Kharms, Daniil</t>
  </si>
  <si>
    <t>Andrew Bromfield</t>
  </si>
  <si>
    <t>Five Star</t>
  </si>
  <si>
    <t>to-read (#2058), biblio-noonday-demon (#16)</t>
  </si>
  <si>
    <t>A Tomb for Boris Davidovich</t>
  </si>
  <si>
    <t>Danilo Kiš</t>
  </si>
  <si>
    <t>Kiš, Danilo</t>
  </si>
  <si>
    <t>Danilo Kies, William T. Vollmann, Duska Mikic-Mitchell</t>
  </si>
  <si>
    <t>Dalkey Archive Press</t>
  </si>
  <si>
    <t>to-read (#2222), books-from-twitter (#49)</t>
  </si>
  <si>
    <t>The Encyclopedia of the Dead</t>
  </si>
  <si>
    <t>Michael Henry Heim</t>
  </si>
  <si>
    <t>to-read (#1449)</t>
  </si>
  <si>
    <t>How to Make Love to a Negro</t>
  </si>
  <si>
    <t>Dany Laferrière</t>
  </si>
  <si>
    <t>Laferrière, Dany</t>
  </si>
  <si>
    <t>to-read (#326), novels (#124)</t>
  </si>
  <si>
    <t>Don't Look Now</t>
  </si>
  <si>
    <t>Daphne du Maurier</t>
  </si>
  <si>
    <t>Maurier, Daphne du</t>
  </si>
  <si>
    <t>Patrick McGrath</t>
  </si>
  <si>
    <t>short-stories (#2), 0 (#540), to-read (#2386)</t>
  </si>
  <si>
    <t>Don't Look Now and Other Stories</t>
  </si>
  <si>
    <t>Julie Myerson</t>
  </si>
  <si>
    <t>Penguin UK</t>
  </si>
  <si>
    <t>to-read (#824)</t>
  </si>
  <si>
    <t>What Is Madness?</t>
  </si>
  <si>
    <t>Darian Leader</t>
  </si>
  <si>
    <t>Leader, Darian</t>
  </si>
  <si>
    <t>to-read (#2136), nonfiction (#180), psychology (#9)</t>
  </si>
  <si>
    <t>Columbine</t>
  </si>
  <si>
    <t>Dave Cullen</t>
  </si>
  <si>
    <t>Cullen, Dave</t>
  </si>
  <si>
    <t xml:space="preserve">0, nonfiction, </t>
  </si>
  <si>
    <t>nonfiction (#64), 0 (#452)</t>
  </si>
  <si>
    <t>It was actually a really amazing book and it drove me to have legitimate emotions at some points, but the fact that it was so long just puts me off a little. All in all, still a great book.</t>
  </si>
  <si>
    <t>Zeitoun</t>
  </si>
  <si>
    <t>Dave Eggers</t>
  </si>
  <si>
    <t>Eggers, Dave</t>
  </si>
  <si>
    <t>to-read (#1420), nonfiction (#27), 0 (#503)</t>
  </si>
  <si>
    <t>Mad as Hell: The Making of Network and the Fateful Vision of the Angriest Man in Movies</t>
  </si>
  <si>
    <t>Dave Itzkoff</t>
  </si>
  <si>
    <t>Itzkoff, Dave</t>
  </si>
  <si>
    <t>Times Books</t>
  </si>
  <si>
    <t>to-read (#2021)</t>
  </si>
  <si>
    <t>Magical Realist Fiction: An Anthology</t>
  </si>
  <si>
    <t>David        Young</t>
  </si>
  <si>
    <t>Young, David</t>
  </si>
  <si>
    <t>Keith Hollaman, Franz Kafka, Isaac Babel, Yury Olesha, Osip Mandelstam, Virginia Woolf, Bruno Schulz, Vladimir Nabokov, María Luisa Bombal, Henri Michaux, William Faulkner, Eudora Welty, Aníbal Monteiro Machado, Jorge Luis Borges, Octavio Paz, John Cheever, Vjekoslav Kaleb, Tommaso Landolfi, Alfonso Reyes, Julio Cortázar, Alejo Carpentier, Nikolai Gogol, Clarice Lispector, Carlos Fuentes, Elizabeth Bishop, Italo Calvino, Gabriel García Márquez, Robert Escarpit, Donald Barthelme, Milan Kundera, Leo Tolstoy, Thomas Mann, Hugo von Hofmannsthal, Henry James, Rainer Maria Rilke, D.H. Lawrence</t>
  </si>
  <si>
    <t>Oberlin College Press</t>
  </si>
  <si>
    <t>to-read (#389)</t>
  </si>
  <si>
    <t>Actual Air</t>
  </si>
  <si>
    <t>David   Berman</t>
  </si>
  <si>
    <t>Berman, David</t>
  </si>
  <si>
    <t>Open City Books</t>
  </si>
  <si>
    <t>to-read (#123), poetry (#49)</t>
  </si>
  <si>
    <t>Feathered Serpent, Dark Heart of Sky: Myths of Mexico</t>
  </si>
  <si>
    <t>David  Bowles</t>
  </si>
  <si>
    <t>Bowles, David</t>
  </si>
  <si>
    <t>Cinco Puntos Press</t>
  </si>
  <si>
    <t>to-read (#2181)</t>
  </si>
  <si>
    <t>The New Biographical Dictionary of Film: Expanded and Updated</t>
  </si>
  <si>
    <t>David  Thomson</t>
  </si>
  <si>
    <t>Thomson, David</t>
  </si>
  <si>
    <t>to-read (#2254), books-from-twitter (#58)</t>
  </si>
  <si>
    <t>Suicide: The Tragedy of Hopelessness</t>
  </si>
  <si>
    <t>David Aldridge</t>
  </si>
  <si>
    <t>Aldridge, David</t>
  </si>
  <si>
    <t>Jessica Kingsley</t>
  </si>
  <si>
    <t>to-read (#2104), biblio-noonday-demon (#23)</t>
  </si>
  <si>
    <t>The Culture of Pain</t>
  </si>
  <si>
    <t>David B. Morris</t>
  </si>
  <si>
    <t>Morris, David B.</t>
  </si>
  <si>
    <t>to-read (#1848)</t>
  </si>
  <si>
    <t>On the History of Film Style</t>
  </si>
  <si>
    <t>David Bordwell</t>
  </si>
  <si>
    <t>Bordwell, David</t>
  </si>
  <si>
    <t>to-read (#2252), books-from-twitter (#56)</t>
  </si>
  <si>
    <t>The Making of Modern Colombia: A Nation in Spite of Itself</t>
  </si>
  <si>
    <t>David Bushnell</t>
  </si>
  <si>
    <t>Bushnell, David</t>
  </si>
  <si>
    <t>to-read (#636), nonfiction (#192), history (#67)</t>
  </si>
  <si>
    <t>Stonewall: The Riots That Sparked the Gay Revolution</t>
  </si>
  <si>
    <t>David Carter</t>
  </si>
  <si>
    <t>Carter, David</t>
  </si>
  <si>
    <t>St. Martin's Griffin</t>
  </si>
  <si>
    <t>to-read (#176), queer-gender-etc (#7), nonfiction (#31), 0 (#375)</t>
  </si>
  <si>
    <t>to-read (#1388)</t>
  </si>
  <si>
    <t>Foucault: A Critical Reader</t>
  </si>
  <si>
    <t>David Couzens Hoy</t>
  </si>
  <si>
    <t>Hoy, David Couzens</t>
  </si>
  <si>
    <t xml:space="preserve">foucault, to-read, </t>
  </si>
  <si>
    <t>to-read (#247), foucault (#11)</t>
  </si>
  <si>
    <t>Oxford Illustrated Shakespeare Dictionary</t>
  </si>
  <si>
    <t>David Crystal</t>
  </si>
  <si>
    <t>Crystal, David</t>
  </si>
  <si>
    <t>Ben Crystal</t>
  </si>
  <si>
    <t>to-read (#854)</t>
  </si>
  <si>
    <t>A Greater Monster</t>
  </si>
  <si>
    <t>David David Katzman</t>
  </si>
  <si>
    <t>Katzman, David David</t>
  </si>
  <si>
    <t>Bedhead Books</t>
  </si>
  <si>
    <t>to-read (#71)</t>
  </si>
  <si>
    <t>A Philosophy of Gardens</t>
  </si>
  <si>
    <t>David Edward Cooper</t>
  </si>
  <si>
    <t>Cooper, David Edward</t>
  </si>
  <si>
    <t>Clarendon Press</t>
  </si>
  <si>
    <t>to-read (#914)</t>
  </si>
  <si>
    <t>The Good European: Nietzsche's Work Sites in Word and Image</t>
  </si>
  <si>
    <t>David Farrell Krell</t>
  </si>
  <si>
    <t>Krell, David Farrell</t>
  </si>
  <si>
    <t>Donald L. Bates</t>
  </si>
  <si>
    <t>to-read (#821)</t>
  </si>
  <si>
    <t>Consider the Lobster and Other Essays</t>
  </si>
  <si>
    <t>David Foster Wallace</t>
  </si>
  <si>
    <t>Wallace, David Foster</t>
  </si>
  <si>
    <t>Back Bay Books</t>
  </si>
  <si>
    <t xml:space="preserve">0, essays, nonfiction, to-read, </t>
  </si>
  <si>
    <t>to-read (#1864), nonfiction (#74), 0 (#439), essays (#27)</t>
  </si>
  <si>
    <t>Both Flesh and Not: Essays</t>
  </si>
  <si>
    <t>to-read (#1859)</t>
  </si>
  <si>
    <t>Brief Interviews with Hideous Men</t>
  </si>
  <si>
    <t>to-read (#1)</t>
  </si>
  <si>
    <t>The Penguin Dictionary of Curious and Interesting Numbers</t>
  </si>
  <si>
    <t>David G. Wells</t>
  </si>
  <si>
    <t>Wells, David G.</t>
  </si>
  <si>
    <t>to-read (#77), dictionaries-and-encyclopedias (#17)</t>
  </si>
  <si>
    <t>The Dawn of Everything: A New History of Humanity</t>
  </si>
  <si>
    <t>David Graeber</t>
  </si>
  <si>
    <t>Graeber, David</t>
  </si>
  <si>
    <t>David Wengrow</t>
  </si>
  <si>
    <t>to-read (#1968), nonfiction (#208)</t>
  </si>
  <si>
    <t>Debt: The First 5,000 Years</t>
  </si>
  <si>
    <t>Melville House</t>
  </si>
  <si>
    <t>to-read (#1962)</t>
  </si>
  <si>
    <t>The Describer's Dictionary: A Treasury of Terms &amp; Literary Quotations</t>
  </si>
  <si>
    <t>David Grambs</t>
  </si>
  <si>
    <t>Grambs, David</t>
  </si>
  <si>
    <t>W. W. Norton  Company</t>
  </si>
  <si>
    <t>to-read (#868)</t>
  </si>
  <si>
    <t>A Brief History of Neoliberalism</t>
  </si>
  <si>
    <t>David Harvey</t>
  </si>
  <si>
    <t>Harvey, David</t>
  </si>
  <si>
    <t>to-read (#2312), biblio-shock-doctrine (#47)</t>
  </si>
  <si>
    <t>M. Butterfly</t>
  </si>
  <si>
    <t>David Henry Hwang</t>
  </si>
  <si>
    <t>Hwang, David Henry</t>
  </si>
  <si>
    <t>Dramatists Play Service, Inc.</t>
  </si>
  <si>
    <t>The Oxford Dictionary of Saints (Oxford Quick Reference)</t>
  </si>
  <si>
    <t>David Hugh Farmer</t>
  </si>
  <si>
    <t>Farmer, David Hugh</t>
  </si>
  <si>
    <t>to-read (#861)</t>
  </si>
  <si>
    <t>Never Get Angry Again: The Foolproof Way to Stay Calm and in Control in Any Conversation or Situation</t>
  </si>
  <si>
    <t>David J. Lieberman</t>
  </si>
  <si>
    <t>Lieberman, David J.</t>
  </si>
  <si>
    <t>St. Martin's Press</t>
  </si>
  <si>
    <t>to-read (#2038)</t>
  </si>
  <si>
    <t>While England Sleeps</t>
  </si>
  <si>
    <t>David Leavitt</t>
  </si>
  <si>
    <t>Leavitt, David</t>
  </si>
  <si>
    <t>Bloomsbury USA</t>
  </si>
  <si>
    <t>to-read (#121), novels (#55), 0 (#286)</t>
  </si>
  <si>
    <t>Saint Foucault : Towards a Gay Hagiography</t>
  </si>
  <si>
    <t>David M. Halperin</t>
  </si>
  <si>
    <t>Halperin, David M.</t>
  </si>
  <si>
    <t xml:space="preserve">biographies-etc, foucault, to-read, </t>
  </si>
  <si>
    <t>to-read (#255), foucault (#12), biographies-etc (#63)</t>
  </si>
  <si>
    <t>Saint Foucault: Towards a Gay Hagiography</t>
  </si>
  <si>
    <t xml:space="preserve">0, foucault, philosophy, to-read, </t>
  </si>
  <si>
    <t>to-read (#1369), philosophy (#11), 0 (#408), foucault (#5)</t>
  </si>
  <si>
    <t>How to Do the History of Homosexuality</t>
  </si>
  <si>
    <t>to-read (#660), queer-gender-etc (#43)</t>
  </si>
  <si>
    <t>Ransom</t>
  </si>
  <si>
    <t>David Malouf</t>
  </si>
  <si>
    <t>Malouf, David</t>
  </si>
  <si>
    <t>to-read (#1479)</t>
  </si>
  <si>
    <t>Wittgenstein's Mistress</t>
  </si>
  <si>
    <t>David Markson</t>
  </si>
  <si>
    <t>Markson, David</t>
  </si>
  <si>
    <t>to-read (#257), novels (#24)</t>
  </si>
  <si>
    <t>Slade House</t>
  </si>
  <si>
    <t>David Mitchell</t>
  </si>
  <si>
    <t>Mitchell, David</t>
  </si>
  <si>
    <t>Mihnea Gafiţa</t>
  </si>
  <si>
    <t>to-read (#133)</t>
  </si>
  <si>
    <t>The Visual Dictionary of Photography (Visual Dictionaries)</t>
  </si>
  <si>
    <t>David Präkel</t>
  </si>
  <si>
    <t>Präkel, David</t>
  </si>
  <si>
    <t>to-read (#1008), tech (#5), 0 (#487)</t>
  </si>
  <si>
    <t>Composition (Basics Photography #1)</t>
  </si>
  <si>
    <t>Fairchild Books</t>
  </si>
  <si>
    <t>to-read (#1033), tech (#6), 0 (#400)</t>
  </si>
  <si>
    <t>The Lonely Crowd: A Study of the Changing American Character</t>
  </si>
  <si>
    <t>David Riesman</t>
  </si>
  <si>
    <t>Riesman, David</t>
  </si>
  <si>
    <t>Nathan Glazer, Reuel Denney, Todd Gitlin</t>
  </si>
  <si>
    <t>to-read (#645)</t>
  </si>
  <si>
    <t>Otherwise Elsewhere</t>
  </si>
  <si>
    <t>David Rivard</t>
  </si>
  <si>
    <t>Rivard, David</t>
  </si>
  <si>
    <t>to-read (#175), poetry (#24), 0 (#470)</t>
  </si>
  <si>
    <t>The Omen</t>
  </si>
  <si>
    <t>David Seltzer</t>
  </si>
  <si>
    <t>Seltzer, David</t>
  </si>
  <si>
    <t>to-read (#1888), novels (#70), 0 (#356)</t>
  </si>
  <si>
    <t>The Very Last Interview</t>
  </si>
  <si>
    <t>David Shields</t>
  </si>
  <si>
    <t>Shields, David</t>
  </si>
  <si>
    <t>New York Review of Books</t>
  </si>
  <si>
    <t>to-read (#1238), nonfiction (#268)</t>
  </si>
  <si>
    <t>That Thing You Do With Your Mouth: The Sexual Autobiography of Samantha Matthews as Told to David Shields</t>
  </si>
  <si>
    <t>Samantha Matthews</t>
  </si>
  <si>
    <t>McSweeney's</t>
  </si>
  <si>
    <t>0 (#114)</t>
  </si>
  <si>
    <t>Refreshing meditations on sex, and the power that we can both harness and lose to it. Samantha Matthews (a pseudonym for an American actress living in Barcelona) leads us through her personal musings, reflecting on her early childhood abuse and its subsequent ripples throughout her life. This is not a standard 'survivor' narrative; nowhere in Samantha's vocabulary can the words 'survivor,' or 'trigger,'  be found. She refuses to pigeonhole herself as someone defined by their abusers. 'That Thing You Do With Your Mouth' shows us that nothing can define us unless we so choose it to.</t>
  </si>
  <si>
    <t>to-read (#1366)</t>
  </si>
  <si>
    <t>Saville</t>
  </si>
  <si>
    <t>David Storey</t>
  </si>
  <si>
    <t>Storey, David</t>
  </si>
  <si>
    <t>Avon Books</t>
  </si>
  <si>
    <t>to-read (#1286), awards-man-booker-prize-winners (#9)</t>
  </si>
  <si>
    <t>The Unending Mystery: A Journey Through Labyrinths and Mazes</t>
  </si>
  <si>
    <t>David Willis McCullough</t>
  </si>
  <si>
    <t>McCullough, David Willis</t>
  </si>
  <si>
    <t xml:space="preserve">labyrinths, to-read, z-2023, </t>
  </si>
  <si>
    <t>to-read (#1757), labyrinths (#3), z-2023 (#3)</t>
  </si>
  <si>
    <t>Memories That Smell Like Gasoline</t>
  </si>
  <si>
    <t>David Wojnarowicz</t>
  </si>
  <si>
    <t>Wojnarowicz, David</t>
  </si>
  <si>
    <t>to-read (#794), biographies-etc (#45)</t>
  </si>
  <si>
    <t>In the Shadow of the American Dream: The Diaries of David Wojnarowicz</t>
  </si>
  <si>
    <t>Amy Scholder</t>
  </si>
  <si>
    <t>to-read (#281), biographies-etc (#37)</t>
  </si>
  <si>
    <t>Weight of the Earth: The Tape Journals of David Wojnarowicz</t>
  </si>
  <si>
    <t>Lisa Darms, David O'Neill, David Velsco</t>
  </si>
  <si>
    <t>Semiotext(e)</t>
  </si>
  <si>
    <t>to-read (#766)</t>
  </si>
  <si>
    <t>The Invention of Science: The Scientific Revolution from 1500 to 1750</t>
  </si>
  <si>
    <t>David Wootton</t>
  </si>
  <si>
    <t>Wootton, David</t>
  </si>
  <si>
    <t>to-read (#2018)</t>
  </si>
  <si>
    <t>Aeschylus I: Oresteia, Agamemnon, The Libation Bearers &amp; The Eumenides (The Complete Greek Tragedies)</t>
  </si>
  <si>
    <t>David; Lattimore Grene</t>
  </si>
  <si>
    <t>Grene, David; Lattimore</t>
  </si>
  <si>
    <t>Richmond Lattimore, David Grene</t>
  </si>
  <si>
    <t>to-read (#1345), greeks-romans-etc (#44), plays (#24)</t>
  </si>
  <si>
    <t>Enough Is Enough: Dear Mr. Camdessus-- Open Letter of Resignation to the Managing Director of the International Monetary Fund (Documentary Sources)</t>
  </si>
  <si>
    <t>Davison L. Budhoo</t>
  </si>
  <si>
    <t>Budhoo, Davison L.</t>
  </si>
  <si>
    <t>Apex Pr</t>
  </si>
  <si>
    <t>to-read (#2285), biblio-shock-doctrine (#18)</t>
  </si>
  <si>
    <t>Tough Enough: Arbus, Arendt, Didion, McCarthy, Sontag, Weil</t>
  </si>
  <si>
    <t>Deborah    Nelson</t>
  </si>
  <si>
    <t>Nelson, Deborah</t>
  </si>
  <si>
    <t>to-read (#661)</t>
  </si>
  <si>
    <t>Schopenhauer's Porcupines: Intimacy and Its Dilemmas</t>
  </si>
  <si>
    <t>Deborah Anna Luepnitz</t>
  </si>
  <si>
    <t>Luepnitz, Deborah Anna</t>
  </si>
  <si>
    <t>to-read (#2044)</t>
  </si>
  <si>
    <t>Love at Goon Park: Harry Harlow and the Science of Affection</t>
  </si>
  <si>
    <t>Deborah Blum</t>
  </si>
  <si>
    <t>Blum, Deborah</t>
  </si>
  <si>
    <t>to-read (#2083), psychology (#1), nonfiction (#156)</t>
  </si>
  <si>
    <t>The Cost of Living: A Working Autobiography</t>
  </si>
  <si>
    <t>Deborah Levy</t>
  </si>
  <si>
    <t>Levy, Deborah</t>
  </si>
  <si>
    <t>Bloomsbury Publishing</t>
  </si>
  <si>
    <t>to-read (#1996)</t>
  </si>
  <si>
    <t>Swimming Home</t>
  </si>
  <si>
    <t>And Other Stories</t>
  </si>
  <si>
    <t>to-read (#377)</t>
  </si>
  <si>
    <t>Finding Out: An Introduction to LGBTQ Studies</t>
  </si>
  <si>
    <t>Deborah T. Meem</t>
  </si>
  <si>
    <t>Meem, Deborah T.</t>
  </si>
  <si>
    <t>Michelle A. Gibson, Jonathan  Alexander</t>
  </si>
  <si>
    <t>SAGE Publications, Inc</t>
  </si>
  <si>
    <t>to-read (#1381), queer-gender-etc (#5)</t>
  </si>
  <si>
    <t>20 Under 40: Stories from The New Yorker</t>
  </si>
  <si>
    <t>Deborah Treisman</t>
  </si>
  <si>
    <t>Treisman, Deborah</t>
  </si>
  <si>
    <t xml:space="preserve">0, short-stories, </t>
  </si>
  <si>
    <t>short-stories (#9), 0 (#469)</t>
  </si>
  <si>
    <t>Ulysses and Us</t>
  </si>
  <si>
    <t>Declan Kiberd</t>
  </si>
  <si>
    <t>Kiberd, Declan</t>
  </si>
  <si>
    <t>to-read (#2020)</t>
  </si>
  <si>
    <t>The Largesse of the Sea Maiden</t>
  </si>
  <si>
    <t>Denis Johnson</t>
  </si>
  <si>
    <t>Johnson, Denis</t>
  </si>
  <si>
    <t>to-read (#841), short-stories (#47)</t>
  </si>
  <si>
    <t>Angels</t>
  </si>
  <si>
    <t>to-read (#1249), novels (#172)</t>
  </si>
  <si>
    <t>Resuscitation of a Hanged Man</t>
  </si>
  <si>
    <t>to-read (#1248)</t>
  </si>
  <si>
    <t>The Unity of the Universe</t>
  </si>
  <si>
    <t>Dennis W. Sciama</t>
  </si>
  <si>
    <t>Sciama, Dennis W.</t>
  </si>
  <si>
    <t>Doubleday Anchor</t>
  </si>
  <si>
    <t>to-read (#1031), 0 (#156)</t>
  </si>
  <si>
    <t>DOUBLEDAY ANCHOR</t>
  </si>
  <si>
    <t>to-read (#1374)</t>
  </si>
  <si>
    <t>In Youth Is Pleasure</t>
  </si>
  <si>
    <t>Denton Welch</t>
  </si>
  <si>
    <t>Welch, Denton</t>
  </si>
  <si>
    <t>Jeremy Reed</t>
  </si>
  <si>
    <t>Enitharmon Press</t>
  </si>
  <si>
    <t>to-read (#410)</t>
  </si>
  <si>
    <t>Jamás el fuego nunca</t>
  </si>
  <si>
    <t>Diamela Eltit</t>
  </si>
  <si>
    <t>Eltit, Diamela</t>
  </si>
  <si>
    <t>Editorial Periférica</t>
  </si>
  <si>
    <t>to-read (#563)</t>
  </si>
  <si>
    <t>Disappearing Acts: Spectacles of Gender and Nationalism in Argentina's "Dirty War"</t>
  </si>
  <si>
    <t>Diana Taylor</t>
  </si>
  <si>
    <t>Taylor, Diana</t>
  </si>
  <si>
    <t>to-read (#2309), biblio-shock-doctrine (#44), books-about-argentina (#15)</t>
  </si>
  <si>
    <t>Diane Arbus: An Aperture Monograph</t>
  </si>
  <si>
    <t>Diane Arbus</t>
  </si>
  <si>
    <t>Arbus, Diane</t>
  </si>
  <si>
    <t>Doon Arbus, Marvin Israel</t>
  </si>
  <si>
    <t>Aperture</t>
  </si>
  <si>
    <t>to-read (#544), photography (#4)</t>
  </si>
  <si>
    <t>Diane Arbus: Revelations</t>
  </si>
  <si>
    <t>to-read (#556), photography (#3)</t>
  </si>
  <si>
    <t>frank: sonnets</t>
  </si>
  <si>
    <t>Diane Seuss</t>
  </si>
  <si>
    <t>Seuss, Diane</t>
  </si>
  <si>
    <t>Graywolf</t>
  </si>
  <si>
    <t>to-read (#836)</t>
  </si>
  <si>
    <t>The Collected Stories of Diane Williams</t>
  </si>
  <si>
    <t>Diane Williams</t>
  </si>
  <si>
    <t>Williams, Diane</t>
  </si>
  <si>
    <t>Ben Marcus</t>
  </si>
  <si>
    <t>to-read (#830), short-stories (#45)</t>
  </si>
  <si>
    <t>Wrong: A Critical Biography of Dennis Cooper (New American Canon)</t>
  </si>
  <si>
    <t>Diarmuid Hester</t>
  </si>
  <si>
    <t>Hester, Diarmuid</t>
  </si>
  <si>
    <t>University Of Iowa Press</t>
  </si>
  <si>
    <t>to-read (#546)</t>
  </si>
  <si>
    <t>Insult and the Making of the Gay Self (Series Q)</t>
  </si>
  <si>
    <t>Didier Eribon</t>
  </si>
  <si>
    <t>Eribon, Didier</t>
  </si>
  <si>
    <t>Michael Lucey</t>
  </si>
  <si>
    <t>to-read (#219)</t>
  </si>
  <si>
    <t>Desde aceras opuestas: Literatura/cultura gay y lesbiana en Latinoamérica</t>
  </si>
  <si>
    <t>Dieter Ingenschay</t>
  </si>
  <si>
    <t>Ingenschay, Dieter</t>
  </si>
  <si>
    <t>Vervuert</t>
  </si>
  <si>
    <t>to-read (#487)</t>
  </si>
  <si>
    <t>A Love Affair</t>
  </si>
  <si>
    <t>Dino Buzzati</t>
  </si>
  <si>
    <t>Buzzati, Dino</t>
  </si>
  <si>
    <t>Joseph Green</t>
  </si>
  <si>
    <t>to-read (#1226), novels (#168)</t>
  </si>
  <si>
    <t>The Tartar Steppe</t>
  </si>
  <si>
    <t>Stuart Hood</t>
  </si>
  <si>
    <t>Verba Mundi</t>
  </si>
  <si>
    <t>to-read (#1947)</t>
  </si>
  <si>
    <t>Cometierra</t>
  </si>
  <si>
    <t>Dolores Reyes</t>
  </si>
  <si>
    <t>Reyes, Dolores</t>
  </si>
  <si>
    <t>Sigilo</t>
  </si>
  <si>
    <t>to-read (#395)</t>
  </si>
  <si>
    <t>Facundo: or Civilization and Barbarism</t>
  </si>
  <si>
    <t>Domingo Faustino Sarmiento</t>
  </si>
  <si>
    <t>Sarmiento, Domingo Faustino</t>
  </si>
  <si>
    <t>to-read (#1771)</t>
  </si>
  <si>
    <t>History of Shit</t>
  </si>
  <si>
    <t>Dominique Laporte</t>
  </si>
  <si>
    <t>Laporte, Dominique</t>
  </si>
  <si>
    <t>Nadia Benabid, Rodolphe El-Khoury</t>
  </si>
  <si>
    <t>to-read (#1251)</t>
  </si>
  <si>
    <t>Zero K</t>
  </si>
  <si>
    <t>Don DeLillo</t>
  </si>
  <si>
    <t>DeLillo, Don</t>
  </si>
  <si>
    <t xml:space="preserve">0, fuck-this-book, novels, to-read, </t>
  </si>
  <si>
    <t>to-read (#977), fuck-this-book (#1), novels (#5), 0 (#467)</t>
  </si>
  <si>
    <t>file under 'fuck this book'</t>
  </si>
  <si>
    <t>Underworld</t>
  </si>
  <si>
    <t>to-read (#1902), novels (#83), 0 (#449)</t>
  </si>
  <si>
    <t>Sadness</t>
  </si>
  <si>
    <t>Donald Barthelme</t>
  </si>
  <si>
    <t>Barthelme, Donald</t>
  </si>
  <si>
    <t>Pocket</t>
  </si>
  <si>
    <t>to-read (#840), short-stories (#46), biblio-noonday-demon (#32)</t>
  </si>
  <si>
    <t>Essential Tarot Writings: A Collection of Source Texts in Western Occultism</t>
  </si>
  <si>
    <t>Tyson, Donald</t>
  </si>
  <si>
    <t>to-read (#1532)</t>
  </si>
  <si>
    <t>Two People</t>
  </si>
  <si>
    <t>Donald Windham</t>
  </si>
  <si>
    <t>Windham, Donald</t>
  </si>
  <si>
    <t>Mondial</t>
  </si>
  <si>
    <t>to-read (#354), novels (#126), queer-gender-etc (#33)</t>
  </si>
  <si>
    <t>The Whiteness of Wealth: How the Tax System Impoverishes Black Americans—And How We Can Fix It</t>
  </si>
  <si>
    <t>Dorothy A. Brown</t>
  </si>
  <si>
    <t>Brown, Dorothy A.</t>
  </si>
  <si>
    <t>Crown Publishing Group</t>
  </si>
  <si>
    <t>to-read (#1966)</t>
  </si>
  <si>
    <t>Karate Chop</t>
  </si>
  <si>
    <t>Dorthe Nors</t>
  </si>
  <si>
    <t>Nors, Dorthe</t>
  </si>
  <si>
    <t>Martin Aitken</t>
  </si>
  <si>
    <t>to-read (#105), short-stories (#29)</t>
  </si>
  <si>
    <t>Young Mungo</t>
  </si>
  <si>
    <t>Douglas   Stuart</t>
  </si>
  <si>
    <t>Stuart, Douglas</t>
  </si>
  <si>
    <t>to-read (#953), novels (#151), queer-gender-etc (#52)</t>
  </si>
  <si>
    <t>Shuggie Bain</t>
  </si>
  <si>
    <t>awards-man-booker-prize-winners (#55), to-read (#1361), novels (#42), 0 (#539)</t>
  </si>
  <si>
    <t>Hey Nostradamus!</t>
  </si>
  <si>
    <t>Douglas Coupland</t>
  </si>
  <si>
    <t>Coupland, Douglas</t>
  </si>
  <si>
    <t>to-read (#76)</t>
  </si>
  <si>
    <t>The Monster of Florence</t>
  </si>
  <si>
    <t>Douglas Preston</t>
  </si>
  <si>
    <t>Preston, Douglas</t>
  </si>
  <si>
    <t>Mario Spezi</t>
  </si>
  <si>
    <t>Grand Central Publishing</t>
  </si>
  <si>
    <t>to-read (#1335), nonfiction (#66), 0 (#403)</t>
  </si>
  <si>
    <t>Gödel, Escher, Bach: An Eternal Golden Braid</t>
  </si>
  <si>
    <t>Douglas R. Hofstadter</t>
  </si>
  <si>
    <t>Hofstadter, Douglas R.</t>
  </si>
  <si>
    <t>to-read (#695), nonfiction (#111)</t>
  </si>
  <si>
    <t>I Am a Strange Loop</t>
  </si>
  <si>
    <t>to-read (#1964)</t>
  </si>
  <si>
    <t>The Phoenix Program: America's Use of Terror in Vietnam</t>
  </si>
  <si>
    <t>Douglas Valentine</t>
  </si>
  <si>
    <t>Valentine, Douglas</t>
  </si>
  <si>
    <t>to-read (#2415), bib-torture (#23)</t>
  </si>
  <si>
    <t>Too Much and Not the Mood: Essays</t>
  </si>
  <si>
    <t>Durga Chew-Bose</t>
  </si>
  <si>
    <t>Chew-Bose, Durga</t>
  </si>
  <si>
    <t>to-read (#596)</t>
  </si>
  <si>
    <t>The Trouble with Being Born</t>
  </si>
  <si>
    <t>E. M.; Howard Cioran</t>
  </si>
  <si>
    <t>Cioran, E. M.; Howard</t>
  </si>
  <si>
    <t>Richard Howard, Benjamin Ivry</t>
  </si>
  <si>
    <t>Quartet Books</t>
  </si>
  <si>
    <t>to-read (#201), philosophy (#30)</t>
  </si>
  <si>
    <t>Essays of E.B. White</t>
  </si>
  <si>
    <t>E.B. White</t>
  </si>
  <si>
    <t>White, E.B.</t>
  </si>
  <si>
    <t>to-read (#676)</t>
  </si>
  <si>
    <t>The Enormous Room</t>
  </si>
  <si>
    <t>E.E. Cummings</t>
  </si>
  <si>
    <t>Cummings, E.E.</t>
  </si>
  <si>
    <t>to-read (#1236), novels (#170)</t>
  </si>
  <si>
    <t>Documenting Light</t>
  </si>
  <si>
    <t>E.E. Ottoman</t>
  </si>
  <si>
    <t>Ottoman, E.E.</t>
  </si>
  <si>
    <t>Brain Mill Press</t>
  </si>
  <si>
    <t>to-read (#2200)</t>
  </si>
  <si>
    <t>Alchemy (Dover Books on Engineering)</t>
  </si>
  <si>
    <t>E.J. Holmyard</t>
  </si>
  <si>
    <t>Holmyard, E.J.</t>
  </si>
  <si>
    <t>to-read (#1409)</t>
  </si>
  <si>
    <t>The Greeks and the Irrational</t>
  </si>
  <si>
    <t>E.R. Dodds</t>
  </si>
  <si>
    <t>Dodds, E.R.</t>
  </si>
  <si>
    <t>to-read (#1457)</t>
  </si>
  <si>
    <t>The Tarot Revealed: A Modern Guide to Reading the Tarot Cards</t>
  </si>
  <si>
    <t>Eden Gray</t>
  </si>
  <si>
    <t>Gray, Eden</t>
  </si>
  <si>
    <t>to-read (#1063)</t>
  </si>
  <si>
    <t>18 Best Stories by Edgar Allan Poe</t>
  </si>
  <si>
    <t>Edgar Allan Poe</t>
  </si>
  <si>
    <t>Poe, Edgar Allan</t>
  </si>
  <si>
    <t>Vincent  Price, Chandler Brossard</t>
  </si>
  <si>
    <t>Dell</t>
  </si>
  <si>
    <t>to-read (#1611), short-stories (#18), 0 (#511)</t>
  </si>
  <si>
    <t>El vocabulario de Michel Foucault. Un recorrido alfabético por sus temas, conceptos y autores</t>
  </si>
  <si>
    <t>Edgardo Castro</t>
  </si>
  <si>
    <t>Castro, Edgardo</t>
  </si>
  <si>
    <t>Claudio Amor</t>
  </si>
  <si>
    <t>Prometeo 3010 / Universidad Nacional de Quilmes</t>
  </si>
  <si>
    <t xml:space="preserve">0, foucault, to-read, </t>
  </si>
  <si>
    <t>to-read (#1643), 0 (#111), foucault (#7)</t>
  </si>
  <si>
    <t>Mythology</t>
  </si>
  <si>
    <t>Edith Hamilton</t>
  </si>
  <si>
    <t>Hamilton, Edith</t>
  </si>
  <si>
    <t>Steele Savage</t>
  </si>
  <si>
    <t xml:space="preserve">greeks-romans-etc, mythology, to-read, </t>
  </si>
  <si>
    <t>to-read (#1159), greeks-romans-etc (#26), mythology (#26)</t>
  </si>
  <si>
    <t>The Greek Way</t>
  </si>
  <si>
    <t>W. W. Norton &amp; Co</t>
  </si>
  <si>
    <t>to-read (#1441), greeks-romans-etc (#48)</t>
  </si>
  <si>
    <t>Ghosts</t>
  </si>
  <si>
    <t>Edith Wharton</t>
  </si>
  <si>
    <t>Wharton, Edith</t>
  </si>
  <si>
    <t>to-read (#1243)</t>
  </si>
  <si>
    <t>Genet</t>
  </si>
  <si>
    <t>Edmund White</t>
  </si>
  <si>
    <t>White, Edmund</t>
  </si>
  <si>
    <t>to-read (#745), nonfiction (#119)</t>
  </si>
  <si>
    <t>Rimbaud: The Double Life of a Rebel</t>
  </si>
  <si>
    <t>Atlas</t>
  </si>
  <si>
    <t>to-read (#796)</t>
  </si>
  <si>
    <t>The Love Object: Selected Stories</t>
  </si>
  <si>
    <t>Edna O'Brien</t>
  </si>
  <si>
    <t>O'Brien, Edna</t>
  </si>
  <si>
    <t>John Banville</t>
  </si>
  <si>
    <t>to-read (#621), short-stories (#36)</t>
  </si>
  <si>
    <t>Suicide</t>
  </si>
  <si>
    <t>Édouard Levé</t>
  </si>
  <si>
    <t>Levé, Édouard</t>
  </si>
  <si>
    <t>Jan Steyn</t>
  </si>
  <si>
    <t>to-read (#976), novels (#21)</t>
  </si>
  <si>
    <t>P.O.L.</t>
  </si>
  <si>
    <t>The End of Eddy</t>
  </si>
  <si>
    <t>Édouard Louis</t>
  </si>
  <si>
    <t>Louis, Édouard</t>
  </si>
  <si>
    <t>to-read (#792), novels (#222), queer-gender-etc (#63)</t>
  </si>
  <si>
    <t>Who Killed My Father</t>
  </si>
  <si>
    <t>Lorin Stein</t>
  </si>
  <si>
    <t>Vintage Digital</t>
  </si>
  <si>
    <t>to-read (#411)</t>
  </si>
  <si>
    <t>Días y noches de amor y de guerra</t>
  </si>
  <si>
    <t>Eduardo Galeano</t>
  </si>
  <si>
    <t>Galeano, Eduardo</t>
  </si>
  <si>
    <t>Alianza Editorial</t>
  </si>
  <si>
    <t>to-read (#2271), biblio-shock-doctrine (#17)</t>
  </si>
  <si>
    <t>Mitos de memoria del fuego</t>
  </si>
  <si>
    <t>ANAYA INFANTIL Y JUVENIL</t>
  </si>
  <si>
    <t xml:space="preserve">authors-palestinian-authors, authors-usa-authors, to-read, </t>
  </si>
  <si>
    <t>to-read (#640)</t>
  </si>
  <si>
    <t>Ser como ellos y otros artículos</t>
  </si>
  <si>
    <t>Catálogos, Buenos Aires</t>
  </si>
  <si>
    <t>to-read (#638)</t>
  </si>
  <si>
    <t>Open Veins of Latin America: Five Centuries of the Pillage of a Continent</t>
  </si>
  <si>
    <t>Isabel Allende, Cedric Belfrage</t>
  </si>
  <si>
    <t>to-read (#541)</t>
  </si>
  <si>
    <t>The State And Capital In Chile: Business Elites, Technocrats, And Market Economics</t>
  </si>
  <si>
    <t>Eduardo Silva</t>
  </si>
  <si>
    <t>Silva, Eduardo</t>
  </si>
  <si>
    <t>Westview Press</t>
  </si>
  <si>
    <t>to-read (#2306), biblio-shock-doctrine (#40)</t>
  </si>
  <si>
    <t>Paraíso. Ensayos sobre América Latina (Spanish Edition)</t>
  </si>
  <si>
    <t>Eduardo Subirats</t>
  </si>
  <si>
    <t>Subirats, Eduardo</t>
  </si>
  <si>
    <t>to-read (#566)</t>
  </si>
  <si>
    <t>Formas de estar lejos</t>
  </si>
  <si>
    <t>Edurne Portela</t>
  </si>
  <si>
    <t>Portela, Edurne</t>
  </si>
  <si>
    <t>Galaxia Gutenberg</t>
  </si>
  <si>
    <t>to-read (#569)</t>
  </si>
  <si>
    <t>The Madman's Library: The Strangest Books, Manuscripts and Other Literary Curiosities from History</t>
  </si>
  <si>
    <t>Edward Brooke-Hitching</t>
  </si>
  <si>
    <t>Brooke-Hitching, Edward</t>
  </si>
  <si>
    <t>Chronicle Books</t>
  </si>
  <si>
    <t>to-read (#1752)</t>
  </si>
  <si>
    <t>The Last Days of Pompeii</t>
  </si>
  <si>
    <t>Edward Bulwer-Lytton</t>
  </si>
  <si>
    <t>Bulwer-Lytton, Edward</t>
  </si>
  <si>
    <t>Echo Library</t>
  </si>
  <si>
    <t>to-read (#1255), history (#37)</t>
  </si>
  <si>
    <t>The Swallowed Man</t>
  </si>
  <si>
    <t>Edward Carey</t>
  </si>
  <si>
    <t>Carey, Edward</t>
  </si>
  <si>
    <t>Gallic Books</t>
  </si>
  <si>
    <t>to-read (#720), novels (#138)</t>
  </si>
  <si>
    <t>Observatory Mansions</t>
  </si>
  <si>
    <t>to-read (#774)</t>
  </si>
  <si>
    <t>The Half Has Never Been Told: Slavery and the Making of American Capitalism</t>
  </si>
  <si>
    <t>Edward E. Baptist</t>
  </si>
  <si>
    <t>Baptist, Edward E.</t>
  </si>
  <si>
    <t>to-read (#629)</t>
  </si>
  <si>
    <t>The Eternal Drama: The Inner Meaning of Greek Mythology</t>
  </si>
  <si>
    <t>Edward F. Edinger</t>
  </si>
  <si>
    <t>Edinger, Edward F.</t>
  </si>
  <si>
    <t>Shambhala</t>
  </si>
  <si>
    <t>to-read (#1440), greeks-romans-etc (#47)</t>
  </si>
  <si>
    <t>A blueprint for survival</t>
  </si>
  <si>
    <t>Edward Goldsmith</t>
  </si>
  <si>
    <t>Goldsmith, Edward</t>
  </si>
  <si>
    <t>the Ecologist</t>
  </si>
  <si>
    <t>to-read (#2009)</t>
  </si>
  <si>
    <t>Brain-washing in Red China: The calculated destruction of men's minds</t>
  </si>
  <si>
    <t>Edward Hunter</t>
  </si>
  <si>
    <t>Hunter, Edward</t>
  </si>
  <si>
    <t>Vanguard Press</t>
  </si>
  <si>
    <t>to-read (#2407), bib-torture (#16)</t>
  </si>
  <si>
    <t>The Tenants of Moonbloom</t>
  </si>
  <si>
    <t>Edward Lewis Wallant</t>
  </si>
  <si>
    <t>Wallant, Edward Lewis</t>
  </si>
  <si>
    <t>to-read (#1246), novels (#218)</t>
  </si>
  <si>
    <t>Symbolist Art (World of Art)</t>
  </si>
  <si>
    <t>Edward Lucie-Smith</t>
  </si>
  <si>
    <t>Lucie-Smith, Edward</t>
  </si>
  <si>
    <t>Thames &amp; Hudson Ltd.</t>
  </si>
  <si>
    <t>to-read (#1187), dictionaries-and-encyclopedias (#10), mythology (#31)</t>
  </si>
  <si>
    <t>The Glory of Angels</t>
  </si>
  <si>
    <t>to-read (#1186), dictionaries-and-encyclopedias (#9), mythology (#30)</t>
  </si>
  <si>
    <t>Joan of Arc (Classic Biography)</t>
  </si>
  <si>
    <t>Penguin Group (Canada)</t>
  </si>
  <si>
    <t>to-read (#733), history (#29), nonfiction (#116)</t>
  </si>
  <si>
    <t>Torture: An Expert's Confrontation with an Everyday Evil (Anniversary Collection)</t>
  </si>
  <si>
    <t>Edward Peters</t>
  </si>
  <si>
    <t>Peters, Edward</t>
  </si>
  <si>
    <t>University of Pennsylvania Press</t>
  </si>
  <si>
    <t>to-read (#2393), bib-torture (#1)</t>
  </si>
  <si>
    <t>Encyclopedia of Aberrations - A Psychiatric Handbook</t>
  </si>
  <si>
    <t>Edward Podolsky</t>
  </si>
  <si>
    <t>Podolsky, Edward</t>
  </si>
  <si>
    <t>Philosophical Library, New York</t>
  </si>
  <si>
    <t>to-read (#2067), dictionaries-and-encyclopedias (#32)</t>
  </si>
  <si>
    <t>Sandburg: Photographers View Carl Sandburg</t>
  </si>
  <si>
    <t>Edward Steichen</t>
  </si>
  <si>
    <t>Steichen, Edward</t>
  </si>
  <si>
    <t>Harcourt Brace World</t>
  </si>
  <si>
    <t>to-read (#1890), art (#6), 0 (#357)</t>
  </si>
  <si>
    <t>The End of the Peace Process: Oslo and After</t>
  </si>
  <si>
    <t>Edward W. Said</t>
  </si>
  <si>
    <t>Said, Edward W.</t>
  </si>
  <si>
    <t xml:space="preserve">israel-palestine-conflict, nonfiction, to-read, </t>
  </si>
  <si>
    <t>to-read (#2250), israel-palestine-conflict (#1), nonfiction (#285)</t>
  </si>
  <si>
    <t>Peace And Its Discontents: Essays on Palestine in the Middle East Peace Process</t>
  </si>
  <si>
    <t>to-read (#2249), essays (#32)</t>
  </si>
  <si>
    <t>Orientalism</t>
  </si>
  <si>
    <t>to-read (#627), nonfiction (#210)</t>
  </si>
  <si>
    <t>Representations of the Intellectual</t>
  </si>
  <si>
    <t xml:space="preserve">authors-german-authors, authors-jewish-authors, authors-usa-authors, to-read, </t>
  </si>
  <si>
    <t>to-read (#2248)</t>
  </si>
  <si>
    <t>The Question of Palestine</t>
  </si>
  <si>
    <t>to-read (#2243)</t>
  </si>
  <si>
    <t>Culture and Imperialism</t>
  </si>
  <si>
    <t>to-read (#2004)</t>
  </si>
  <si>
    <t>Flatland: A Romance of Many Dimensions</t>
  </si>
  <si>
    <t>Edwin A. Abbott</t>
  </si>
  <si>
    <t>Abbott, Edwin A.</t>
  </si>
  <si>
    <t>Dover Publications, Inc.</t>
  </si>
  <si>
    <t>to-read (#1858)</t>
  </si>
  <si>
    <t>Afterglow (a dog memoir)</t>
  </si>
  <si>
    <t>Eileen Myles</t>
  </si>
  <si>
    <t>Myles, Eileen</t>
  </si>
  <si>
    <t>0 (#115)</t>
  </si>
  <si>
    <t>Beauty Is a Wound</t>
  </si>
  <si>
    <t>Eka Kurniawan</t>
  </si>
  <si>
    <t>Kurniawan, Eka</t>
  </si>
  <si>
    <t>Annie Tucker</t>
  </si>
  <si>
    <t>to-read (#152), novels (#114)</t>
  </si>
  <si>
    <t>The Highly Sensitive Person: How to Thrive When the World Overwhelms You</t>
  </si>
  <si>
    <t>Elaine N. Aron</t>
  </si>
  <si>
    <t>Aron, Elaine N.</t>
  </si>
  <si>
    <t>Harmony</t>
  </si>
  <si>
    <t>to-read (#2042)</t>
  </si>
  <si>
    <t>The Origin of Satan: How Christians Demonized Jews, Pagans and Heretics</t>
  </si>
  <si>
    <t>Elaine Pagels</t>
  </si>
  <si>
    <t>Pagels, Elaine</t>
  </si>
  <si>
    <t>to-read (#2174)</t>
  </si>
  <si>
    <t>The Gnostic Gospels</t>
  </si>
  <si>
    <t>to-read (#2048)</t>
  </si>
  <si>
    <t>The Body in Pain: The Making and Unmaking of the World</t>
  </si>
  <si>
    <t>Elaine Scarry</t>
  </si>
  <si>
    <t>Scarry, Elaine</t>
  </si>
  <si>
    <t xml:space="preserve">0, pain, philosophy, to-read, </t>
  </si>
  <si>
    <t>to-read (#304), philosophy (#1), 0 (#289), pain (#9)</t>
  </si>
  <si>
    <t>The Luminaries</t>
  </si>
  <si>
    <t>Eleanor Catton</t>
  </si>
  <si>
    <t>Catton, Eleanor</t>
  </si>
  <si>
    <t>to-read (#1318), awards-man-booker-prize-winners (#47)</t>
  </si>
  <si>
    <t>The Children of the Dead</t>
  </si>
  <si>
    <t>Elfriede Jelinek</t>
  </si>
  <si>
    <t>Jelinek, Elfriede</t>
  </si>
  <si>
    <t>Gitta Honegger</t>
  </si>
  <si>
    <t>to-read (#2257), novels (#206)</t>
  </si>
  <si>
    <t>Crowds and Power</t>
  </si>
  <si>
    <t>Elias Canneti</t>
  </si>
  <si>
    <t>Canneti, Elias</t>
  </si>
  <si>
    <t>Penguins Books</t>
  </si>
  <si>
    <t>to-read (#1455)</t>
  </si>
  <si>
    <t>The Forty Rules of Love</t>
  </si>
  <si>
    <t>Elif Shafak</t>
  </si>
  <si>
    <t>Shafak, Elif</t>
  </si>
  <si>
    <t>to-read (#40)</t>
  </si>
  <si>
    <t>Angels &amp; Saints: With a Guide to the Illustrations by Mary Wellesley</t>
  </si>
  <si>
    <t>Eliot Weinberger</t>
  </si>
  <si>
    <t>Weinberger, Eliot</t>
  </si>
  <si>
    <t>Mary Wellesley</t>
  </si>
  <si>
    <t>to-read (#1168)</t>
  </si>
  <si>
    <t>An Elemental Thing</t>
  </si>
  <si>
    <t>to-read (#299)</t>
  </si>
  <si>
    <t>The Wizard of Meudon</t>
  </si>
  <si>
    <t>Éliphas Lévi</t>
  </si>
  <si>
    <t>Lévi, Éliphas</t>
  </si>
  <si>
    <t>Galgalim Press</t>
  </si>
  <si>
    <t>to-read (#1164), novels (#223)</t>
  </si>
  <si>
    <t>The Key of the Mysteries</t>
  </si>
  <si>
    <t>Red Wheel / Weiser</t>
  </si>
  <si>
    <t>to-read (#1993)</t>
  </si>
  <si>
    <t>The History of Magic</t>
  </si>
  <si>
    <t>Arthur Edward Waite</t>
  </si>
  <si>
    <t>to-read (#1154)</t>
  </si>
  <si>
    <t>The Word Pretty</t>
  </si>
  <si>
    <t>Elisa Gabbert</t>
  </si>
  <si>
    <t>Gabbert, Elisa</t>
  </si>
  <si>
    <t>Black Ocean</t>
  </si>
  <si>
    <t>to-read (#554)</t>
  </si>
  <si>
    <t>Wisdom of the Tarot</t>
  </si>
  <si>
    <t>Elisabeth Haich</t>
  </si>
  <si>
    <t>Haich, Elisabeth</t>
  </si>
  <si>
    <t>Aurora Press</t>
  </si>
  <si>
    <t>to-read (#1064)</t>
  </si>
  <si>
    <t>Hannah Arendt: For Love of the World</t>
  </si>
  <si>
    <t>Elisabeth Young-Bruehl</t>
  </si>
  <si>
    <t>Young-Bruehl, Elisabeth</t>
  </si>
  <si>
    <t>to-read (#273)</t>
  </si>
  <si>
    <t>White Magic: Essays</t>
  </si>
  <si>
    <t>Elissa Washuta</t>
  </si>
  <si>
    <t>Washuta, Elissa</t>
  </si>
  <si>
    <t>Tin House Books</t>
  </si>
  <si>
    <t>to-read (#713), essays (#18), nonfiction (#165)</t>
  </si>
  <si>
    <t>Ancient Pagan Symbols</t>
  </si>
  <si>
    <t>Elizabeth E. Goldsmith</t>
  </si>
  <si>
    <t>Goldsmith, Elizabeth E.</t>
  </si>
  <si>
    <t>Nicolas-Hays, Inc</t>
  </si>
  <si>
    <t>to-read (#1100), mythology (#19)</t>
  </si>
  <si>
    <t>The Prophet of Love: And Other Tales of Power and Deceit</t>
  </si>
  <si>
    <t>Elizabeth Kolbert</t>
  </si>
  <si>
    <t>Kolbert, Elizabeth</t>
  </si>
  <si>
    <t>to-read (#1576), essays (#23), nonfiction (#152)</t>
  </si>
  <si>
    <t>The Sixth Extinction: An Unnatural History</t>
  </si>
  <si>
    <t xml:space="preserve">0, nonfiction, to-read, z-2023, </t>
  </si>
  <si>
    <t>to-read (#1789), nonfiction (#77), 0 (#525), z-2023 (#4)</t>
  </si>
  <si>
    <t>The Orphic Voice: Poetry and Natural History</t>
  </si>
  <si>
    <t>Elizabeth Sewell</t>
  </si>
  <si>
    <t>Sewell, Elizabeth</t>
  </si>
  <si>
    <t>to-read (#1241), history (#58), philosophy (#53)</t>
  </si>
  <si>
    <t>By Grand Central Station I Sat Down and Wept</t>
  </si>
  <si>
    <t>Elizabeth Smart</t>
  </si>
  <si>
    <t>Smart, Elizabeth</t>
  </si>
  <si>
    <t>to-read (#24)</t>
  </si>
  <si>
    <t>Mrs. Palfrey at the Claremont</t>
  </si>
  <si>
    <t>Elizabeth Taylor</t>
  </si>
  <si>
    <t>Taylor, Elizabeth</t>
  </si>
  <si>
    <t>Michael Hofmann</t>
  </si>
  <si>
    <t>to-read (#1242)</t>
  </si>
  <si>
    <t>The Origin of Capitalism: A Longer View</t>
  </si>
  <si>
    <t>Ellen Meiksins Wood</t>
  </si>
  <si>
    <t>Wood, Ellen Meiksins</t>
  </si>
  <si>
    <t>to-read (#1583), nonfiction (#35), 0 (#330)</t>
  </si>
  <si>
    <t>The Bug: A Novel</t>
  </si>
  <si>
    <t>Ellen Ullman</t>
  </si>
  <si>
    <t>Ullman, Ellen</t>
  </si>
  <si>
    <t>to-read (#902)</t>
  </si>
  <si>
    <t>Mosaic of Thought: Teaching Comprehension in a Reader's Workshop</t>
  </si>
  <si>
    <t>Ellin Oliver Keene</t>
  </si>
  <si>
    <t>Keene, Ellin Oliver</t>
  </si>
  <si>
    <t>Susan Zimmermann</t>
  </si>
  <si>
    <t>Heinemann</t>
  </si>
  <si>
    <t>to-read (#1930)</t>
  </si>
  <si>
    <t>The Center Cannot Hold: My Journey Through Madness</t>
  </si>
  <si>
    <t>Elyn R. Saks</t>
  </si>
  <si>
    <t>Saks, Elyn R.</t>
  </si>
  <si>
    <t>to-read (#95)</t>
  </si>
  <si>
    <t>Manic-Depressive Insanity and Paranoia (Classics in Psychiatry) (English and German Edition)</t>
  </si>
  <si>
    <t>Emil Kraepelin</t>
  </si>
  <si>
    <t>Kraepelin, Emil</t>
  </si>
  <si>
    <t>Ayer Co Pub</t>
  </si>
  <si>
    <t>to-read (#2057), biblio-noonday-demon (#14)</t>
  </si>
  <si>
    <t>Tears and Saints</t>
  </si>
  <si>
    <t>Emil M. Cioran</t>
  </si>
  <si>
    <t>Cioran, Emil M.</t>
  </si>
  <si>
    <t>Ilinca Zarifopol-Johnston</t>
  </si>
  <si>
    <t>to-read (#2128), biblio-noonday-demon (#50)</t>
  </si>
  <si>
    <t>A Short History of Decay</t>
  </si>
  <si>
    <t>to-read (#1989), biblio-noonday-demon (#49)</t>
  </si>
  <si>
    <t>The New Gods</t>
  </si>
  <si>
    <t>to-read (#1913)</t>
  </si>
  <si>
    <t>The Temptation to Exist</t>
  </si>
  <si>
    <t>to-read (#1679)</t>
  </si>
  <si>
    <t>The Complete Poems of Emily Dickinson</t>
  </si>
  <si>
    <t>Emily Dickinson</t>
  </si>
  <si>
    <t>Dickinson, Emily</t>
  </si>
  <si>
    <t>Thomas H. Johnson, Mabel Loomis Todd, Thomas Wentworth Higgins</t>
  </si>
  <si>
    <t xml:space="preserve">biblio-noonday-demon, poetry, to-read, </t>
  </si>
  <si>
    <t>to-read (#2054), biblio-noonday-demon (#11), poetry (#67)</t>
  </si>
  <si>
    <t>I Like to Watch: Arguing My Way Through the TV Revolution</t>
  </si>
  <si>
    <t>Emily Nussbaum</t>
  </si>
  <si>
    <t>Nussbaum, Emily</t>
  </si>
  <si>
    <t>to-read (#429)</t>
  </si>
  <si>
    <t>Sea of Tranquility</t>
  </si>
  <si>
    <t>Emily St. John Mandel</t>
  </si>
  <si>
    <t>Mandel, Emily St. John</t>
  </si>
  <si>
    <t>to-read (#1047)</t>
  </si>
  <si>
    <t>Mocked with Death: Tragic Overliving from Sophocles to Milton</t>
  </si>
  <si>
    <t>Emily Wilson</t>
  </si>
  <si>
    <t>Wilson, Emily</t>
  </si>
  <si>
    <t>Johns Hopkins University Press</t>
  </si>
  <si>
    <t>to-read (#2062)</t>
  </si>
  <si>
    <t>The New Mole: Paths of the Latin American Left</t>
  </si>
  <si>
    <t>Emir Sader</t>
  </si>
  <si>
    <t>Sader, Emir</t>
  </si>
  <si>
    <t>to-read (#238), nonfiction (#90)</t>
  </si>
  <si>
    <t>Arthur Rimbaud: A Biography</t>
  </si>
  <si>
    <t>Enid Starkie</t>
  </si>
  <si>
    <t>Starkie, Enid</t>
  </si>
  <si>
    <t>to-read (#770), biographies-etc (#6)</t>
  </si>
  <si>
    <t>Filosofías del Sur. Descolonización y Transmodernidad</t>
  </si>
  <si>
    <t>Enrique Dussel</t>
  </si>
  <si>
    <t>Dussel, Enrique</t>
  </si>
  <si>
    <t>Akal</t>
  </si>
  <si>
    <t>to-read (#559)</t>
  </si>
  <si>
    <t>Redentores: Ideas y Poder en America Latina (Spanish Edition)</t>
  </si>
  <si>
    <t>Enrique Krauze</t>
  </si>
  <si>
    <t>Krauze, Enrique</t>
  </si>
  <si>
    <t>Vintage Espanol</t>
  </si>
  <si>
    <t>to-read (#486)</t>
  </si>
  <si>
    <t>Bartleby &amp; Co.</t>
  </si>
  <si>
    <t>Enrique Vila-Matas</t>
  </si>
  <si>
    <t>Vila-Matas, Enrique</t>
  </si>
  <si>
    <t>Jonathan Dunne</t>
  </si>
  <si>
    <t>to-read (#1692)</t>
  </si>
  <si>
    <t>On Happiness</t>
  </si>
  <si>
    <t>Epicurus</t>
  </si>
  <si>
    <t>Epicurus, Epicurus</t>
  </si>
  <si>
    <t>Arcturus Publishing</t>
  </si>
  <si>
    <t>to-read (#2158), biblio-noonday-demon (#64)</t>
  </si>
  <si>
    <t>Constellation Myths: with Aratus's Phaenomena</t>
  </si>
  <si>
    <t>Eratosthenes</t>
  </si>
  <si>
    <t>Eratosthenes, Eratosthenes</t>
  </si>
  <si>
    <t>Hyginus, Aratus, Robin Hard</t>
  </si>
  <si>
    <t>to-read (#1556), greeks-romans-etc (#74), mythology (#52)</t>
  </si>
  <si>
    <t>Games People Play</t>
  </si>
  <si>
    <t>Eric Berne</t>
  </si>
  <si>
    <t>Berne, Eric</t>
  </si>
  <si>
    <t>to-read (#899), nonfiction (#200), psychology (#21)</t>
  </si>
  <si>
    <t>Theories of Mythology (Ancient Cultures)</t>
  </si>
  <si>
    <t>Eric Csapo</t>
  </si>
  <si>
    <t>Csapo, Eric</t>
  </si>
  <si>
    <t>to-read (#1505)</t>
  </si>
  <si>
    <t>1177 B.C.: The Year Civilization Collapsed (Turning Points in Ancient History, #1)</t>
  </si>
  <si>
    <t>Eric H. Cline</t>
  </si>
  <si>
    <t>Cline, Eric H.</t>
  </si>
  <si>
    <t>Barry S. Strauss</t>
  </si>
  <si>
    <t>to-read (#2442), history (#85), nonfiction (#287)</t>
  </si>
  <si>
    <t>The Forgotten Language: An Introduction to the Understanding of Dreams, Fairy Tales, and Myths</t>
  </si>
  <si>
    <t>Erich Fromm</t>
  </si>
  <si>
    <t>Fromm, Erich</t>
  </si>
  <si>
    <t>Henry Holt &amp; Co.</t>
  </si>
  <si>
    <t xml:space="preserve">authors-english-authors, authors-occult-authors, to-read, </t>
  </si>
  <si>
    <t>to-read (#1082)</t>
  </si>
  <si>
    <t>Escape from Freedom</t>
  </si>
  <si>
    <t>to-read (#617)</t>
  </si>
  <si>
    <t>The Art of Loving</t>
  </si>
  <si>
    <t>to-read (#399)</t>
  </si>
  <si>
    <t>The Great Mother: An Analysis of the Archetype (Bollingen)</t>
  </si>
  <si>
    <t>Erich Neumann</t>
  </si>
  <si>
    <t>Neumann, Erich</t>
  </si>
  <si>
    <t>Ralph Manheim</t>
  </si>
  <si>
    <t>to-read (#1471), mythology (#49)</t>
  </si>
  <si>
    <t>Isaac's Storm: A Man, a Time, and the Deadliest Hurricane in History</t>
  </si>
  <si>
    <t>Erik Larson</t>
  </si>
  <si>
    <t>Larson, Erik</t>
  </si>
  <si>
    <t>Vintage Books USA</t>
  </si>
  <si>
    <t>to-read (#795), history (#41), nonfiction (#128)</t>
  </si>
  <si>
    <t>Understanding Class</t>
  </si>
  <si>
    <t>Erik Olin Wright</t>
  </si>
  <si>
    <t>Wright, Erik Olin</t>
  </si>
  <si>
    <t>to-read (#232), philosophy (#6), 0 (#474)</t>
  </si>
  <si>
    <t>The Denial of Death</t>
  </si>
  <si>
    <t>Ernest Becker</t>
  </si>
  <si>
    <t>Becker, Ernest</t>
  </si>
  <si>
    <t>to-read (#2115), biblio-noonday-demon (#38)</t>
  </si>
  <si>
    <t>The Life of David Hume</t>
  </si>
  <si>
    <t>Ernest Campbell Mossner</t>
  </si>
  <si>
    <t>Mossner, Ernest Campbell</t>
  </si>
  <si>
    <t>to-read (#893), biographies-etc (#19)</t>
  </si>
  <si>
    <t>The Short Stories of Ernest Hemingway</t>
  </si>
  <si>
    <t>Ernest Hemingway</t>
  </si>
  <si>
    <t>Hemingway, Ernest</t>
  </si>
  <si>
    <t>Scribner Classics</t>
  </si>
  <si>
    <t>to-read (#1034), short-stories (#27), 0 (#538)</t>
  </si>
  <si>
    <t>A Lesson Before Dying</t>
  </si>
  <si>
    <t>Ernest J. Gaines</t>
  </si>
  <si>
    <t>Gaines, Ernest J.</t>
  </si>
  <si>
    <t>to-read (#1104), novels (#7), 0 (#387)</t>
  </si>
  <si>
    <t>Salt and the Alchemical Soul</t>
  </si>
  <si>
    <t>Ernest Jones</t>
  </si>
  <si>
    <t>Jones, Ernest</t>
  </si>
  <si>
    <t>C.G. Jung, James Hillman, Stanton Marlan</t>
  </si>
  <si>
    <t>Spring Publications</t>
  </si>
  <si>
    <t>to-read (#1697)</t>
  </si>
  <si>
    <t>El túnel</t>
  </si>
  <si>
    <t>Ernesto Sabato</t>
  </si>
  <si>
    <t>Sabato, Ernesto</t>
  </si>
  <si>
    <t>Nino Pipia</t>
  </si>
  <si>
    <t>Booket</t>
  </si>
  <si>
    <t>to-read (#157)</t>
  </si>
  <si>
    <t>On the Marble Cliffs</t>
  </si>
  <si>
    <t>Ernst Jünger</t>
  </si>
  <si>
    <t>Jünger, Ernst</t>
  </si>
  <si>
    <t>Tess Lewis, Jessi Jezewska Stevens, Maurice Blanchot, Charlotte Mandell</t>
  </si>
  <si>
    <t>to-read (#1232)</t>
  </si>
  <si>
    <t>Astrology and Astronomy: A Pictorial Archive of Signs and Symbols (Dover Pictorial Archive)</t>
  </si>
  <si>
    <t>Ernst Lehner</t>
  </si>
  <si>
    <t>Lehner, Ernst</t>
  </si>
  <si>
    <t>Johanna Lehner</t>
  </si>
  <si>
    <t>to-read (#1707), tarot (#7)</t>
  </si>
  <si>
    <t>Symbols, Signs and Signets (Dover Pictorial Archive)</t>
  </si>
  <si>
    <t>to-read (#1037), dictionaries-and-encyclopedias (#6), mythology (#16)</t>
  </si>
  <si>
    <t>Folklore and Symbolism of Flowers, Plants and Trees</t>
  </si>
  <si>
    <t>to-read (#1708)</t>
  </si>
  <si>
    <t>Four Years of Nazi Torture</t>
  </si>
  <si>
    <t>Ernst Winkler</t>
  </si>
  <si>
    <t>Winkler, Ernst</t>
  </si>
  <si>
    <t>Borodino Books</t>
  </si>
  <si>
    <t>to-read (#2397), bib-torture (#6)</t>
  </si>
  <si>
    <t>The Presentation of Self in Everyday Life</t>
  </si>
  <si>
    <t>Erving Goffman</t>
  </si>
  <si>
    <t>Goffman, Erving</t>
  </si>
  <si>
    <t>to-read (#945)</t>
  </si>
  <si>
    <t>Studies in Iconology: Humanistic Themes in the Art of the Renaissance</t>
  </si>
  <si>
    <t>Erwin Panofsky</t>
  </si>
  <si>
    <t>Panofsky, Erwin</t>
  </si>
  <si>
    <t>Gerda S. Panofsky</t>
  </si>
  <si>
    <t>to-read (#948)</t>
  </si>
  <si>
    <t>What Is Life? with Mind and Matter and Autobiographical Sketches</t>
  </si>
  <si>
    <t>Erwin Schrödinger</t>
  </si>
  <si>
    <t>Schrödinger, Erwin</t>
  </si>
  <si>
    <t>Roger Penrose</t>
  </si>
  <si>
    <t>to-read (#1976)</t>
  </si>
  <si>
    <t>Margaret Mead Made Me Gay: Personal Essays, Public Ideas (Series Q)</t>
  </si>
  <si>
    <t>Esther Newton</t>
  </si>
  <si>
    <t>Newton, Esther</t>
  </si>
  <si>
    <t>to-read (#294), essays (#30)</t>
  </si>
  <si>
    <t>Mother Camp: Female Impersonators in America</t>
  </si>
  <si>
    <t>to-read (#293), queer-gender-etc (#28)</t>
  </si>
  <si>
    <t>Race, Nation, Class: Ambiguous Identities</t>
  </si>
  <si>
    <t>Étienne Balibar</t>
  </si>
  <si>
    <t>Balibar, Étienne</t>
  </si>
  <si>
    <t>Immanuel Wallerstein</t>
  </si>
  <si>
    <t>to-read (#231)</t>
  </si>
  <si>
    <t>The Highly Selective Dictionary for the Extraordinarily Literate</t>
  </si>
  <si>
    <t>Eugene Ehrlich</t>
  </si>
  <si>
    <t>Ehrlich, Eugene</t>
  </si>
  <si>
    <t>to-read (#867)</t>
  </si>
  <si>
    <t>Three Great Plays: The Emperor Jones, Anna Christie and The Hairy Ape (Dover Thrift Editions)</t>
  </si>
  <si>
    <t>Eugene O'Neill</t>
  </si>
  <si>
    <t>O'Neill, Eugene</t>
  </si>
  <si>
    <t>to-read (#1904), plays (#8), 0 (#557)</t>
  </si>
  <si>
    <t>The Iceman Cometh</t>
  </si>
  <si>
    <t>Harold Bloom</t>
  </si>
  <si>
    <t>plays (#9), to-read (#1905), 0 (#358)</t>
  </si>
  <si>
    <t>Long Day's Journey into Night</t>
  </si>
  <si>
    <t>to-read (#50)</t>
  </si>
  <si>
    <t>Mourning Becomes Electra</t>
  </si>
  <si>
    <t>Nick Hern Books</t>
  </si>
  <si>
    <t>to-read (#1329)</t>
  </si>
  <si>
    <t>Inundación: El lenguaje secreto del que estamos hechos</t>
  </si>
  <si>
    <t>Eugenia Almeida</t>
  </si>
  <si>
    <t>Almeida, Eugenia</t>
  </si>
  <si>
    <t>to-read (#457)</t>
  </si>
  <si>
    <t>On Immunity: An Inoculation</t>
  </si>
  <si>
    <t>Eula Biss</t>
  </si>
  <si>
    <t>Biss, Eula</t>
  </si>
  <si>
    <t>to-read (#1983)</t>
  </si>
  <si>
    <t>Three Plays of Euripides: Alcestis/Medea/The Bacchae</t>
  </si>
  <si>
    <t>Euripides</t>
  </si>
  <si>
    <t>Euripides, Euripides</t>
  </si>
  <si>
    <t>Paul Roche</t>
  </si>
  <si>
    <t>W.W. Norton &amp; Company</t>
  </si>
  <si>
    <t xml:space="preserve">0, greeks-romans-etc, mythology, to-read, </t>
  </si>
  <si>
    <t>0 (#43), mythology (#3), greeks-romans-etc (#7), to-read (#2387)</t>
  </si>
  <si>
    <t>Ion</t>
  </si>
  <si>
    <t>W.S. Di Piero, Peter Burian</t>
  </si>
  <si>
    <t xml:space="preserve">greeks-romans-etc, mythology, plays, to-read, </t>
  </si>
  <si>
    <t>to-read (#1272), greeks-romans-etc (#39), plays (#23), mythology (#42)</t>
  </si>
  <si>
    <t>The Trojan Women and Other Plays</t>
  </si>
  <si>
    <t>James Morwood, Edith Hall</t>
  </si>
  <si>
    <t>to-read (#1268), greeks-romans-etc (#35), plays (#19), mythology (#38)</t>
  </si>
  <si>
    <t>Electra</t>
  </si>
  <si>
    <t>Janet Lempke, George Theodorides</t>
  </si>
  <si>
    <t>to-read (#1270), greeks-romans-etc (#37), plays (#21), mythology (#40)</t>
  </si>
  <si>
    <t>Iphigenia at Aulis and Iphigenia in Tauris</t>
  </si>
  <si>
    <t>Bolchazy-Carducci Publishers</t>
  </si>
  <si>
    <t>to-read (#1271), greeks-romans-etc (#38), plays (#22), mythology (#41)</t>
  </si>
  <si>
    <t>Orestes and Other Plays</t>
  </si>
  <si>
    <t>James Morwood, Robin Waterfield, Edith Hall</t>
  </si>
  <si>
    <t>to-read (#1269), greeks-romans-etc (#36), plays (#20), mythology (#39)</t>
  </si>
  <si>
    <t>The Bacchae</t>
  </si>
  <si>
    <t>Kenneth McLeish, Frederic Raphael</t>
  </si>
  <si>
    <t>to-read (#1124), greeks-romans-etc (#25), plays (#12), mythology (#22)</t>
  </si>
  <si>
    <t>Iphigenia among the Taurians</t>
  </si>
  <si>
    <t>Anne Carson, Glenn W. Most, Mark Griffith</t>
  </si>
  <si>
    <t>to-read (#1222), greeks-romans-etc (#32), plays (#16)</t>
  </si>
  <si>
    <t>The Trojan Women</t>
  </si>
  <si>
    <t>Anne Carson, Rosanna Bruno</t>
  </si>
  <si>
    <t>to-read (#1224), greeks-romans-etc (#33), plays (#17)</t>
  </si>
  <si>
    <t>The Children of Herakles</t>
  </si>
  <si>
    <t>Henry Taylor, Robert A. Brooks</t>
  </si>
  <si>
    <t>to-read (#1267), greeks-romans-etc (#34), plays (#18)</t>
  </si>
  <si>
    <t>Herakles</t>
  </si>
  <si>
    <t>Thomas Sleigh, Christian Wolff</t>
  </si>
  <si>
    <t>to-read (#1497), greeks-romans-etc (#55)</t>
  </si>
  <si>
    <t>Cyclops</t>
  </si>
  <si>
    <t>David Konstan, Heather McHugh</t>
  </si>
  <si>
    <t>to-read (#1273), greeks-romans-etc (#40)</t>
  </si>
  <si>
    <t>Rhesos (Greek Tragedy in New Translations)</t>
  </si>
  <si>
    <t>Richard Emil Braun</t>
  </si>
  <si>
    <t>to-read (#1274), greeks-romans-etc (#41)</t>
  </si>
  <si>
    <t>Grief Lessons: Four Plays by Euripides (New York Review Books Classics)</t>
  </si>
  <si>
    <t xml:space="preserve">0, greeks-romans-etc, plays, poetry, </t>
  </si>
  <si>
    <t>plays (#4), poetry (#44), greeks-romans-etc (#4), 0 (#382)</t>
  </si>
  <si>
    <t>The Diary of a Rapist (New York Review Books Classics)</t>
  </si>
  <si>
    <t>Evan S. Connell</t>
  </si>
  <si>
    <t>Connell, Evan S.</t>
  </si>
  <si>
    <t>A.M. Homes</t>
  </si>
  <si>
    <t>to-read (#1680)</t>
  </si>
  <si>
    <t>Epistemology of the Closet</t>
  </si>
  <si>
    <t>Eve Kosofsky Sedgwick</t>
  </si>
  <si>
    <t>Sedgwick, Eve Kosofsky</t>
  </si>
  <si>
    <t>to-read (#1863)</t>
  </si>
  <si>
    <t>Tendencies</t>
  </si>
  <si>
    <t>to-read (#709)</t>
  </si>
  <si>
    <t>A Dialogue on Love</t>
  </si>
  <si>
    <t>to-read (#386)</t>
  </si>
  <si>
    <t>Los ejércitos</t>
  </si>
  <si>
    <t>Evelio Rosero</t>
  </si>
  <si>
    <t>Rosero, Evelio</t>
  </si>
  <si>
    <t>to-read (#2197), books-from-twitter (#43)</t>
  </si>
  <si>
    <t>Stranger to the Moon</t>
  </si>
  <si>
    <t>Anne McLean, Victor Meadowcroft</t>
  </si>
  <si>
    <t>to-read (#2059)</t>
  </si>
  <si>
    <t>Historia de la Argentina - Biografía de un País - Desde la conquista española hasta nuestros días</t>
  </si>
  <si>
    <t>Ezequiel Adamovsky</t>
  </si>
  <si>
    <t>Adamovsky, Ezequiel</t>
  </si>
  <si>
    <t>Crítica</t>
  </si>
  <si>
    <t xml:space="preserve">books-about-argentina, to-read, </t>
  </si>
  <si>
    <t>books-about-argentina (#12), to-read (#2384)</t>
  </si>
  <si>
    <t>X-Ray of the Pampa</t>
  </si>
  <si>
    <t>Ezequiel Martínez Estrada</t>
  </si>
  <si>
    <t>Estrada, Ezequiel Martínez</t>
  </si>
  <si>
    <t>to-read (#2267), books-about-argentina (#11)</t>
  </si>
  <si>
    <t>Bichos: sonetos &amp; comentarios</t>
  </si>
  <si>
    <t>Ezequiel Zaidenwerg</t>
  </si>
  <si>
    <t>Zaidenwerg, Ezequiel</t>
  </si>
  <si>
    <t>Mirta Rosenberg, Valentina Rebasa, Miguel Balaguer</t>
  </si>
  <si>
    <t>to-read (#454)</t>
  </si>
  <si>
    <t>The Crack-Up</t>
  </si>
  <si>
    <t>F. Scott Fitzgerald</t>
  </si>
  <si>
    <t>Fitzgerald, F. Scott</t>
  </si>
  <si>
    <t>Edmund Wilson</t>
  </si>
  <si>
    <t>to-read (#2144), biblio-noonday-demon (#54)</t>
  </si>
  <si>
    <t>The Great Gatsby</t>
  </si>
  <si>
    <t>Jesmyn Ward</t>
  </si>
  <si>
    <t xml:space="preserve">0, biblio-noonday-demon, novels, </t>
  </si>
  <si>
    <t>novels (#65), 0 (#279), biblio-noonday-demon (#17)</t>
  </si>
  <si>
    <t>Numerology and the Divine Triangle</t>
  </si>
  <si>
    <t>Faith Javane</t>
  </si>
  <si>
    <t>Javane, Faith</t>
  </si>
  <si>
    <t>Dusty Bunker</t>
  </si>
  <si>
    <t>Whitford Press</t>
  </si>
  <si>
    <t>to-read (#1533)</t>
  </si>
  <si>
    <t>The Ideological Origins of the Dirty War: Fascism, Populism, and Dictatorship in Twentieth Century Argentina</t>
  </si>
  <si>
    <t>Federico Finchelstein</t>
  </si>
  <si>
    <t>Finchelstein, Federico</t>
  </si>
  <si>
    <t>to-read (#2179)</t>
  </si>
  <si>
    <t>The Exorcism of Anneliese Michel</t>
  </si>
  <si>
    <t>Felicitas D. Goodman</t>
  </si>
  <si>
    <t>Goodman, Felicitas D.</t>
  </si>
  <si>
    <t>Resource Publications</t>
  </si>
  <si>
    <t>to-read (#2262), nonfiction (#246)</t>
  </si>
  <si>
    <t>Desembarco en las Georgias (Spanish Edition)</t>
  </si>
  <si>
    <t>Felipe Celesia</t>
  </si>
  <si>
    <t>Celesia, Felipe</t>
  </si>
  <si>
    <t>Paidos Argentina</t>
  </si>
  <si>
    <t xml:space="preserve">argentina, nonfiction, to-read, </t>
  </si>
  <si>
    <t>to-read (#2441), argentina (#1), nonfiction (#279)</t>
  </si>
  <si>
    <t>Temporada de huracanes</t>
  </si>
  <si>
    <t>Fernanda Melchor</t>
  </si>
  <si>
    <t>Melchor, Fernanda</t>
  </si>
  <si>
    <t>Penguin Random House Grupo Editorial</t>
  </si>
  <si>
    <t>to-read (#704), books-from-twitter (#32), sa-mx (#1)</t>
  </si>
  <si>
    <t>Paradais</t>
  </si>
  <si>
    <t>Sophie Hughes</t>
  </si>
  <si>
    <t>to-read (#1915)</t>
  </si>
  <si>
    <t>Understanding Pain</t>
  </si>
  <si>
    <t>Fernando Cervero</t>
  </si>
  <si>
    <t>Cervero, Fernando</t>
  </si>
  <si>
    <t>to-read (#1622), pain (#7)</t>
  </si>
  <si>
    <t>Palinuro of Mexico (World Literature Series)</t>
  </si>
  <si>
    <t>Fernando del Paso</t>
  </si>
  <si>
    <t>Paso, Fernando del</t>
  </si>
  <si>
    <t>Elisabeth Plaister</t>
  </si>
  <si>
    <t>to-read (#1194), novels (#163)</t>
  </si>
  <si>
    <t>Dependency and Development in Latin America</t>
  </si>
  <si>
    <t>Fernando Henrique Cardoso</t>
  </si>
  <si>
    <t>Cardoso, Fernando Henrique</t>
  </si>
  <si>
    <t>Faletto Enzo</t>
  </si>
  <si>
    <t>to-read (#637)</t>
  </si>
  <si>
    <t>El huracán. Su mitología y sus símbolos</t>
  </si>
  <si>
    <t>Fernando Ortiz Fernández</t>
  </si>
  <si>
    <t>Fernández, Fernando Ortiz</t>
  </si>
  <si>
    <t>to-read (#1085)</t>
  </si>
  <si>
    <t>Libro del desasosiego</t>
  </si>
  <si>
    <t>Fernando Pessoa</t>
  </si>
  <si>
    <t>Pessoa, Fernando</t>
  </si>
  <si>
    <t>Perfecto E. Cuadrado</t>
  </si>
  <si>
    <t>Acantilado</t>
  </si>
  <si>
    <t>to-read (#845)</t>
  </si>
  <si>
    <t>Ética para Amador</t>
  </si>
  <si>
    <t>Fernando Savater</t>
  </si>
  <si>
    <t>Savater, Fernando</t>
  </si>
  <si>
    <t>Buenos Aires: Ariel</t>
  </si>
  <si>
    <t>to-read (#1410), 0 (#258)</t>
  </si>
  <si>
    <t>Wise Blood</t>
  </si>
  <si>
    <t>Flannery O'Connor</t>
  </si>
  <si>
    <t>O'Connor, Flannery</t>
  </si>
  <si>
    <t>Farrar Straus &amp; Giroux</t>
  </si>
  <si>
    <t>to-read (#910)</t>
  </si>
  <si>
    <t>Sweet Days of Discipline</t>
  </si>
  <si>
    <t>Fleur Jaeggy</t>
  </si>
  <si>
    <t>Jaeggy, Fleur</t>
  </si>
  <si>
    <t>Tim Parks</t>
  </si>
  <si>
    <t>to-read (#2220), books-from-twitter (#47)</t>
  </si>
  <si>
    <t>I Am the Brother of XX</t>
  </si>
  <si>
    <t>Gini Alhadeff</t>
  </si>
  <si>
    <t>to-read (#1265)</t>
  </si>
  <si>
    <t>Useless Magic: Lyrics and Poetry</t>
  </si>
  <si>
    <t>Florence Welch</t>
  </si>
  <si>
    <t>Welch, Florence</t>
  </si>
  <si>
    <t>Fig Tree</t>
  </si>
  <si>
    <t>to-read (#418), poetry (#54)</t>
  </si>
  <si>
    <t>As a Friend</t>
  </si>
  <si>
    <t>Forrest Gander</t>
  </si>
  <si>
    <t>Gander, Forrest</t>
  </si>
  <si>
    <t>to-read (#783), novels (#145)</t>
  </si>
  <si>
    <t>The Art of Memory</t>
  </si>
  <si>
    <t>Frances A. Yates</t>
  </si>
  <si>
    <t>Yates, Frances A.</t>
  </si>
  <si>
    <t>to-read (#1458)</t>
  </si>
  <si>
    <t>A Delusion of Satan: The Full Story of the Salem Witch Trials</t>
  </si>
  <si>
    <t>Frances Hill</t>
  </si>
  <si>
    <t>Hill, Frances</t>
  </si>
  <si>
    <t>Karen Armstrong</t>
  </si>
  <si>
    <t>to-read (#1377), nonfiction (#14), 0 (#313)</t>
  </si>
  <si>
    <t>The Cultural Cold War: The CIA and the World of Arts and Letters</t>
  </si>
  <si>
    <t>Frances Stonor Saunders</t>
  </si>
  <si>
    <t>Saunders, Frances Stonor</t>
  </si>
  <si>
    <t>to-read (#2281), biblio-shock-doctrine (#12)</t>
  </si>
  <si>
    <t>Italian Phrases For Dummies</t>
  </si>
  <si>
    <t>Francesca Romana Onofri</t>
  </si>
  <si>
    <t>Onofri, Francesca Romana</t>
  </si>
  <si>
    <t>Karen Antje Möller</t>
  </si>
  <si>
    <t>For Dummies</t>
  </si>
  <si>
    <t>to-read (#1349)</t>
  </si>
  <si>
    <t>God: An Anatomy</t>
  </si>
  <si>
    <t>Francesca Stavrakopoulou</t>
  </si>
  <si>
    <t>Stavrakopoulou, Francesca</t>
  </si>
  <si>
    <t>to-read (#1253), history (#35), nonfiction (#269)</t>
  </si>
  <si>
    <t>Impossible Worlds</t>
  </si>
  <si>
    <t>Francesco Berto</t>
  </si>
  <si>
    <t>Berto, Francesco</t>
  </si>
  <si>
    <t>Mark Jago</t>
  </si>
  <si>
    <t>to-read (#955)</t>
  </si>
  <si>
    <t>Simone Weil</t>
  </si>
  <si>
    <t>Francine Gray</t>
  </si>
  <si>
    <t>Gray, Francine</t>
  </si>
  <si>
    <t>to-read (#756)</t>
  </si>
  <si>
    <t>Reading Like a Writer: A Guide for People Who Love Books and for Those Who Want to Write Them</t>
  </si>
  <si>
    <t>Francine Prose</t>
  </si>
  <si>
    <t>Prose, Francine</t>
  </si>
  <si>
    <t>to-read (#1862)</t>
  </si>
  <si>
    <t>The Magus: A Complete System of Occult Philosophy</t>
  </si>
  <si>
    <t>Francis Barrett</t>
  </si>
  <si>
    <t>Barrett, Francis</t>
  </si>
  <si>
    <t xml:space="preserve">authors-colombian-authors, to-read, </t>
  </si>
  <si>
    <t>to-read (#1088)</t>
  </si>
  <si>
    <t>The Lives of Alchemystical Philosophers: With a Critical Catalogue of Books in Occult Chemistry, and a Selection of the Most Celebrated Treatises on ... of the Hermetic Art (Classic Reprint)</t>
  </si>
  <si>
    <t>to-read (#1087)</t>
  </si>
  <si>
    <t>A Visual Dictionary of Architecture</t>
  </si>
  <si>
    <t>Francis D.K. Ching</t>
  </si>
  <si>
    <t>Ching, Francis D.K.</t>
  </si>
  <si>
    <t>to-read (#308)</t>
  </si>
  <si>
    <t>Depression, the Mood Disease (A Johns Hopkins Press Health Book)</t>
  </si>
  <si>
    <t>Francis Mark Mondimore MD</t>
  </si>
  <si>
    <t>MD, Francis Mark Mondimore</t>
  </si>
  <si>
    <t>to-read (#1939), biblio-noonday-demon (#2)</t>
  </si>
  <si>
    <t>El Nihilismo</t>
  </si>
  <si>
    <t>Franco Volpi</t>
  </si>
  <si>
    <t>Volpi, Franco</t>
  </si>
  <si>
    <t>Biblos</t>
  </si>
  <si>
    <t>to-read (#495)</t>
  </si>
  <si>
    <t>Cambodia: Year Zero (English and French Edition)</t>
  </si>
  <si>
    <t>François Ponchaud</t>
  </si>
  <si>
    <t>Ponchaud, François</t>
  </si>
  <si>
    <t>Nancy Amphoux</t>
  </si>
  <si>
    <t>to-read (#2314), biblio-shock-doctrine (#49)</t>
  </si>
  <si>
    <t>The Films in My Life by Francois Truffaut (1980-05-08)</t>
  </si>
  <si>
    <t>François Truffaut</t>
  </si>
  <si>
    <t>Truffaut, François</t>
  </si>
  <si>
    <t>to-read (#2255), books-from-twitter (#59)</t>
  </si>
  <si>
    <t>Half-light: Collected Poems 1965-2016</t>
  </si>
  <si>
    <t>Frank Bidart</t>
  </si>
  <si>
    <t>Bidart, Frank</t>
  </si>
  <si>
    <t>to-read (#616), poetry (#59)</t>
  </si>
  <si>
    <t>Magic With Cards</t>
  </si>
  <si>
    <t>Frank Garcia</t>
  </si>
  <si>
    <t>Garcia, Frank</t>
  </si>
  <si>
    <t>Reiss</t>
  </si>
  <si>
    <t>to-read (#1665), 0 (#204)</t>
  </si>
  <si>
    <t>Magic with Cards</t>
  </si>
  <si>
    <t>George Schindler</t>
  </si>
  <si>
    <t>Hale</t>
  </si>
  <si>
    <t>to-read (#998)</t>
  </si>
  <si>
    <t>Decent Interval: An Insider's Account of Saigon's Indecent End Told by the CIA's Chief Strategy Analyst in Vietnam</t>
  </si>
  <si>
    <t>Frank Snepp</t>
  </si>
  <si>
    <t>Snepp, Frank</t>
  </si>
  <si>
    <t>University Press of Kansas</t>
  </si>
  <si>
    <t>to-read (#2417), bib-torture (#26)</t>
  </si>
  <si>
    <t>Are We Smart Enough to Know How Smart Animals Are?</t>
  </si>
  <si>
    <t>Frans de Waal</t>
  </si>
  <si>
    <t>Waal, Frans de</t>
  </si>
  <si>
    <t>to-read (#1675)</t>
  </si>
  <si>
    <t>The Wretched of the Earth</t>
  </si>
  <si>
    <t>Frantz Fanon</t>
  </si>
  <si>
    <t>Fanon, Frantz</t>
  </si>
  <si>
    <t>Homi K. Bhabha, Richard Philcox, Jean-Paul Sartre</t>
  </si>
  <si>
    <t>to-read (#2339), books-from-twitter (#72)</t>
  </si>
  <si>
    <t>A Dying Colonialism</t>
  </si>
  <si>
    <t>Haakon Chevalier</t>
  </si>
  <si>
    <t>Grove</t>
  </si>
  <si>
    <t>to-read (#2291), biblio-shock-doctrine (#25)</t>
  </si>
  <si>
    <t>Diaries, 1910-1923</t>
  </si>
  <si>
    <t>Franz Kafka</t>
  </si>
  <si>
    <t>Kafka, Franz</t>
  </si>
  <si>
    <t>Schocken</t>
  </si>
  <si>
    <t>to-read (#1836), nonfiction (#176), biographies-etc (#51)</t>
  </si>
  <si>
    <t>The Metamorphosis and Other Stories</t>
  </si>
  <si>
    <t>Willa Muir, Jason Baker, Donna Freed, Edwin Muir</t>
  </si>
  <si>
    <t>Barnes &amp; Noble Classics</t>
  </si>
  <si>
    <t>to-read (#1431), short-stories (#6), 0 (#507)</t>
  </si>
  <si>
    <t>La Metamorfosis</t>
  </si>
  <si>
    <t>Austral</t>
  </si>
  <si>
    <t>to-read (#1797), short-stories (#20), 0 (#436)</t>
  </si>
  <si>
    <t>The Complete Stories</t>
  </si>
  <si>
    <t>John Updike, Nahum N. Glatzer</t>
  </si>
  <si>
    <t>Schocken Books</t>
  </si>
  <si>
    <t>to-read (#1421), short-stories (#14), 0 (#325)</t>
  </si>
  <si>
    <t>The Zürau Aphorisms</t>
  </si>
  <si>
    <t>Roberto Calasso, Michael Hofmann, Geoffrey Brock</t>
  </si>
  <si>
    <t>to-read (#1211)</t>
  </si>
  <si>
    <t>A History of Medieval Philosophy</t>
  </si>
  <si>
    <t>Frederick Charles Copleston</t>
  </si>
  <si>
    <t>Copleston, Frederick Charles</t>
  </si>
  <si>
    <t>University of Notre Dame Press</t>
  </si>
  <si>
    <t>to-read (#605), nonfiction (#102), philosophy (#37)</t>
  </si>
  <si>
    <t>Manic-Depressive Illness: Bipolar Disorders and Recurrent Depression</t>
  </si>
  <si>
    <t>Frederick K. Goodwin</t>
  </si>
  <si>
    <t>Goodwin, Frederick K.</t>
  </si>
  <si>
    <t>Kay Redfield Jamison</t>
  </si>
  <si>
    <t>to-read (#2052), biblio-noonday-demon (#8)</t>
  </si>
  <si>
    <t>Postmodernism or the Cultural Logic of Late Capitalism</t>
  </si>
  <si>
    <t>Fredric Jameson</t>
  </si>
  <si>
    <t>Jameson, Fredric</t>
  </si>
  <si>
    <t>Stanley Fish, Stefano Velotti</t>
  </si>
  <si>
    <t>to-read (#1632)</t>
  </si>
  <si>
    <t>Human, All Too Human: A Book for Free Spirits</t>
  </si>
  <si>
    <t>Nietzsche, Friedrich</t>
  </si>
  <si>
    <t>R.J. Hollingdale, Richard Schacht</t>
  </si>
  <si>
    <t>to-read (#7)</t>
  </si>
  <si>
    <t>Diary of a Man in Despair</t>
  </si>
  <si>
    <t>Friedrich Reck-Malleczewen</t>
  </si>
  <si>
    <t>Reck-Malleczewen, Friedrich</t>
  </si>
  <si>
    <t>Paul Rubens</t>
  </si>
  <si>
    <t>Duckworth Publishing</t>
  </si>
  <si>
    <t>to-read (#1141)</t>
  </si>
  <si>
    <t>A Journey Round My Skull</t>
  </si>
  <si>
    <t>Frigyes Karinthy</t>
  </si>
  <si>
    <t>Karinthy, Frigyes</t>
  </si>
  <si>
    <t>Vernon Duckworth Barker, Oliver Sacks</t>
  </si>
  <si>
    <t>to-read (#1247), nonfiction (#149)</t>
  </si>
  <si>
    <t>Demons</t>
  </si>
  <si>
    <t>Fyodor Dostoevsky</t>
  </si>
  <si>
    <t>Dostoevsky, Fyodor</t>
  </si>
  <si>
    <t>Richard Pevear, Larissa Volokhonsky</t>
  </si>
  <si>
    <t>to-read (#2154), biblio-noonday-demon (#60), novels (#198)</t>
  </si>
  <si>
    <t>Notes from Underground</t>
  </si>
  <si>
    <t>Richard Pevear, Larissa Volokhonsky, Donald Fanger</t>
  </si>
  <si>
    <t>to-read (#2153), biblio-noonday-demon (#59), novels (#197)</t>
  </si>
  <si>
    <t>The Idiot</t>
  </si>
  <si>
    <t>Anna Brailovsky, Joseph Frank, Constance Garnett</t>
  </si>
  <si>
    <t>Modern Library</t>
  </si>
  <si>
    <t>to-read (#2152), biblio-noonday-demon (#58), novels (#196)</t>
  </si>
  <si>
    <t>The House of the Dead</t>
  </si>
  <si>
    <t>to-read (#2151), biblio-noonday-demon (#57), novels (#195)</t>
  </si>
  <si>
    <t>Crime and Punishment</t>
  </si>
  <si>
    <t>Fyodor Dostoyevsky</t>
  </si>
  <si>
    <t>Dostoyevsky, Fyodor</t>
  </si>
  <si>
    <t>David McDuff, Joseph Frank</t>
  </si>
  <si>
    <t>to-read (#1036), novels (#82)</t>
  </si>
  <si>
    <t>not the same edition</t>
  </si>
  <si>
    <t>Love Songs &amp; Monster Songs</t>
  </si>
  <si>
    <t>G.M. Holder</t>
  </si>
  <si>
    <t>Holder, G.M.</t>
  </si>
  <si>
    <t>Blackout Publishing</t>
  </si>
  <si>
    <t>to-read (#59)</t>
  </si>
  <si>
    <t>One Hundred Years of Solitude</t>
  </si>
  <si>
    <t>Gabriel García Márquez</t>
  </si>
  <si>
    <t>Márquez, Gabriel García</t>
  </si>
  <si>
    <t>Gregory Rabassa</t>
  </si>
  <si>
    <t xml:space="preserve">0, novels, z-favorites-shelf, </t>
  </si>
  <si>
    <t>novels (#41), 0 (#371), z-favorites-shelf (#35)</t>
  </si>
  <si>
    <t>Todos los Cuentos</t>
  </si>
  <si>
    <t>Editorial La Oveja Negra y Seix Barral, S. A.</t>
  </si>
  <si>
    <t>to-read (#1867), 0 (#249)</t>
  </si>
  <si>
    <t>Collected Novellas (Perennial Classics)</t>
  </si>
  <si>
    <t>to-read (#1006), short-stories (#16), 0 (#486)</t>
  </si>
  <si>
    <t>El general en su laberinto</t>
  </si>
  <si>
    <t>to-read (#1486), novels (#69), 0 (#420)</t>
  </si>
  <si>
    <t>Love in the Time of Cholera</t>
  </si>
  <si>
    <t>Edith Grossman, Kjell Risvik, Carlos Marrodán Casas</t>
  </si>
  <si>
    <t>novels (#27), 0 (#374)</t>
  </si>
  <si>
    <t>El otoño del patriarca</t>
  </si>
  <si>
    <t xml:space="preserve">authors-italian-authors, to-read, </t>
  </si>
  <si>
    <t>to-read (#64)</t>
  </si>
  <si>
    <t>The Autumn of the Patriarch</t>
  </si>
  <si>
    <t>to-read (#1518)</t>
  </si>
  <si>
    <t>The Argentina Reader: History, Culture, Politics (The Latin America Readers)</t>
  </si>
  <si>
    <t>Gabriela Nouzeilles</t>
  </si>
  <si>
    <t>Nouzeilles, Gabriela</t>
  </si>
  <si>
    <t>Graciela Montaldo</t>
  </si>
  <si>
    <t>to-read (#220), nonfiction (#219)</t>
  </si>
  <si>
    <t>Machito</t>
  </si>
  <si>
    <t>Gael Policano Rossi</t>
  </si>
  <si>
    <t>Rossi, Gael Policano</t>
  </si>
  <si>
    <t>De Parado</t>
  </si>
  <si>
    <t>to-read (#1423), novels (#45), 0 (#548)</t>
  </si>
  <si>
    <t>Labyrinth: Studies on an Archetype</t>
  </si>
  <si>
    <t>Gaetano Cipolla</t>
  </si>
  <si>
    <t>Cipolla, Gaetano</t>
  </si>
  <si>
    <t>Legas</t>
  </si>
  <si>
    <t xml:space="preserve">labyrinths, to-read, </t>
  </si>
  <si>
    <t>to-read (#1758), labyrinths (#4)</t>
  </si>
  <si>
    <t>Reagan's America: Innocents at Home</t>
  </si>
  <si>
    <t>Garry Wills</t>
  </si>
  <si>
    <t>Wills, Garry</t>
  </si>
  <si>
    <t>to-read (#2293), biblio-shock-doctrine (#27)</t>
  </si>
  <si>
    <t>What Belongs to You</t>
  </si>
  <si>
    <t>Garth Greenwell</t>
  </si>
  <si>
    <t>Greenwell, Garth</t>
  </si>
  <si>
    <t>to-read (#988), novels (#86), 0 (#472)</t>
  </si>
  <si>
    <t>The Secret Language of Relationships: Your Complete Personology Guide to Any Relationship with Anyone</t>
  </si>
  <si>
    <t>Gary Goldschneider</t>
  </si>
  <si>
    <t>Goldschneider, Gary</t>
  </si>
  <si>
    <t>Joost Elffers</t>
  </si>
  <si>
    <t>Penquin Studio</t>
  </si>
  <si>
    <t>to-read (#996), 0 (#167)</t>
  </si>
  <si>
    <t>The Secret Language of Birthdays: Personology Profiles for Each Day of the Year</t>
  </si>
  <si>
    <t>Joost Elffers, Aron Goldschneider</t>
  </si>
  <si>
    <t>Penguin Studio Books</t>
  </si>
  <si>
    <t>to-read (#993), 0 (#166)</t>
  </si>
  <si>
    <t>The Cambridge Companion to Foucault (Cambridge Companions to Philosophy)</t>
  </si>
  <si>
    <t>Gary Gutting</t>
  </si>
  <si>
    <t>Gutting, Gary</t>
  </si>
  <si>
    <t xml:space="preserve">cambridge-companions, foucault, philosophy, to-read, </t>
  </si>
  <si>
    <t>to-read (#246), philosophy (#65), foucault (#10), cambridge-companions (#1)</t>
  </si>
  <si>
    <t>Foucault: A Very Short Introduction</t>
  </si>
  <si>
    <t>to-read (#1624), philosophy (#20), 0 (#337), foucault (#3)</t>
  </si>
  <si>
    <t>The Psychoanalysis of Fire</t>
  </si>
  <si>
    <t>Gaston Bachelard</t>
  </si>
  <si>
    <t>Bachelard, Gaston</t>
  </si>
  <si>
    <t>Quartet Encounters</t>
  </si>
  <si>
    <t xml:space="preserve">nonfiction, psychology, </t>
  </si>
  <si>
    <t>nonfiction (#184), psychology (#13)</t>
  </si>
  <si>
    <t>Northrop Frye, Alan C. M. Ross</t>
  </si>
  <si>
    <t>to-read (#1776)</t>
  </si>
  <si>
    <t>Cracking the Coding Interview: 189 Programming Questions and Solutions</t>
  </si>
  <si>
    <t>Gayle Laakmann McDowell</t>
  </si>
  <si>
    <t>McDowell, Gayle Laakmann</t>
  </si>
  <si>
    <t>CareerCup</t>
  </si>
  <si>
    <t>to-read (#1642), tech (#7), 0 (#513)</t>
  </si>
  <si>
    <t>The Life and Death of Latisha King: A Critical Phenomenology of Transphobia (Sexual Cultures, 10)</t>
  </si>
  <si>
    <t>Gayle Salamon</t>
  </si>
  <si>
    <t>Salamon, Gayle</t>
  </si>
  <si>
    <t>to-read (#523)</t>
  </si>
  <si>
    <t>Peace</t>
  </si>
  <si>
    <t>Gene Wolfe</t>
  </si>
  <si>
    <t>Wolfe, Gene</t>
  </si>
  <si>
    <t>Orb Books</t>
  </si>
  <si>
    <t>to-read (#1857)</t>
  </si>
  <si>
    <t>Canterbury Tales</t>
  </si>
  <si>
    <t>Geoffrey Chaucer</t>
  </si>
  <si>
    <t>Chaucer, Geoffrey</t>
  </si>
  <si>
    <t>to-read (#1001), novels (#81)</t>
  </si>
  <si>
    <t>Falling Hour</t>
  </si>
  <si>
    <t>Geoffrey D. Morrison</t>
  </si>
  <si>
    <t>Morrison, Geoffrey D.</t>
  </si>
  <si>
    <t>Coach House Books</t>
  </si>
  <si>
    <t>to-read (#2324), books-from-twitter (#61)</t>
  </si>
  <si>
    <t>Classical Mythology in English Literature: A Critical Anthology</t>
  </si>
  <si>
    <t>Geoffrey Miles</t>
  </si>
  <si>
    <t>Miles, Geoffrey</t>
  </si>
  <si>
    <t xml:space="preserve">books-about-books, to-read, </t>
  </si>
  <si>
    <t>to-read (#1513), books-about-books (#7)</t>
  </si>
  <si>
    <t>The Waste Books</t>
  </si>
  <si>
    <t>Georg Christoph Lichtenberg</t>
  </si>
  <si>
    <t>Lichtenberg, Georg Christoph</t>
  </si>
  <si>
    <t>to-read (#1434)</t>
  </si>
  <si>
    <t>Arcana Mundi: Magic and the Occult in the Greek and Roman Worlds: A Collection of Ancient Texts</t>
  </si>
  <si>
    <t>Georg Luck</t>
  </si>
  <si>
    <t>Luck, Georg</t>
  </si>
  <si>
    <t>to-read (#1469)</t>
  </si>
  <si>
    <t>Daniel Deronda</t>
  </si>
  <si>
    <t>George Eliot</t>
  </si>
  <si>
    <t>Eliot, George</t>
  </si>
  <si>
    <t>Penguin Classic</t>
  </si>
  <si>
    <t>to-read (#2157), biblio-noonday-demon (#63)</t>
  </si>
  <si>
    <t>Signs and Symbols in Christian Art</t>
  </si>
  <si>
    <t>George Ferguson</t>
  </si>
  <si>
    <t>Ferguson, George</t>
  </si>
  <si>
    <t>to-read (#1080), mythology (#18)</t>
  </si>
  <si>
    <t>One, Two, Three...Infinity: Facts and Speculations of Science</t>
  </si>
  <si>
    <t>George Gamow</t>
  </si>
  <si>
    <t>Gamow, George</t>
  </si>
  <si>
    <t>to-read (#1805)</t>
  </si>
  <si>
    <t>Hypnotism</t>
  </si>
  <si>
    <t>George H. Estabrooks</t>
  </si>
  <si>
    <t>Estabrooks, George H.</t>
  </si>
  <si>
    <t>Plume</t>
  </si>
  <si>
    <t>to-read (#2406), bib-torture (#15)</t>
  </si>
  <si>
    <t>November of the Soul: The Enigma of Suicide</t>
  </si>
  <si>
    <t>George Howe Colt</t>
  </si>
  <si>
    <t>Colt, George Howe</t>
  </si>
  <si>
    <t>to-read (#2129), biblio-noonday-demon (#51)</t>
  </si>
  <si>
    <t>The Nazi Doctors and the Nuremberg Code: Human Rights in Human Experimentation</t>
  </si>
  <si>
    <t>George J. Annas</t>
  </si>
  <si>
    <t>Annas, George J.</t>
  </si>
  <si>
    <t>Michael A. Grodin, Robert N. Proctor</t>
  </si>
  <si>
    <t>to-read (#2398), bib-torture (#8)</t>
  </si>
  <si>
    <t>The Image of Man: The Creation of Modern Masculinity (Studies in the History of Sexuality)</t>
  </si>
  <si>
    <t>George L. Mosse</t>
  </si>
  <si>
    <t>Mosse, George L.</t>
  </si>
  <si>
    <t>to-read (#189), queer-gender-etc (#20)</t>
  </si>
  <si>
    <t>Metaphors We Live By</t>
  </si>
  <si>
    <t>George Lakoff</t>
  </si>
  <si>
    <t>Lakoff, George</t>
  </si>
  <si>
    <t>Mark Johnson</t>
  </si>
  <si>
    <t>to-read (#2019)</t>
  </si>
  <si>
    <t>Homage to Catalonia</t>
  </si>
  <si>
    <t>George Orwell</t>
  </si>
  <si>
    <t>Orwell, George</t>
  </si>
  <si>
    <t>Harcourt, Inc.(Harvest Book)</t>
  </si>
  <si>
    <t>to-read (#752), nonfiction (#124)</t>
  </si>
  <si>
    <t>Walter Cronkite, Erich Fromm</t>
  </si>
  <si>
    <t>New American Library</t>
  </si>
  <si>
    <t>to-read (#1339), novels (#12), 0 (#307)</t>
  </si>
  <si>
    <t>Why I Write</t>
  </si>
  <si>
    <t>to-read (#321)</t>
  </si>
  <si>
    <t>Books v. Cigarettes</t>
  </si>
  <si>
    <t>to-read (#312)</t>
  </si>
  <si>
    <t>Three Philosophical Poets: Lucretius, Dante, Goethe</t>
  </si>
  <si>
    <t>George Santayana</t>
  </si>
  <si>
    <t>Santayana, George</t>
  </si>
  <si>
    <t>to-read (#1879), philosophy (#27), 0 (#443)</t>
  </si>
  <si>
    <t>Tenth of December: Stories</t>
  </si>
  <si>
    <t>George Saunders</t>
  </si>
  <si>
    <t>Saunders, George</t>
  </si>
  <si>
    <t>to-read (#737), short-stories (#42)</t>
  </si>
  <si>
    <t>Congratulations, by the Way: Some Thoughts on Kindness</t>
  </si>
  <si>
    <t>to-read (#314)</t>
  </si>
  <si>
    <t>Lincoln in the Bardo</t>
  </si>
  <si>
    <t>to-read (#1322), awards-man-booker-prize-winners (#51)</t>
  </si>
  <si>
    <t>The Poetry of Thought: From Hellenism to Celan</t>
  </si>
  <si>
    <t>George Steiner</t>
  </si>
  <si>
    <t>Steiner, George</t>
  </si>
  <si>
    <t>to-read (#2015)</t>
  </si>
  <si>
    <t>George Steiner en The New Yorker</t>
  </si>
  <si>
    <t>Robert Boyers, María Condor</t>
  </si>
  <si>
    <t>to-read (#500)</t>
  </si>
  <si>
    <t>The Bataille Reader</t>
  </si>
  <si>
    <t>Georges Bataille</t>
  </si>
  <si>
    <t>Bataille, Georges</t>
  </si>
  <si>
    <t>Fred Botting, Scott Wilson</t>
  </si>
  <si>
    <t>John Wiley &amp; Sons</t>
  </si>
  <si>
    <t>to-read (#1130)</t>
  </si>
  <si>
    <t>Story of the Eye</t>
  </si>
  <si>
    <t>Dovid Bergelson</t>
  </si>
  <si>
    <t>City Lights Publishers</t>
  </si>
  <si>
    <t>to-read (#20)</t>
  </si>
  <si>
    <t>Historia de los infiernos</t>
  </si>
  <si>
    <t>Georges Minois</t>
  </si>
  <si>
    <t>Minois, Georges</t>
  </si>
  <si>
    <t>Paidós</t>
  </si>
  <si>
    <t>to-read (#575)</t>
  </si>
  <si>
    <t>A Void</t>
  </si>
  <si>
    <t>Georges Perec</t>
  </si>
  <si>
    <t>Perec, Georges</t>
  </si>
  <si>
    <t>Gilbert Adair</t>
  </si>
  <si>
    <t>to-read (#78), books-from-twitter (#4)</t>
  </si>
  <si>
    <t>The Art of Asking Your Boss for a Raise</t>
  </si>
  <si>
    <t>David Bellos</t>
  </si>
  <si>
    <t>The Physics of Sorrow</t>
  </si>
  <si>
    <t>Georgi Gospodinov</t>
  </si>
  <si>
    <t>Gospodinov, Georgi</t>
  </si>
  <si>
    <t>to-read (#1764), novels (#184)</t>
  </si>
  <si>
    <t>A New Economic History of Argentina</t>
  </si>
  <si>
    <t>Gerardo della Paolera</t>
  </si>
  <si>
    <t>Paolera, Gerardo della</t>
  </si>
  <si>
    <t>Alan M. Taylor</t>
  </si>
  <si>
    <t>to-read (#2177)</t>
  </si>
  <si>
    <t>Monstrilio</t>
  </si>
  <si>
    <t>Gerardo Sámano Córdova</t>
  </si>
  <si>
    <t>Córdova, Gerardo Sámano</t>
  </si>
  <si>
    <t>Zando</t>
  </si>
  <si>
    <t>to-read (#1573), novels (#183)</t>
  </si>
  <si>
    <t>The Twin</t>
  </si>
  <si>
    <t>Gerbrand Bakker</t>
  </si>
  <si>
    <t>Bakker, Gerbrand</t>
  </si>
  <si>
    <t>Harvill Secker</t>
  </si>
  <si>
    <t>to-read (#1852), 0 (#247)</t>
  </si>
  <si>
    <t>The Daily Practice of Painting: Writings 1962-1993</t>
  </si>
  <si>
    <t>Gerhard Richter</t>
  </si>
  <si>
    <t>Richter, Gerhard</t>
  </si>
  <si>
    <t>Gerhard Richter, Hans-Ulrich Obrist</t>
  </si>
  <si>
    <t>Mit Pr</t>
  </si>
  <si>
    <t>to-read (#2050), biblio-noonday-demon (#6)</t>
  </si>
  <si>
    <t>Gay Men and the Sexual History of the Political Left</t>
  </si>
  <si>
    <t>Gert Hekma</t>
  </si>
  <si>
    <t>Hekma, Gert</t>
  </si>
  <si>
    <t>Harry Oosterhuis, James Steakley</t>
  </si>
  <si>
    <t xml:space="preserve">history, nonfiction, queer-gender-etc, to-read, </t>
  </si>
  <si>
    <t>to-read (#237), history (#18), nonfiction (#89), queer-gender-etc (#25)</t>
  </si>
  <si>
    <t>The Making of Americans</t>
  </si>
  <si>
    <t>Gertrude Stein</t>
  </si>
  <si>
    <t>Stein, Gertrude</t>
  </si>
  <si>
    <t>William H. Gass, Steven Meyer</t>
  </si>
  <si>
    <t>to-read (#1591), books-from-twitter (#10)</t>
  </si>
  <si>
    <t>Men in the Sun and Other Palestinian Stories</t>
  </si>
  <si>
    <t>Ghassan Kanafani</t>
  </si>
  <si>
    <t>Kanafani, Ghassan</t>
  </si>
  <si>
    <t>Hilary Kilpatrick</t>
  </si>
  <si>
    <t>Lynne Rienner Publishers</t>
  </si>
  <si>
    <t>to-read (#2259)</t>
  </si>
  <si>
    <t>Five Stages of Greek Religion</t>
  </si>
  <si>
    <t>Gilbert Murray</t>
  </si>
  <si>
    <t>Murray, Gilbert</t>
  </si>
  <si>
    <t>to-read (#1475), greeks-romans-etc (#84)</t>
  </si>
  <si>
    <t>Anti-Oedipus: Capitalism and Schizophrenia</t>
  </si>
  <si>
    <t>Gilles Deleuze</t>
  </si>
  <si>
    <t>Deleuze, Gilles</t>
  </si>
  <si>
    <t>Félix Guattari</t>
  </si>
  <si>
    <t>to-read (#163), philosophy (#66)</t>
  </si>
  <si>
    <t>Masochism: Coldness and Cruelty &amp; Venus in Furs</t>
  </si>
  <si>
    <t>Leopold von Sacher-Masoch, Jean McNeil, Aude Willm</t>
  </si>
  <si>
    <t>Zone Books</t>
  </si>
  <si>
    <t>to-read (#300)</t>
  </si>
  <si>
    <t>Writing Routes: A Resource Handbook of Therapeutic Writing (Writing for Therapy or Personal Development)</t>
  </si>
  <si>
    <t>Gillie Bolton</t>
  </si>
  <si>
    <t>Bolton, Gillie</t>
  </si>
  <si>
    <t>Kate Thompson</t>
  </si>
  <si>
    <t>Jessica Kingsley Publishers</t>
  </si>
  <si>
    <t>to-read (#1837)</t>
  </si>
  <si>
    <t>Profanations</t>
  </si>
  <si>
    <t>Giorgio Agamben</t>
  </si>
  <si>
    <t>Agamben, Giorgio</t>
  </si>
  <si>
    <t>Jeff Fort</t>
  </si>
  <si>
    <t>to-read (#688)</t>
  </si>
  <si>
    <t>What Is an Apparatus? and Other Essays</t>
  </si>
  <si>
    <t>David Kishik, Stefan Pedatella</t>
  </si>
  <si>
    <t>Stanford University Press</t>
  </si>
  <si>
    <t>to-read (#468)</t>
  </si>
  <si>
    <t>The Open: Man and Animal</t>
  </si>
  <si>
    <t>Kevin Attell</t>
  </si>
  <si>
    <t>to-read (#467)</t>
  </si>
  <si>
    <t>The Gold-Rimmed Spectacles</t>
  </si>
  <si>
    <t>Giorgio Bassani</t>
  </si>
  <si>
    <t>Bassani, Giorgio</t>
  </si>
  <si>
    <t>to-read (#1195), queer-gender-etc (#55)</t>
  </si>
  <si>
    <t>Geometry of Shadows</t>
  </si>
  <si>
    <t>Giorgio de Chirico</t>
  </si>
  <si>
    <t>Chirico, Giorgio de</t>
  </si>
  <si>
    <t>Stefania Heim</t>
  </si>
  <si>
    <t>A Public Space Books</t>
  </si>
  <si>
    <t>to-read (#1067)</t>
  </si>
  <si>
    <t>The Twenty Days of Turin</t>
  </si>
  <si>
    <t>Giorgio De Maria</t>
  </si>
  <si>
    <t>Maria, Giorgio De</t>
  </si>
  <si>
    <t>Ramon Glazov</t>
  </si>
  <si>
    <t>to-read (#2402), novels (#208)</t>
  </si>
  <si>
    <t>El piloto ciego</t>
  </si>
  <si>
    <t>Giovanni Papini</t>
  </si>
  <si>
    <t>Papini, Giovanni</t>
  </si>
  <si>
    <t>Rey Lear Editores</t>
  </si>
  <si>
    <t>to-read (#786)</t>
  </si>
  <si>
    <t>Oration on the Dignity of Man</t>
  </si>
  <si>
    <t>Giovanni Pico della Mirandola</t>
  </si>
  <si>
    <t>Mirandola, Giovanni Pico della</t>
  </si>
  <si>
    <t>A. Robert Gaponigri, Russell Kirk</t>
  </si>
  <si>
    <t>Gateway Editions</t>
  </si>
  <si>
    <t>to-read (#1917)</t>
  </si>
  <si>
    <t>The Case of Mary Bell: A Portrait of a Child Who Murdered</t>
  </si>
  <si>
    <t>Gitta Sereny</t>
  </si>
  <si>
    <t>Sereny, Gitta</t>
  </si>
  <si>
    <t>PIMLICO (RAND)</t>
  </si>
  <si>
    <t>to-read (#405)</t>
  </si>
  <si>
    <t>The Encyclopedia of Suicide (2nd edition) (Facts on File Library of Health and Living)</t>
  </si>
  <si>
    <t>Glen Evans</t>
  </si>
  <si>
    <t>Evans, Glen</t>
  </si>
  <si>
    <t>Norman L. Farberow</t>
  </si>
  <si>
    <t>Facts on File</t>
  </si>
  <si>
    <t>to-read (#2160), biblio-noonday-demon (#66)</t>
  </si>
  <si>
    <t>Learning to Pray in the Age of Technique</t>
  </si>
  <si>
    <t>Gonçalo M. Tavares</t>
  </si>
  <si>
    <t>Tavares, Gonçalo M.</t>
  </si>
  <si>
    <t>Daniel Hahn</t>
  </si>
  <si>
    <t>to-read (#1447)</t>
  </si>
  <si>
    <t>El hombre en desazón (Colección Jovellanos de ensayo nº 13) (Spanish Edition)</t>
  </si>
  <si>
    <t>Gonzalo Fernández de la Mora y Mon</t>
  </si>
  <si>
    <t>Mon, Gonzalo Fernández de la Mora y</t>
  </si>
  <si>
    <t>Ediciones Nobel</t>
  </si>
  <si>
    <t>to-read (#485)</t>
  </si>
  <si>
    <t>Journey into Madness: Medical Torture and the Mind Controllers</t>
  </si>
  <si>
    <t>Gordon Thomas</t>
  </si>
  <si>
    <t>Thomas, Gordon</t>
  </si>
  <si>
    <t>Corgi</t>
  </si>
  <si>
    <t xml:space="preserve">bib-torture, biblio-shock-doctrine, to-read, </t>
  </si>
  <si>
    <t>to-read (#2287), biblio-shock-doctrine (#20), bib-torture (#25)</t>
  </si>
  <si>
    <t>The City and the Pillar</t>
  </si>
  <si>
    <t>Gore Vidal</t>
  </si>
  <si>
    <t>Vidal, Gore</t>
  </si>
  <si>
    <t>Abacus Books</t>
  </si>
  <si>
    <t>The Destructors</t>
  </si>
  <si>
    <t>Graham Greene</t>
  </si>
  <si>
    <t>Greene, Graham</t>
  </si>
  <si>
    <t>Creative Co</t>
  </si>
  <si>
    <t>to-read (#2238)</t>
  </si>
  <si>
    <t>The End of the Affair</t>
  </si>
  <si>
    <t>Monica Ali</t>
  </si>
  <si>
    <t>to-read (#909)</t>
  </si>
  <si>
    <t>Logic (Brief Insights) (A Brief Insight)</t>
  </si>
  <si>
    <t>Graham Priest</t>
  </si>
  <si>
    <t>Priest, Graham</t>
  </si>
  <si>
    <t>Union Square &amp; Co.</t>
  </si>
  <si>
    <t>to-read (#1816)</t>
  </si>
  <si>
    <t>Last Orders</t>
  </si>
  <si>
    <t>Graham Swift</t>
  </si>
  <si>
    <t>Swift, Graham</t>
  </si>
  <si>
    <t>to-read (#1303), awards-man-booker-prize-winners (#30)</t>
  </si>
  <si>
    <t>Empire's Workshop: Latin America, the United States, and the Rise of the New Imperialism</t>
  </si>
  <si>
    <t>Greg Grandin</t>
  </si>
  <si>
    <t>Grandin, Greg</t>
  </si>
  <si>
    <t>to-read (#623), biblio-shock-doctrine (#4)</t>
  </si>
  <si>
    <t>The Life and Death of Ancient Cities: A Natural History</t>
  </si>
  <si>
    <t>Greg Woolf</t>
  </si>
  <si>
    <t>Woolf, Greg</t>
  </si>
  <si>
    <t>to-read (#919), history (#56), nonfiction (#139)</t>
  </si>
  <si>
    <t>Drags</t>
  </si>
  <si>
    <t>Gregory  Kramer</t>
  </si>
  <si>
    <t>Kramer, Gregory</t>
  </si>
  <si>
    <t>Charles Busch, Sasha Velour, Linda Simpson, Goldie Peacock</t>
  </si>
  <si>
    <t>Kmw Studio</t>
  </si>
  <si>
    <t>to-read (#1891), art (#7), 0 (#554)</t>
  </si>
  <si>
    <t>Steps to an Ecology of Mind: Collected Essays in Anthropology, Psychiatry, Evolution, and Epistemology</t>
  </si>
  <si>
    <t>Gregory Bateson</t>
  </si>
  <si>
    <t>Bateson, Gregory</t>
  </si>
  <si>
    <t xml:space="preserve">biblio-noonday-demon, essays, to-read, </t>
  </si>
  <si>
    <t>to-read (#2114), biblio-noonday-demon (#39), essays (#31)</t>
  </si>
  <si>
    <t>The Ancient Greek Hero in 24 Hours</t>
  </si>
  <si>
    <t>Gregory Nagy</t>
  </si>
  <si>
    <t>Nagy, Gregory</t>
  </si>
  <si>
    <t>to-read (#1476)</t>
  </si>
  <si>
    <t>Buenos Aires City Bus: El libro de los colectivos</t>
  </si>
  <si>
    <t>Guido Indij</t>
  </si>
  <si>
    <t>Indij, Guido</t>
  </si>
  <si>
    <t>La Marca Editora</t>
  </si>
  <si>
    <t>to-read (#1673), art (#4), 0 (#430)</t>
  </si>
  <si>
    <t>The Communist</t>
  </si>
  <si>
    <t>Guido Morselli</t>
  </si>
  <si>
    <t>Morselli, Guido</t>
  </si>
  <si>
    <t>Frederika Randall, Elizabeth Mckenzie</t>
  </si>
  <si>
    <t>to-read (#650)</t>
  </si>
  <si>
    <t>Dissipatio H.G.</t>
  </si>
  <si>
    <t>Adelphi</t>
  </si>
  <si>
    <t>to-read (#649)</t>
  </si>
  <si>
    <t>Cabinet of Curiosities: My Notebooks, Collections, and Other Obsessions</t>
  </si>
  <si>
    <t>Guillermo del Toro</t>
  </si>
  <si>
    <t>Toro, Guillermo del</t>
  </si>
  <si>
    <t>Marc Zicree</t>
  </si>
  <si>
    <t>to-read (#1839)</t>
  </si>
  <si>
    <t>I Need You More Than I Love You and I Love You to Bits</t>
  </si>
  <si>
    <t>Gunnar Ardelius</t>
  </si>
  <si>
    <t>Ardelius, Gunnar</t>
  </si>
  <si>
    <t>Tara Chace</t>
  </si>
  <si>
    <t>Front Street</t>
  </si>
  <si>
    <t>to-read (#86)</t>
  </si>
  <si>
    <t>The Flounder</t>
  </si>
  <si>
    <t>Günter Grass</t>
  </si>
  <si>
    <t>Grass, Günter</t>
  </si>
  <si>
    <t>Mariner</t>
  </si>
  <si>
    <t>to-read (#1597), books-from-twitter (#16)</t>
  </si>
  <si>
    <t>The Tin Drum</t>
  </si>
  <si>
    <t>to-read (#802)</t>
  </si>
  <si>
    <t>This Thing Between Us</t>
  </si>
  <si>
    <t>Gus Moreno</t>
  </si>
  <si>
    <t>Moreno, Gus</t>
  </si>
  <si>
    <t>FSG Adult</t>
  </si>
  <si>
    <t>to-read (#1049)</t>
  </si>
  <si>
    <t>A Dictionary of Angels: Including the Fallen Angels</t>
  </si>
  <si>
    <t>Gustav Davidson</t>
  </si>
  <si>
    <t>Davidson, Gustav</t>
  </si>
  <si>
    <t>to-read (#869), dictionaries-and-encyclopedias (#38)</t>
  </si>
  <si>
    <t>The Dictionary of Accepted Ideas</t>
  </si>
  <si>
    <t>Gustave Flaubert</t>
  </si>
  <si>
    <t>Flaubert, Gustave</t>
  </si>
  <si>
    <t>Jaques Barzun</t>
  </si>
  <si>
    <t>to-read (#848)</t>
  </si>
  <si>
    <t>Sentimental Education</t>
  </si>
  <si>
    <t>Geoffrey Wall, Robert Baldick</t>
  </si>
  <si>
    <t>Alliance Entertainment</t>
  </si>
  <si>
    <t>to-read (#690)</t>
  </si>
  <si>
    <t>Vivir abajo</t>
  </si>
  <si>
    <t>Gustavo Faverón Patriau</t>
  </si>
  <si>
    <t>Patriau, Gustavo Faverón</t>
  </si>
  <si>
    <t>Peisa</t>
  </si>
  <si>
    <t>to-read (#2198), books-from-twitter (#44)</t>
  </si>
  <si>
    <t>The Society of the Spectacle</t>
  </si>
  <si>
    <t>Guy Debord</t>
  </si>
  <si>
    <t>Debord, Guy</t>
  </si>
  <si>
    <t>Donald Nicholson-Smith</t>
  </si>
  <si>
    <t>to-read (#2003)</t>
  </si>
  <si>
    <t>My Phantoms</t>
  </si>
  <si>
    <t>Gwendoline Riley</t>
  </si>
  <si>
    <t>Riley, Gwendoline</t>
  </si>
  <si>
    <t>to-read (#1234)</t>
  </si>
  <si>
    <t>The World of Dreams</t>
  </si>
  <si>
    <t>H. Havelock Ellis</t>
  </si>
  <si>
    <t>Ellis, H. Havelock</t>
  </si>
  <si>
    <t>Gale / Cengage Learning</t>
  </si>
  <si>
    <t>to-read (#1099)</t>
  </si>
  <si>
    <t>Hermetic Definition</t>
  </si>
  <si>
    <t>H.D.</t>
  </si>
  <si>
    <t>H.D., H.D.</t>
  </si>
  <si>
    <t>Hilda Doolittle</t>
  </si>
  <si>
    <t>to-read (#1695)</t>
  </si>
  <si>
    <t>Helen in Egypt</t>
  </si>
  <si>
    <t>to-read (#1694)</t>
  </si>
  <si>
    <t>Hippolytus Temporizes &amp; Ion: Adaptations from Euripides</t>
  </si>
  <si>
    <t>Carol Camper</t>
  </si>
  <si>
    <t>to-read (#1693)</t>
  </si>
  <si>
    <t>The Time Machine</t>
  </si>
  <si>
    <t>H.G. Wells</t>
  </si>
  <si>
    <t>Wells, H.G.</t>
  </si>
  <si>
    <t>Greg Bear, Carlo Pagetti</t>
  </si>
  <si>
    <t>Signet Classics</t>
  </si>
  <si>
    <t>novels (#224)</t>
  </si>
  <si>
    <t>The Shape of Things to Come</t>
  </si>
  <si>
    <t>John Clute</t>
  </si>
  <si>
    <t>to-read (#1787)</t>
  </si>
  <si>
    <t>The War of the Worlds</t>
  </si>
  <si>
    <t>Arthur C. Clarke</t>
  </si>
  <si>
    <t>to-read (#29)</t>
  </si>
  <si>
    <t>The Invisible Man</t>
  </si>
  <si>
    <t>Daniel Philpott, Дмитро Паламарчук, Микола Іванов, Герберт Велз</t>
  </si>
  <si>
    <t>New American Library/Penguin Books</t>
  </si>
  <si>
    <t>Supernatural Horror in Literature</t>
  </si>
  <si>
    <t>H.P. Lovecraft</t>
  </si>
  <si>
    <t>Lovecraft, H.P.</t>
  </si>
  <si>
    <t>Theodore Menten, E.F. Bleiler</t>
  </si>
  <si>
    <t>to-read (#1630)</t>
  </si>
  <si>
    <t>Key Words for Astrology</t>
  </si>
  <si>
    <t>Hajo Banzhaf</t>
  </si>
  <si>
    <t>Banzhaf, Hajo</t>
  </si>
  <si>
    <t>Anna Haebler</t>
  </si>
  <si>
    <t>to-read (#1543)</t>
  </si>
  <si>
    <t>The Tarot Handbook</t>
  </si>
  <si>
    <t>U S Games Systems</t>
  </si>
  <si>
    <t>to-read (#1542)</t>
  </si>
  <si>
    <t>Tarot and the Journey of the Hero</t>
  </si>
  <si>
    <t>Brigitte Theler, Christine M. Grimm</t>
  </si>
  <si>
    <t>to-read (#1521)</t>
  </si>
  <si>
    <t>The Lessons of Tragedy: Statecraft and World Order</t>
  </si>
  <si>
    <t>Hal Brands</t>
  </si>
  <si>
    <t>Brands, Hal</t>
  </si>
  <si>
    <t>Charles Edel</t>
  </si>
  <si>
    <t>to-read (#1884)</t>
  </si>
  <si>
    <t>Independent People</t>
  </si>
  <si>
    <t>Halldór Laxness</t>
  </si>
  <si>
    <t>Laxness, Halldór</t>
  </si>
  <si>
    <t>James Anderson Thompson</t>
  </si>
  <si>
    <t>to-read (#876)</t>
  </si>
  <si>
    <t>The Vegetarian</t>
  </si>
  <si>
    <t>Han Kang</t>
  </si>
  <si>
    <t>Kang, Han</t>
  </si>
  <si>
    <t>Deborah Smith</t>
  </si>
  <si>
    <t>Hogarth</t>
  </si>
  <si>
    <t>to-read (#192)</t>
  </si>
  <si>
    <t>I Never Promised You a Rose Garden</t>
  </si>
  <si>
    <t>Hannah  Green</t>
  </si>
  <si>
    <t>Green, Hannah</t>
  </si>
  <si>
    <t>Joanne Greenberg</t>
  </si>
  <si>
    <t>Signet Books</t>
  </si>
  <si>
    <t>to-read (#380), novels (#78), 0 (#292)</t>
  </si>
  <si>
    <t>The Human Condition</t>
  </si>
  <si>
    <t>Hannah Arendt</t>
  </si>
  <si>
    <t>Arendt, Hannah</t>
  </si>
  <si>
    <t>Margaret Canovan</t>
  </si>
  <si>
    <t>The University of Chicago Press</t>
  </si>
  <si>
    <t>to-read (#209), philosophy (#31)</t>
  </si>
  <si>
    <t>Eichmann in Jerusalem: A Report on the Banality of Evil</t>
  </si>
  <si>
    <t>to-read (#291), nonfiction (#13), 0 (#379)</t>
  </si>
  <si>
    <t>Straight: The Surprisingly Short History Of Heterosexuality</t>
  </si>
  <si>
    <t>Hanne Blank</t>
  </si>
  <si>
    <t>Blank, Hanne</t>
  </si>
  <si>
    <t xml:space="preserve">0, nonfiction, queer-gender-etc, </t>
  </si>
  <si>
    <t>queer-gender-etc (#3), nonfiction (#32), 0 (#475)</t>
  </si>
  <si>
    <t>A Little Life</t>
  </si>
  <si>
    <t>Hanya Yanagihara</t>
  </si>
  <si>
    <t>Yanagihara, Hanya</t>
  </si>
  <si>
    <t>Doubleday</t>
  </si>
  <si>
    <t xml:space="preserve">0, z-favorites-shelf, </t>
  </si>
  <si>
    <t>z-favorites-shelf (#19), 0 (#462)</t>
  </si>
  <si>
    <t>The most emotionally draining book I've ever read.</t>
  </si>
  <si>
    <t>To Paradise</t>
  </si>
  <si>
    <t>to-read (#1003), novels (#152)</t>
  </si>
  <si>
    <t>The People in the Trees</t>
  </si>
  <si>
    <t>z-favorites-shelf</t>
  </si>
  <si>
    <t>z-favorites-shelf (#20)</t>
  </si>
  <si>
    <t>Gods Without Men</t>
  </si>
  <si>
    <t>Hari Kunzru</t>
  </si>
  <si>
    <t>Kunzru, Hari</t>
  </si>
  <si>
    <t>to-read (#880)</t>
  </si>
  <si>
    <t>I Have No Mouth &amp; I Must Scream</t>
  </si>
  <si>
    <t>Harlan Ellison</t>
  </si>
  <si>
    <t>Ellison, Harlan</t>
  </si>
  <si>
    <t>Theodore Sturgeon</t>
  </si>
  <si>
    <t>Ace</t>
  </si>
  <si>
    <t>to-read (#1973)</t>
  </si>
  <si>
    <t>Paingod and Other Delusions</t>
  </si>
  <si>
    <t>E-Rights/E-Reads Ltd</t>
  </si>
  <si>
    <t>to-read (#1972)</t>
  </si>
  <si>
    <t>The Lost Language of Symbolism (Dover Occult)</t>
  </si>
  <si>
    <t>Harold Bayley</t>
  </si>
  <si>
    <t>Bayley, Harold</t>
  </si>
  <si>
    <t>to-read (#1078), mythology (#17)</t>
  </si>
  <si>
    <t>The Western Canon: The Books and School of the Ages</t>
  </si>
  <si>
    <t>Bloom, Harold</t>
  </si>
  <si>
    <t>to-read (#1260), books-about-books (#5)</t>
  </si>
  <si>
    <t>Shakespeare: The Invention of the Human</t>
  </si>
  <si>
    <t>The Berkley Publishing Group</t>
  </si>
  <si>
    <t>to-read (#2119), biblio-noonday-demon (#34)</t>
  </si>
  <si>
    <t>How to Read and Why</t>
  </si>
  <si>
    <t>to-read (#1278)</t>
  </si>
  <si>
    <t>Do I Make Myself Clear? Why Writing Well Matters</t>
  </si>
  <si>
    <t>Harold Evans</t>
  </si>
  <si>
    <t>Evans, Harold</t>
  </si>
  <si>
    <t>to-read (#215)</t>
  </si>
  <si>
    <t>To Kill a Mockingbird</t>
  </si>
  <si>
    <t>Harper Lee</t>
  </si>
  <si>
    <t>Lee, Harper</t>
  </si>
  <si>
    <t>Addison-Wesley Longman, Inc.</t>
  </si>
  <si>
    <t>to-read (#975), novels (#22)</t>
  </si>
  <si>
    <t>La cabaña del tío Tom (Spanish Edition)</t>
  </si>
  <si>
    <t>Harriet Beecher Stowe</t>
  </si>
  <si>
    <t>Stowe, Harriet Beecher</t>
  </si>
  <si>
    <t>Independently published</t>
  </si>
  <si>
    <t>to-read (#1901), novels (#80), 0 (#556)</t>
  </si>
  <si>
    <t>On Bullshit</t>
  </si>
  <si>
    <t>Harry G. Frankfurt</t>
  </si>
  <si>
    <t>Frankfurt, Harry G.</t>
  </si>
  <si>
    <t>to-read (#1383), philosophy (#2), 0 (#315)</t>
  </si>
  <si>
    <t>Kafka on the Shore</t>
  </si>
  <si>
    <t>Haruki Murakami</t>
  </si>
  <si>
    <t>Murakami, Haruki</t>
  </si>
  <si>
    <t>Philip Gabriel</t>
  </si>
  <si>
    <t>novels (#39), 0 (#454)</t>
  </si>
  <si>
    <t>Not my cup of tea. The only reason it got 3 stars is because I'm a sucker for bittersweet endings.</t>
  </si>
  <si>
    <t>Psychiatry and the CIA: Victims of Mind Control</t>
  </si>
  <si>
    <t>Harvey M. Weinstein</t>
  </si>
  <si>
    <t>Weinstein, Harvey M.</t>
  </si>
  <si>
    <t>Amer Psychiatric Pub Inc</t>
  </si>
  <si>
    <t>to-read (#2288), biblio-shock-doctrine (#21)</t>
  </si>
  <si>
    <t>All the Living and the Dead</t>
  </si>
  <si>
    <t>Hayley Campbell</t>
  </si>
  <si>
    <t>Campbell, Hayley</t>
  </si>
  <si>
    <t>to-read (#1749), nonfiction (#271)</t>
  </si>
  <si>
    <t>Tête-à-Tête: The Tumultuous Lives and Loves of Simone de Beauvoir and Jean-Paul Sartre</t>
  </si>
  <si>
    <t>Hazel Rowley</t>
  </si>
  <si>
    <t>Rowley, Hazel</t>
  </si>
  <si>
    <t>to-read (#757), biographies-etc (#11)</t>
  </si>
  <si>
    <t>The Creation of Me, Them and Us</t>
  </si>
  <si>
    <t>Heather  Marsh</t>
  </si>
  <si>
    <t>Marsh, Heather</t>
  </si>
  <si>
    <t>MustRead Inc.</t>
  </si>
  <si>
    <t>to-read (#530)</t>
  </si>
  <si>
    <t>Books Promiscuously Read: Reading as a Way of Life</t>
  </si>
  <si>
    <t>Heather Cass White</t>
  </si>
  <si>
    <t>White, Heather Cass</t>
  </si>
  <si>
    <t>to-read (#1970)</t>
  </si>
  <si>
    <t>What If This Were Enough?: Essays</t>
  </si>
  <si>
    <t>Heather Havrilesky</t>
  </si>
  <si>
    <t>Havrilesky, Heather</t>
  </si>
  <si>
    <t>to-read (#313), essays (#12), nonfiction (#159)</t>
  </si>
  <si>
    <t>Relatos reunidos</t>
  </si>
  <si>
    <t>Hebe Uhart</t>
  </si>
  <si>
    <t>Uhart, Hebe</t>
  </si>
  <si>
    <t>Alfaguara</t>
  </si>
  <si>
    <t>to-read (#599)</t>
  </si>
  <si>
    <t>Estudios sobre mística medieval</t>
  </si>
  <si>
    <t>Heidegger Martin</t>
  </si>
  <si>
    <t>Martin, Heidegger</t>
  </si>
  <si>
    <t>to-read (#496)</t>
  </si>
  <si>
    <t>The Dictionary of Animal Languages</t>
  </si>
  <si>
    <t>Heidi Sopinka</t>
  </si>
  <si>
    <t>Sopinka, Heidi</t>
  </si>
  <si>
    <t>to-read (#613)</t>
  </si>
  <si>
    <t>I Am Ready to Die a Violent Death</t>
  </si>
  <si>
    <t>Heiko Julien</t>
  </si>
  <si>
    <t>Julien, Heiko</t>
  </si>
  <si>
    <t>Civil Coping Mechanisms</t>
  </si>
  <si>
    <t>to-read (#52)</t>
  </si>
  <si>
    <t>South Africa Limits to Change: The Political Economy of Transition</t>
  </si>
  <si>
    <t>Hein Marais</t>
  </si>
  <si>
    <t>Marais, Hein</t>
  </si>
  <si>
    <t>Juta Academic</t>
  </si>
  <si>
    <t>to-read (#2330), biblio-shock-doctrine (#61)</t>
  </si>
  <si>
    <t>Annemarie Heinrich : un cuerpo una luz un reflejo</t>
  </si>
  <si>
    <t>HEINRICH ANNEMARIE</t>
  </si>
  <si>
    <t>ANNEMARIE, HEINRICH</t>
  </si>
  <si>
    <t>LARIVIERE</t>
  </si>
  <si>
    <t xml:space="preserve">0, photography, to-read, </t>
  </si>
  <si>
    <t>to-read (#1717), 0 (#207), photography (#9)</t>
  </si>
  <si>
    <t>The Malleus Maleficarum</t>
  </si>
  <si>
    <t>Heinrich Kramer</t>
  </si>
  <si>
    <t>Kramer, Heinrich</t>
  </si>
  <si>
    <t>Jacob Sprenger, Montague Summers</t>
  </si>
  <si>
    <t>to-read (#1162)</t>
  </si>
  <si>
    <t>Michael Kohlhaas</t>
  </si>
  <si>
    <t>Heinrich von Kleist</t>
  </si>
  <si>
    <t>Kleist, Heinrich von</t>
  </si>
  <si>
    <t>Martin Greenberg</t>
  </si>
  <si>
    <t>to-read (#376)</t>
  </si>
  <si>
    <t>Joan of Arc: A History (Cut Edge)</t>
  </si>
  <si>
    <t>Helen Castor</t>
  </si>
  <si>
    <t>Castor, Helen</t>
  </si>
  <si>
    <t>to-read (#706), biographies-etc (#16), history (#13)</t>
  </si>
  <si>
    <t>A Cultural History of Tarot: From Entertainment to Esotericism</t>
  </si>
  <si>
    <t>Helen Farley</t>
  </si>
  <si>
    <t>Farley, Helen</t>
  </si>
  <si>
    <t>I. B.Tauris</t>
  </si>
  <si>
    <t>to-read (#954), history (#3)</t>
  </si>
  <si>
    <t>A Place in the Woods</t>
  </si>
  <si>
    <t>Helen Hoover</t>
  </si>
  <si>
    <t>Hoover, Helen</t>
  </si>
  <si>
    <t>to-read (#337)</t>
  </si>
  <si>
    <t>The Secret Doctrine</t>
  </si>
  <si>
    <t>Helena Petrovna Blavatsky</t>
  </si>
  <si>
    <t>Blavatsky, Helena Petrovna</t>
  </si>
  <si>
    <t>Theosophical Univ Pr</t>
  </si>
  <si>
    <t>to-read (#1079), tarot (#6)</t>
  </si>
  <si>
    <t>Augusto Roa Bastos's I the Supreme: A Dialogic Perspective</t>
  </si>
  <si>
    <t>Helene Carol Weldt-Basson</t>
  </si>
  <si>
    <t>Weldt-Basson, Helene Carol</t>
  </si>
  <si>
    <t>Univ of Missouri Pr</t>
  </si>
  <si>
    <t>to-read (#1372), nonfiction (#71), 0 (#311)</t>
  </si>
  <si>
    <t>Hyperdream</t>
  </si>
  <si>
    <t>Hélène Cixous</t>
  </si>
  <si>
    <t>Cixous, Hélène</t>
  </si>
  <si>
    <t>Polity</t>
  </si>
  <si>
    <t>to-read (#444)</t>
  </si>
  <si>
    <t>In a Dark Wood Wandering: A Novel of the Middle Ages</t>
  </si>
  <si>
    <t>Hella S. Haasse</t>
  </si>
  <si>
    <t>Haasse, Hella S.</t>
  </si>
  <si>
    <t>Academy Chicago Publishers</t>
  </si>
  <si>
    <t>to-read (#1467), novels (#209)</t>
  </si>
  <si>
    <t>The Question</t>
  </si>
  <si>
    <t>Henri Alleg</t>
  </si>
  <si>
    <t>Alleg, Henri</t>
  </si>
  <si>
    <t>Ellen Ray, John Calder, James D. Le Sueur, Jean-Paul Sartre</t>
  </si>
  <si>
    <t>to-read (#2399), bib-torture (#9)</t>
  </si>
  <si>
    <t>Hell</t>
  </si>
  <si>
    <t>Henri Barbusse</t>
  </si>
  <si>
    <t>Barbusse, Henri</t>
  </si>
  <si>
    <t>Robert Baldick</t>
  </si>
  <si>
    <t>Turtle Point Press</t>
  </si>
  <si>
    <t>to-read (#111)</t>
  </si>
  <si>
    <t>The Creative Mind: An Introduction to Metaphysics</t>
  </si>
  <si>
    <t>Henri Bergson</t>
  </si>
  <si>
    <t>Bergson, Henri</t>
  </si>
  <si>
    <t>Citadel</t>
  </si>
  <si>
    <t>to-read (#1347)</t>
  </si>
  <si>
    <t>The Child and the River (New York Review Books Classics)</t>
  </si>
  <si>
    <t>Henri Bosco</t>
  </si>
  <si>
    <t>Bosco, Henri</t>
  </si>
  <si>
    <t>Joyce Zonana</t>
  </si>
  <si>
    <t>to-read (#1230)</t>
  </si>
  <si>
    <t>Sacrifice: Its Nature and Functions</t>
  </si>
  <si>
    <t>Henri Hubert</t>
  </si>
  <si>
    <t>Hubert, Henri</t>
  </si>
  <si>
    <t>Marcel Mauss, W.D. Halls</t>
  </si>
  <si>
    <t xml:space="preserve">anthropology, nonfiction, to-read, </t>
  </si>
  <si>
    <t>to-read (#1151), nonfiction (#284), anthropology (#2)</t>
  </si>
  <si>
    <t>Critique of Everyday Life</t>
  </si>
  <si>
    <t>Henri Lefebvre</t>
  </si>
  <si>
    <t>Lefebvre, Henri</t>
  </si>
  <si>
    <t>to-read (#2006)</t>
  </si>
  <si>
    <t>The Missing Pieces</t>
  </si>
  <si>
    <t>David L. Sweet</t>
  </si>
  <si>
    <t>to-read (#837)</t>
  </si>
  <si>
    <t>Tolstoy</t>
  </si>
  <si>
    <t>Henri Troyat</t>
  </si>
  <si>
    <t>Troyat, Henri</t>
  </si>
  <si>
    <t>to-read (#298)</t>
  </si>
  <si>
    <t>The Lesbian and Gay Studies Reader</t>
  </si>
  <si>
    <t>Henry Abelove</t>
  </si>
  <si>
    <t>Abelove, Henry</t>
  </si>
  <si>
    <t>to-read (#2013)</t>
  </si>
  <si>
    <t>Walden: A Fully Annotated Edition (Yale Nota Bene)</t>
  </si>
  <si>
    <t>Henry David Thoreau</t>
  </si>
  <si>
    <t>Thoreau, Henry David</t>
  </si>
  <si>
    <t>Denis Donoghue, Jeffrey S. Cramer</t>
  </si>
  <si>
    <t>to-read (#1798), nonfiction (#72), 0 (#437)</t>
  </si>
  <si>
    <t>The Turn of the Screw</t>
  </si>
  <si>
    <t>Henry James</t>
  </si>
  <si>
    <t>James, Henry</t>
  </si>
  <si>
    <t>to-read (#37)</t>
  </si>
  <si>
    <t>Tropic of Cancer (Tropic, #1)</t>
  </si>
  <si>
    <t>Henry Miller</t>
  </si>
  <si>
    <t>Miller, Henry</t>
  </si>
  <si>
    <t>Anaïs Nin</t>
  </si>
  <si>
    <t>to-read (#1712), novels (#50), 0 (#341)</t>
  </si>
  <si>
    <t>The Air-Conditioned Nightmare (New Directions Paperbook)</t>
  </si>
  <si>
    <t>to-read (#1463)</t>
  </si>
  <si>
    <t>A Handbook of Greek Mythology</t>
  </si>
  <si>
    <t>Herbert J. Rose</t>
  </si>
  <si>
    <t>Rose, Herbert J.</t>
  </si>
  <si>
    <t>to-read (#1574)</t>
  </si>
  <si>
    <t>Negations: Essays in Critical Theory</t>
  </si>
  <si>
    <t>Herbert Marcuse</t>
  </si>
  <si>
    <t>Marcuse, Herbert</t>
  </si>
  <si>
    <t>Free Assn Books</t>
  </si>
  <si>
    <t xml:space="preserve">authors-german-authors, authors-swiss-authors, to-read, </t>
  </si>
  <si>
    <t>to-read (#401)</t>
  </si>
  <si>
    <t>A Study on Authority</t>
  </si>
  <si>
    <t>paper</t>
  </si>
  <si>
    <t>to-read (#235)</t>
  </si>
  <si>
    <t>An Essay on Liberation</t>
  </si>
  <si>
    <t>to-read (#402)</t>
  </si>
  <si>
    <t>Herculine Barbin: Being the Recently Discovered Memoirs of a Nineteenth-century French Hermaphrodite</t>
  </si>
  <si>
    <t>Herculine Barbin</t>
  </si>
  <si>
    <t>Barbin, Herculine</t>
  </si>
  <si>
    <t>Richard McDougall, Michel Foucault</t>
  </si>
  <si>
    <t>Pantheon Books (NY)</t>
  </si>
  <si>
    <t xml:space="preserve">biographies-etc, queer-gender-etc, to-read, </t>
  </si>
  <si>
    <t>to-read (#295), biographies-etc (#38), queer-gender-etc (#29)</t>
  </si>
  <si>
    <t>Tractatus Logico-Suicidalis: On Killing Oneself</t>
  </si>
  <si>
    <t>Hermann Burger</t>
  </si>
  <si>
    <t>Burger, Hermann</t>
  </si>
  <si>
    <t>Adrian Nathan West</t>
  </si>
  <si>
    <t>Wakefield Press</t>
  </si>
  <si>
    <t>to-read (#1658)</t>
  </si>
  <si>
    <t>Narcissus and Goldmund</t>
  </si>
  <si>
    <t>Hermann Hesse</t>
  </si>
  <si>
    <t>Hesse, Hermann</t>
  </si>
  <si>
    <t>Ursule Molinaro</t>
  </si>
  <si>
    <t>The Noonday Press / Farrar, Straus Giroux</t>
  </si>
  <si>
    <t xml:space="preserve">authors-scottish-authors, to-read, </t>
  </si>
  <si>
    <t>to-read (#583)</t>
  </si>
  <si>
    <t>Siddhartha</t>
  </si>
  <si>
    <t>Hilda Rosner, Zigmantas Ardickas</t>
  </si>
  <si>
    <t>Bantam Books</t>
  </si>
  <si>
    <t>to-read (#10)</t>
  </si>
  <si>
    <t>Steppenwolf</t>
  </si>
  <si>
    <t>Basil Creighton</t>
  </si>
  <si>
    <t>to-read (#9)</t>
  </si>
  <si>
    <t>Through the Labyrinth: Designs and Meanings Over 5,000 Years</t>
  </si>
  <si>
    <t>Hermann Kern</t>
  </si>
  <si>
    <t>Kern, Hermann</t>
  </si>
  <si>
    <t>Robert Ferre</t>
  </si>
  <si>
    <t>Prestel</t>
  </si>
  <si>
    <t>to-read (#1755), labyrinths (#1)</t>
  </si>
  <si>
    <t>My Belief</t>
  </si>
  <si>
    <t>Hermann; Lindley Hesse</t>
  </si>
  <si>
    <t>Hesse, Hermann; Lindley</t>
  </si>
  <si>
    <t>Triad/Panther</t>
  </si>
  <si>
    <t>to-read (#187)</t>
  </si>
  <si>
    <t>Los 4 Libros Herméticos</t>
  </si>
  <si>
    <t>Hermes Trismegistus</t>
  </si>
  <si>
    <t>Trismegistus, Hermes</t>
  </si>
  <si>
    <t>Hermes Trismegistro</t>
  </si>
  <si>
    <t>Abraxas</t>
  </si>
  <si>
    <t>to-read (#2217), 0 (#560), mythology (#59)</t>
  </si>
  <si>
    <t>Hermetica: The Greek Corpus Hermeticum and the Latin Asclepius</t>
  </si>
  <si>
    <t>to-read (#1155)</t>
  </si>
  <si>
    <t>The Landmark Herodotus: The Histories</t>
  </si>
  <si>
    <t>Herodotus</t>
  </si>
  <si>
    <t>Herodotus, Herodotus</t>
  </si>
  <si>
    <t>Robert B. Strassler, Andrea L. Purvis, Rosalind Thomas</t>
  </si>
  <si>
    <t>Pantheon Books</t>
  </si>
  <si>
    <t xml:space="preserve">greeks-romans-etc, history, to-read, </t>
  </si>
  <si>
    <t>to-read (#1483), greeks-romans-etc (#80), history (#76)</t>
  </si>
  <si>
    <t>The Mausoleum of Lovers: Journals 1976-1991: Journals 1976–1991</t>
  </si>
  <si>
    <t>Hervé Guibert</t>
  </si>
  <si>
    <t>Guibert, Hervé</t>
  </si>
  <si>
    <t>Nathanaël</t>
  </si>
  <si>
    <t>Nightboat Books</t>
  </si>
  <si>
    <t>Diary</t>
  </si>
  <si>
    <t>to-read (#597)</t>
  </si>
  <si>
    <t>How to Love Your Daughter</t>
  </si>
  <si>
    <t>Hila Blum</t>
  </si>
  <si>
    <t>Blum, Hila</t>
  </si>
  <si>
    <t>Daniella Zamir</t>
  </si>
  <si>
    <t>to-read (#2079), novels (#186)</t>
  </si>
  <si>
    <t>Bring Up the Bodies (Thomas Cromwell, #2)</t>
  </si>
  <si>
    <t>Hilary Mantel</t>
  </si>
  <si>
    <t>Mantel, Hilary</t>
  </si>
  <si>
    <t>Henry Holt &amp; Company, Inc.</t>
  </si>
  <si>
    <t>to-read (#1317), awards-man-booker-prize-winners (#46), novels (#178)</t>
  </si>
  <si>
    <t>Wolf Hall (Thomas Cromwell, #1)</t>
  </si>
  <si>
    <t>HarperCollins Publishers Ltd</t>
  </si>
  <si>
    <t>to-read (#1314), awards-man-booker-prize-winners (#43), novels (#177)</t>
  </si>
  <si>
    <t>With My Dog Eyes</t>
  </si>
  <si>
    <t>Hilda Hilst</t>
  </si>
  <si>
    <t>Hilst, Hilda</t>
  </si>
  <si>
    <t>Adam   Morris</t>
  </si>
  <si>
    <t>to-read (#2219), books-from-twitter (#46)</t>
  </si>
  <si>
    <t>Hilma af Klint: Paintings for the Future</t>
  </si>
  <si>
    <t>Hilma af Klint</t>
  </si>
  <si>
    <t>Klint, Hilma af</t>
  </si>
  <si>
    <t>Tracey  Bashkoff</t>
  </si>
  <si>
    <t>Guggenheim Museum Publications</t>
  </si>
  <si>
    <t>to-read (#1667), art (#1), 0 (#551)</t>
  </si>
  <si>
    <t>Notes and Methods</t>
  </si>
  <si>
    <t>Iris Müller-Westermann, Christine Burgin</t>
  </si>
  <si>
    <t>to-read (#2061)</t>
  </si>
  <si>
    <t>White Girls</t>
  </si>
  <si>
    <t>Hilton Als</t>
  </si>
  <si>
    <t>Als, Hilton</t>
  </si>
  <si>
    <t>to-read (#172)</t>
  </si>
  <si>
    <t>Homeric Hymns</t>
  </si>
  <si>
    <t>Homer</t>
  </si>
  <si>
    <t>Homer, Homer</t>
  </si>
  <si>
    <t>Jules Cashford, Nicholas Richardson</t>
  </si>
  <si>
    <t>to-read (#1559), greeks-romans-etc (#75)</t>
  </si>
  <si>
    <t>The Iliad</t>
  </si>
  <si>
    <t>Robert Fagles, Andrew Lang, Alexander Pope, W.H.D. Rouse, Bernard Knox, William Lucas Collins, G. Chapman, Walter Leaf, Ernest Myers, Gilbert Wakefield, Prentiss Cummings, R. Hooper, Richmond Lattimore, G. Cerri</t>
  </si>
  <si>
    <t xml:space="preserve">0, greeks-romans-etc, poetry, to-read, </t>
  </si>
  <si>
    <t>to-read (#973), poetry (#7), greeks-romans-etc (#6), 0 (#389)</t>
  </si>
  <si>
    <t>Eyes to See Otherwise: Poetry</t>
  </si>
  <si>
    <t>Homero Aridjis</t>
  </si>
  <si>
    <t>Aridjis, Homero</t>
  </si>
  <si>
    <t>Betty Ferber, George McWhirter, Lawrence Ferlinghetti</t>
  </si>
  <si>
    <t>to-read (#782), poetry (#70)</t>
  </si>
  <si>
    <t>Persephone</t>
  </si>
  <si>
    <t>Vintage (NY)</t>
  </si>
  <si>
    <t>to-read (#900), greeks-romans-etc (#16)</t>
  </si>
  <si>
    <t>The Memoirs of Two Young Wives (New York Review Books Classics)</t>
  </si>
  <si>
    <t>Honoré de Balzac</t>
  </si>
  <si>
    <t>Balzac, Honoré de</t>
  </si>
  <si>
    <t>Morris Dickstein, Jordan Stump</t>
  </si>
  <si>
    <t>to-read (#1214), novels (#166)</t>
  </si>
  <si>
    <t>Senselessness</t>
  </si>
  <si>
    <t>Horacio Castellanos Moya</t>
  </si>
  <si>
    <t>Moya, Horacio Castellanos</t>
  </si>
  <si>
    <t>to-read (#804), books-from-twitter (#37)</t>
  </si>
  <si>
    <t>Cuaderno de Tokio</t>
  </si>
  <si>
    <t>Hueders</t>
  </si>
  <si>
    <t>to-read (#806)</t>
  </si>
  <si>
    <t>Cuentos de la selva</t>
  </si>
  <si>
    <t>Horacio Quiroga</t>
  </si>
  <si>
    <t>Quiroga, Horacio</t>
  </si>
  <si>
    <t>Losada</t>
  </si>
  <si>
    <t>to-read (#1868), 0 (#261)</t>
  </si>
  <si>
    <t>Cuentos de amor, de locura y de muerte</t>
  </si>
  <si>
    <t>to-read (#557)</t>
  </si>
  <si>
    <t>The State and Revolution in Iran, 1962-1982</t>
  </si>
  <si>
    <t>Hossein Bashiriyeh</t>
  </si>
  <si>
    <t>Bashiriyeh, Hossein</t>
  </si>
  <si>
    <t>Palgrave Macmillan</t>
  </si>
  <si>
    <t>to-read (#2317), biblio-shock-doctrine (#52)</t>
  </si>
  <si>
    <t>The Point of Vanishing: A Memoir of Two Years in Solitude</t>
  </si>
  <si>
    <t>Howard Axelrod</t>
  </si>
  <si>
    <t>Axelrod, Howard</t>
  </si>
  <si>
    <t>to-read (#2017)</t>
  </si>
  <si>
    <t>The Finkler Question</t>
  </si>
  <si>
    <t>Howard Jacobson</t>
  </si>
  <si>
    <t>Jacobson, Howard</t>
  </si>
  <si>
    <t>to-read (#1315), awards-man-booker-prize-winners (#44)</t>
  </si>
  <si>
    <t>They Have a Word for It: A Lighthearted Lexicon of Untranslatable Words &amp; Phrases</t>
  </si>
  <si>
    <t>Howard Rheingold</t>
  </si>
  <si>
    <t>Rheingold, Howard</t>
  </si>
  <si>
    <t>to-read (#2070), dictionaries-and-encyclopedias (#36)</t>
  </si>
  <si>
    <t>Requiem for a Dream</t>
  </si>
  <si>
    <t>Hubert Selby Jr.</t>
  </si>
  <si>
    <t>Jr., Hubert Selby</t>
  </si>
  <si>
    <t>Darren Aronofsky, Richard Price</t>
  </si>
  <si>
    <t>novels (#90)</t>
  </si>
  <si>
    <t>The Justice of Zeus</t>
  </si>
  <si>
    <t>Hugh Lloyd-Jones</t>
  </si>
  <si>
    <t>Lloyd-Jones, Hugh</t>
  </si>
  <si>
    <t>to-read (#1512), greeks-romans-etc (#69)</t>
  </si>
  <si>
    <t>Loving: A Photographic History of Men in Love 1850s-1950s</t>
  </si>
  <si>
    <t>Hugh Nini</t>
  </si>
  <si>
    <t>Nini, Hugh</t>
  </si>
  <si>
    <t>Neal Treadwell</t>
  </si>
  <si>
    <t>5 Continents Editions</t>
  </si>
  <si>
    <t xml:space="preserve">history, photography, queer-gender-etc, to-read, </t>
  </si>
  <si>
    <t>to-read (#608), photography (#1), history (#15), queer-gender-etc (#38)</t>
  </si>
  <si>
    <t>The Women's House of Detention: A Queer History of a Forgotten Prison</t>
  </si>
  <si>
    <t>Hugh Ryan</t>
  </si>
  <si>
    <t>Ryan, Hugh</t>
  </si>
  <si>
    <t>to-read (#1046), history (#59), nonfiction (#141), queer-gender-etc (#53)</t>
  </si>
  <si>
    <t>Bad Gays: A Homosexual History</t>
  </si>
  <si>
    <t>Huw Lemmey</t>
  </si>
  <si>
    <t>Lemmey, Huw</t>
  </si>
  <si>
    <t>Ben Miller</t>
  </si>
  <si>
    <t>to-read (#1900), nonfiction (#155)</t>
  </si>
  <si>
    <t>The Trial of Socrates</t>
  </si>
  <si>
    <t>I.F. Stone</t>
  </si>
  <si>
    <t>Stone, I.F.</t>
  </si>
  <si>
    <t xml:space="preserve">0, greeks-romans-etc, to-read, </t>
  </si>
  <si>
    <t>to-read (#1368), greeks-romans-etc (#13), 0 (#296)</t>
  </si>
  <si>
    <t>A Dictionary of Critical Theory (Oxford Quick Reference)</t>
  </si>
  <si>
    <t>Ian Buchanan</t>
  </si>
  <si>
    <t>Buchanan, Ian</t>
  </si>
  <si>
    <t>to-read (#870)</t>
  </si>
  <si>
    <t>Te están robando el alma</t>
  </si>
  <si>
    <t>Ian F. Svenonius</t>
  </si>
  <si>
    <t>Svenonius, Ian F.</t>
  </si>
  <si>
    <t>Lucía Barahona</t>
  </si>
  <si>
    <t>Blackie Books</t>
  </si>
  <si>
    <t>to-read (#581)</t>
  </si>
  <si>
    <t>Amsterdam</t>
  </si>
  <si>
    <t>Ian McEwan</t>
  </si>
  <si>
    <t>McEwan, Ian</t>
  </si>
  <si>
    <t>Anchor Books/Knopf Doubleday Publishing Group</t>
  </si>
  <si>
    <t>to-read (#1305), awards-man-booker-prize-winners (#32)</t>
  </si>
  <si>
    <t>Out of the Frame: The Struggle for Academic Freedom in Israel</t>
  </si>
  <si>
    <t>Ilan Pappé</t>
  </si>
  <si>
    <t>Pappé, Ilan</t>
  </si>
  <si>
    <t>Pluto Press</t>
  </si>
  <si>
    <t>to-read (#2245), nonfiction (#244), biographies-etc (#58)</t>
  </si>
  <si>
    <t>The Ethnic Cleansing of Palestine</t>
  </si>
  <si>
    <t>Oneworld Publications</t>
  </si>
  <si>
    <t>to-read (#2261)</t>
  </si>
  <si>
    <t>Fatelessness</t>
  </si>
  <si>
    <t>Imre Kertész</t>
  </si>
  <si>
    <t>Kertész, Imre</t>
  </si>
  <si>
    <t>Tim Wilkinson</t>
  </si>
  <si>
    <t>to-read (#877)</t>
  </si>
  <si>
    <t>Scenes from a Marriage</t>
  </si>
  <si>
    <t>Ingmar Bergman</t>
  </si>
  <si>
    <t>Bergman, Ingmar</t>
  </si>
  <si>
    <t>Alan Blair</t>
  </si>
  <si>
    <t>to-read (#1121)</t>
  </si>
  <si>
    <t>Rosemary's Baby (Rosemary's Baby, #1)</t>
  </si>
  <si>
    <t>Ira Levin</t>
  </si>
  <si>
    <t>Levin, Ira</t>
  </si>
  <si>
    <t>to-read (#1342), novels (#95)</t>
  </si>
  <si>
    <t>The Stepford Wives</t>
  </si>
  <si>
    <t>Peter Straub</t>
  </si>
  <si>
    <t>Perennial</t>
  </si>
  <si>
    <t>to-read (#1048)</t>
  </si>
  <si>
    <t>Los Sioux</t>
  </si>
  <si>
    <t>Irene Handl</t>
  </si>
  <si>
    <t>Handl, Irene</t>
  </si>
  <si>
    <t>Mariano Peyrou</t>
  </si>
  <si>
    <t>Impedimenta</t>
  </si>
  <si>
    <t>to-read (#1256), novels (#173)</t>
  </si>
  <si>
    <t>When I Sing, Mountains Dance</t>
  </si>
  <si>
    <t>Irene Solà</t>
  </si>
  <si>
    <t>Solà, Irene</t>
  </si>
  <si>
    <t>Mara Faye Lethem</t>
  </si>
  <si>
    <t>to-read (#1140), novels (#221)</t>
  </si>
  <si>
    <t>El infinito en un junco: La invención de los libros en el mundo antiguo</t>
  </si>
  <si>
    <t>Irene Vallejo</t>
  </si>
  <si>
    <t>Vallejo, Irene</t>
  </si>
  <si>
    <t>to-read (#2426)</t>
  </si>
  <si>
    <t>The Time of the Angels</t>
  </si>
  <si>
    <t>Iris Murdoch</t>
  </si>
  <si>
    <t>Murdoch, Iris</t>
  </si>
  <si>
    <t>to-read (#832)</t>
  </si>
  <si>
    <t>The Sea, the Sea</t>
  </si>
  <si>
    <t>Mary Kinzie</t>
  </si>
  <si>
    <t>to-read (#1288), awards-man-booker-prize-winners (#11)</t>
  </si>
  <si>
    <t>Existential Psychotherapy</t>
  </si>
  <si>
    <t>Irvin D. Yalom</t>
  </si>
  <si>
    <t>Yalom, Irvin D.</t>
  </si>
  <si>
    <t>to-read (#2040)</t>
  </si>
  <si>
    <t>Every Day Gets A Little Closer</t>
  </si>
  <si>
    <t>to-read (#1999)</t>
  </si>
  <si>
    <t>The Gift of Therapy: An Open Letter to a New Generation of Therapists and Their Patients</t>
  </si>
  <si>
    <t>Nicola Ferguson</t>
  </si>
  <si>
    <t>to-read (#1998)</t>
  </si>
  <si>
    <t>Ecstasy</t>
  </si>
  <si>
    <t>Irvine Welsh</t>
  </si>
  <si>
    <t>Welsh, Irvine</t>
  </si>
  <si>
    <t xml:space="preserve">authors-austrian-authors, to-read, </t>
  </si>
  <si>
    <t>to-read (#15)</t>
  </si>
  <si>
    <t>Trainspotting</t>
  </si>
  <si>
    <t>to-read (#12)</t>
  </si>
  <si>
    <t>Gifts Differing: Understanding Personality Type</t>
  </si>
  <si>
    <t>Isabel Briggs Myers</t>
  </si>
  <si>
    <t>Myers, Isabel Briggs</t>
  </si>
  <si>
    <t>Peter B. Myers</t>
  </si>
  <si>
    <t>CPP</t>
  </si>
  <si>
    <t>to-read (#2097), psychology (#2)</t>
  </si>
  <si>
    <t>Enter Ghost</t>
  </si>
  <si>
    <t>Isabella Hammad</t>
  </si>
  <si>
    <t>Hammad, Isabella</t>
  </si>
  <si>
    <t>Grove Atlantic</t>
  </si>
  <si>
    <t>to-read (#2338)</t>
  </si>
  <si>
    <t>Mumbo Jumbo</t>
  </si>
  <si>
    <t>Ishmael Reed</t>
  </si>
  <si>
    <t>Reed, Ishmael</t>
  </si>
  <si>
    <t>to-read (#594)</t>
  </si>
  <si>
    <t>The Atmospherians</t>
  </si>
  <si>
    <t>Isle McElroy</t>
  </si>
  <si>
    <t>McElroy, Isle</t>
  </si>
  <si>
    <t>to-read (#717), novels (#135)</t>
  </si>
  <si>
    <t>Philosopher's Stone: A Modern Comparative Approach to Alchemy from the Psychological and Magical Points of View</t>
  </si>
  <si>
    <t>Israel Regardie</t>
  </si>
  <si>
    <t>Regardie, Israel</t>
  </si>
  <si>
    <t>Kessinger Publishing Co</t>
  </si>
  <si>
    <t>to-read (#971), tarot (#5)</t>
  </si>
  <si>
    <t>The Castle of Crossed Destinies</t>
  </si>
  <si>
    <t>Italo Calvino</t>
  </si>
  <si>
    <t>Calvino, Italo</t>
  </si>
  <si>
    <t>to-read (#1523)</t>
  </si>
  <si>
    <t>Why Read the Classics?</t>
  </si>
  <si>
    <t>to-read (#1435)</t>
  </si>
  <si>
    <t>Zeno's Conscience</t>
  </si>
  <si>
    <t>Italo Svevo</t>
  </si>
  <si>
    <t>Svevo, Italo</t>
  </si>
  <si>
    <t>William Weaver, Claudio Carini, Beryl de Zoete, Michael Hoffman</t>
  </si>
  <si>
    <t>to-read (#1918)</t>
  </si>
  <si>
    <t>Debating Race, Ethnicity, and Latino Identity: Jorge J. E. Gracia and His Critics</t>
  </si>
  <si>
    <t>Iván Jaksic</t>
  </si>
  <si>
    <t>Jaksic, Iván</t>
  </si>
  <si>
    <t>to-read (#679)</t>
  </si>
  <si>
    <t>The Bridge on the Drina (Bosnian Trilogy, #1)</t>
  </si>
  <si>
    <t>Ivo Andrić</t>
  </si>
  <si>
    <t>Andrić, Ivo</t>
  </si>
  <si>
    <t>Lovett F. Edwards, William H. McNeill</t>
  </si>
  <si>
    <t>to-read (#2063)</t>
  </si>
  <si>
    <t>A House and Its Head</t>
  </si>
  <si>
    <t>Ivy Compton-Burnett</t>
  </si>
  <si>
    <t>Compton-Burnett, Ivy</t>
  </si>
  <si>
    <t>to-read (#1216), novels (#167)</t>
  </si>
  <si>
    <t>Terminal Boredom: Stories</t>
  </si>
  <si>
    <t>Izumi Suzuki</t>
  </si>
  <si>
    <t>Suzuki, Izumi</t>
  </si>
  <si>
    <t>Polly Barton, Sam Bett, David  Boyd, Daniel  Joseph, Aiko Masubuchi, Helen O'Horan</t>
  </si>
  <si>
    <t xml:space="preserve">short-stories, to-read, z-2023, </t>
  </si>
  <si>
    <t>to-read (#715), z-2023 (#6), short-stories (#39)</t>
  </si>
  <si>
    <t>Predatory States: Operation Condor and Covert War in Latin America</t>
  </si>
  <si>
    <t>J. Patrice McSherry</t>
  </si>
  <si>
    <t>McSherry, J. Patrice</t>
  </si>
  <si>
    <t>Rowman &amp; Littlefield Publishers</t>
  </si>
  <si>
    <t>to-read (#2208), nonfiction (#223)</t>
  </si>
  <si>
    <t>Carmilla</t>
  </si>
  <si>
    <t>J. Sheridan Le Fanu</t>
  </si>
  <si>
    <t>Fanu, J. Sheridan Le</t>
  </si>
  <si>
    <t>Karl Wurf</t>
  </si>
  <si>
    <t>Wildside Press</t>
  </si>
  <si>
    <t>to-read (#1451)</t>
  </si>
  <si>
    <t>The Penguin Dictionary of Literary Terms and Literary Theory</t>
  </si>
  <si>
    <t>J.A. Cuddon</t>
  </si>
  <si>
    <t>Cuddon, J.A.</t>
  </si>
  <si>
    <t>C.E. Preston</t>
  </si>
  <si>
    <t>to-read (#865)</t>
  </si>
  <si>
    <t>The illustrated cat: A poster book</t>
  </si>
  <si>
    <t>J.C. Suares</t>
  </si>
  <si>
    <t>Suares, J.C.</t>
  </si>
  <si>
    <t>Harmony Books</t>
  </si>
  <si>
    <t>to-read (#1666), art (#3), 0 (#515)</t>
  </si>
  <si>
    <t>The Catcher in the Rye</t>
  </si>
  <si>
    <t>J.D. Salinger</t>
  </si>
  <si>
    <t>Salinger, J.D.</t>
  </si>
  <si>
    <t>novels (#89)</t>
  </si>
  <si>
    <t>Nine Stories</t>
  </si>
  <si>
    <t>to-read (#1373), short-stories (#21), 0 (#409)</t>
  </si>
  <si>
    <t>The Complete Stories of J.G. Ballard</t>
  </si>
  <si>
    <t>J.G. Ballard</t>
  </si>
  <si>
    <t>Ballard, J.G.</t>
  </si>
  <si>
    <t>Martin Amis</t>
  </si>
  <si>
    <t>to-read (#1487), short-stories (#1), 0 (#421)</t>
  </si>
  <si>
    <t>Running Wild</t>
  </si>
  <si>
    <t>to-read (#2145)</t>
  </si>
  <si>
    <t>The Siege of Krishnapur (Empire Trilogy, #2)</t>
  </si>
  <si>
    <t>J.G. Farrell</t>
  </si>
  <si>
    <t>Farrell, J.G.</t>
  </si>
  <si>
    <t>Pankaj Mishra</t>
  </si>
  <si>
    <t>to-read (#1283), awards-man-booker-prize-winners (#6)</t>
  </si>
  <si>
    <t>Troubles (Empire Trilogy, #1)</t>
  </si>
  <si>
    <t>to-read (#1281), awards-man-booker-prize-winners (#3)</t>
  </si>
  <si>
    <t>Harry Potter y la piedra filosofal (Harry Potter, #1)</t>
  </si>
  <si>
    <t>J.K. Rowling</t>
  </si>
  <si>
    <t>Rowling, J.K.</t>
  </si>
  <si>
    <t>Alicia Dellepiane Rawson</t>
  </si>
  <si>
    <t>Salamandra</t>
  </si>
  <si>
    <t>to-read (#1484), novels (#72), 0 (#509)</t>
  </si>
  <si>
    <t>How to Do Things with Words</t>
  </si>
  <si>
    <t>J.L. Austin</t>
  </si>
  <si>
    <t>Austin, J.L.</t>
  </si>
  <si>
    <t>to-read (#1818)</t>
  </si>
  <si>
    <t>Desgracia</t>
  </si>
  <si>
    <t>J.M. Coetzee</t>
  </si>
  <si>
    <t>Coetzee, J.M.</t>
  </si>
  <si>
    <t>Miguel Martínez-Lage</t>
  </si>
  <si>
    <t>Random House Mondadori</t>
  </si>
  <si>
    <t>to-read (#793), awards-man-booker-prize-winners (#33), 0 (#561), novels (#205)</t>
  </si>
  <si>
    <t>Foe</t>
  </si>
  <si>
    <t>novels (#76), 0 (#385), z-favorites-shelf (#39)</t>
  </si>
  <si>
    <t>Life &amp; Times of Michael K</t>
  </si>
  <si>
    <t>to-read (#1293), awards-man-booker-prize-winners (#16)</t>
  </si>
  <si>
    <t>A History of Europe</t>
  </si>
  <si>
    <t>J.M. Roberts</t>
  </si>
  <si>
    <t>Roberts, J.M.</t>
  </si>
  <si>
    <t>to-read (#1609), nonfiction (#36), 0 (#334)</t>
  </si>
  <si>
    <t>My Father and Myself</t>
  </si>
  <si>
    <t>J.R. Ackerley</t>
  </si>
  <si>
    <t>Ackerley, J.R.</t>
  </si>
  <si>
    <t>W.H. Auden</t>
  </si>
  <si>
    <t>to-read (#481), nonfiction (#99), biographies-etc (#39)</t>
  </si>
  <si>
    <t>Collected Poems of Jack Gilbert</t>
  </si>
  <si>
    <t>Jack Gilbert</t>
  </si>
  <si>
    <t>Gilbert, Jack</t>
  </si>
  <si>
    <t xml:space="preserve">0, poetry, z-favorites-shelf, </t>
  </si>
  <si>
    <t>poetry (#6), 0 (#477), z-favorites-shelf (#37)</t>
  </si>
  <si>
    <t>Monolithos: Poems, 1962 and 1982</t>
  </si>
  <si>
    <t>Alfred a Knopf Inc</t>
  </si>
  <si>
    <t>to-read (#268), poetry (#51)</t>
  </si>
  <si>
    <t>On the Road</t>
  </si>
  <si>
    <t>Jack Kerouac</t>
  </si>
  <si>
    <t>Kerouac, Jack</t>
  </si>
  <si>
    <t>novels (#107)</t>
  </si>
  <si>
    <t>Was incredibly excited to read the infamous On The Road and was severely let down. Got halfway done and then realized I just couldn't finish it.</t>
  </si>
  <si>
    <t>You Could Look It Up: The Reference Shelf from Ancient Babylon to Wikipedia</t>
  </si>
  <si>
    <t>Jack Lynch</t>
  </si>
  <si>
    <t>Lynch, Jack</t>
  </si>
  <si>
    <t>to-read (#2232), nonfiction (#232)</t>
  </si>
  <si>
    <t>The Watkins Dictionary of Symbols</t>
  </si>
  <si>
    <t>Jack Tresidder</t>
  </si>
  <si>
    <t>Tresidder, Jack</t>
  </si>
  <si>
    <t>Watkins</t>
  </si>
  <si>
    <t xml:space="preserve">0, mythology, </t>
  </si>
  <si>
    <t>0 (#39), mythology (#7)</t>
  </si>
  <si>
    <t>The Loop: How Technology Is Creating a World Without Choices and How to Fight Back</t>
  </si>
  <si>
    <t>Jacob Ward</t>
  </si>
  <si>
    <t>Ward, Jacob</t>
  </si>
  <si>
    <t>to-read (#1050)</t>
  </si>
  <si>
    <t>Prisoner without a Name, Cell without a Number</t>
  </si>
  <si>
    <t>Jacobo Timerman</t>
  </si>
  <si>
    <t>Timerman, Jacobo</t>
  </si>
  <si>
    <t>Toby Talbot, Ilan Stavans</t>
  </si>
  <si>
    <t>University of Wisconsin Press</t>
  </si>
  <si>
    <t>to-read (#2212), books-about-argentina (#4)</t>
  </si>
  <si>
    <t>Foucault with Marx</t>
  </si>
  <si>
    <t>Jacques Bidet</t>
  </si>
  <si>
    <t>Bidet, Jacques</t>
  </si>
  <si>
    <t>Steven Corcoran</t>
  </si>
  <si>
    <t>Zed Books</t>
  </si>
  <si>
    <t>to-read (#263), foucault (#18)</t>
  </si>
  <si>
    <t>Dictionnaire infernal</t>
  </si>
  <si>
    <t>Jacques Collin de Plancy</t>
  </si>
  <si>
    <t>Plancy, Jacques Collin de</t>
  </si>
  <si>
    <t>Editorial Maxtor</t>
  </si>
  <si>
    <t>to-read (#943)</t>
  </si>
  <si>
    <t>The Animal That Therefore I Am</t>
  </si>
  <si>
    <t>Jacques Derrida</t>
  </si>
  <si>
    <t>Derrida, Jacques</t>
  </si>
  <si>
    <t>David Wills, Marie-Louis Mallet</t>
  </si>
  <si>
    <t>Fordham University Press</t>
  </si>
  <si>
    <t>to-read (#466)</t>
  </si>
  <si>
    <t>Of Grammatology</t>
  </si>
  <si>
    <t>Gayatri Chakravorty Spivak</t>
  </si>
  <si>
    <t>to-read (#465)</t>
  </si>
  <si>
    <t>The Great Fire of London: A Story with Interpolations and Bifurcations</t>
  </si>
  <si>
    <t>Jacques Roubaud</t>
  </si>
  <si>
    <t>Roubaud, Jacques</t>
  </si>
  <si>
    <t>Dominic Di Bernardi</t>
  </si>
  <si>
    <t>to-read (#108), novels (#109)</t>
  </si>
  <si>
    <t>Dictionary of Subjects and Symbols in Art</t>
  </si>
  <si>
    <t>James  Hall</t>
  </si>
  <si>
    <t>Hall, James</t>
  </si>
  <si>
    <t>Harper &amp; Row</t>
  </si>
  <si>
    <t>to-read (#959), dictionaries-and-encyclopedias (#22), mythology (#13)</t>
  </si>
  <si>
    <t>Examined Lives: From Socrates to Nietzsche</t>
  </si>
  <si>
    <t>James  Miller</t>
  </si>
  <si>
    <t>Miller, James</t>
  </si>
  <si>
    <t>to-read (#1795)</t>
  </si>
  <si>
    <t>Let Us Now Praise Famous Men; Three Tenant Families</t>
  </si>
  <si>
    <t>James Agee</t>
  </si>
  <si>
    <t>Agee, James</t>
  </si>
  <si>
    <t>Walker Evans</t>
  </si>
  <si>
    <t>Houghton Mifflin Company</t>
  </si>
  <si>
    <t>to-read (#1802), nonfiction (#15), 0 (#415)</t>
  </si>
  <si>
    <t>The Price of the Ticket: Collected Nonfiction: 1948–1985</t>
  </si>
  <si>
    <t>James Baldwin</t>
  </si>
  <si>
    <t>Baldwin, James</t>
  </si>
  <si>
    <t>to-read (#842), essays (#9), nonfiction (#134)</t>
  </si>
  <si>
    <t>The Fire Next Time</t>
  </si>
  <si>
    <t>z-favorites-shelf (#3), 0 (#376)</t>
  </si>
  <si>
    <t>Go Tell It on the Mountain (Vintage International)</t>
  </si>
  <si>
    <t>novels (#2), z-favorites-shelf (#2), 0 (#373)</t>
  </si>
  <si>
    <t>Giovanni's Room</t>
  </si>
  <si>
    <t>novels (#1), z-favorites-shelf (#1), 0 (#287)</t>
  </si>
  <si>
    <t>Nothing Personal</t>
  </si>
  <si>
    <t>Imani Perry, Eddie S. Glaude Jr.</t>
  </si>
  <si>
    <t>to-read (#822)</t>
  </si>
  <si>
    <t>The Psychopath: Emotion and the Brain</t>
  </si>
  <si>
    <t>James Blair</t>
  </si>
  <si>
    <t>Blair, James</t>
  </si>
  <si>
    <t>Derek Mitchell, Karina Blair</t>
  </si>
  <si>
    <t>to-read (#2000)</t>
  </si>
  <si>
    <t>Ways of Being: Animals, Plants, Machines: The Search for a Planetary Intelligence</t>
  </si>
  <si>
    <t>James Bridle</t>
  </si>
  <si>
    <t>Bridle, James</t>
  </si>
  <si>
    <t>nonfiction</t>
  </si>
  <si>
    <t>nonfiction (#257)</t>
  </si>
  <si>
    <t>to-read (#1678)</t>
  </si>
  <si>
    <t>Courtesans and Fishcakes: The Consuming Passions of Classical Athens</t>
  </si>
  <si>
    <t>James Davidson</t>
  </si>
  <si>
    <t>Davidson, James</t>
  </si>
  <si>
    <t>HarperCollins Publishers (NYC)</t>
  </si>
  <si>
    <t>to-read (#1171)</t>
  </si>
  <si>
    <t>The World According to Color: A Cultural History</t>
  </si>
  <si>
    <t>James Fox</t>
  </si>
  <si>
    <t>Fox, James</t>
  </si>
  <si>
    <t>to-read (#1744), nonfiction (#153)</t>
  </si>
  <si>
    <t>The Golden Bough</t>
  </si>
  <si>
    <t>James George Frazer</t>
  </si>
  <si>
    <t>Frazer, James George</t>
  </si>
  <si>
    <t>Touchstone</t>
  </si>
  <si>
    <t>to-read (#1081), history (#22)</t>
  </si>
  <si>
    <t>The Information: A History, a Theory, a Flood</t>
  </si>
  <si>
    <t>James Gleick</t>
  </si>
  <si>
    <t>Gleick, James</t>
  </si>
  <si>
    <t>to-read (#1746), nonfiction (#237)</t>
  </si>
  <si>
    <t>Chaos: Making a New Science</t>
  </si>
  <si>
    <t>Penguin Group</t>
  </si>
  <si>
    <t>to-read (#1911)</t>
  </si>
  <si>
    <t>The Private Memoirs and Confessions of a Justified Sinner</t>
  </si>
  <si>
    <t>James Hogg</t>
  </si>
  <si>
    <t>Hogg, James</t>
  </si>
  <si>
    <t>to-read (#825), novels (#148)</t>
  </si>
  <si>
    <t>Ulysses</t>
  </si>
  <si>
    <t>James Joyce</t>
  </si>
  <si>
    <t>Joyce, James</t>
  </si>
  <si>
    <t>to-read (#979), novels (#9), 0 (#390)</t>
  </si>
  <si>
    <t>How Late It Was, How Late</t>
  </si>
  <si>
    <t>James Kelman</t>
  </si>
  <si>
    <t>Kelman, James</t>
  </si>
  <si>
    <t>W. W. Norton</t>
  </si>
  <si>
    <t>to-read (#260), awards-man-booker-prize-winners (#28)</t>
  </si>
  <si>
    <t>The Decline and Resurgence of Congress</t>
  </si>
  <si>
    <t>James L. Sundquist</t>
  </si>
  <si>
    <t>Sundquist, James L.</t>
  </si>
  <si>
    <t>Brookings Institution Press</t>
  </si>
  <si>
    <t>to-read (#2411), bib-torture (#20)</t>
  </si>
  <si>
    <t>Mary, Mary (Alex Cross, #11)</t>
  </si>
  <si>
    <t>James Patterson</t>
  </si>
  <si>
    <t>Patterson, James</t>
  </si>
  <si>
    <t>Warner Vision</t>
  </si>
  <si>
    <t>to-read (#1344), novels (#57), 0 (#404)</t>
  </si>
  <si>
    <t>Narrow Rooms</t>
  </si>
  <si>
    <t>James Purdy</t>
  </si>
  <si>
    <t>Purdy, James</t>
  </si>
  <si>
    <t>to-read (#413)</t>
  </si>
  <si>
    <t>The Elements of Moral Philosophy (The Heritage Series in Philosophy)</t>
  </si>
  <si>
    <t>James Rachels</t>
  </si>
  <si>
    <t>Rachels, James</t>
  </si>
  <si>
    <t>Mcgraw-Hill College</t>
  </si>
  <si>
    <t>to-read (#1647), philosophy (#26), 0 (#340)</t>
  </si>
  <si>
    <t>Dying Every Day: Seneca at the Court of Nero</t>
  </si>
  <si>
    <t>James Romm</t>
  </si>
  <si>
    <t>Romm, James</t>
  </si>
  <si>
    <t>Borzoi-Knopf</t>
  </si>
  <si>
    <t>to-read (#1478)</t>
  </si>
  <si>
    <t>Last Night: Stories</t>
  </si>
  <si>
    <t>James Salter</t>
  </si>
  <si>
    <t>Salter, James</t>
  </si>
  <si>
    <t xml:space="preserve">books-from-twitter, short-stories, to-read, </t>
  </si>
  <si>
    <t>to-read (#2146), short-stories (#48), books-from-twitter (#28)</t>
  </si>
  <si>
    <t>Party Monster: A Fabulous But True Tale of Murder in Clubland</t>
  </si>
  <si>
    <t>James St. James</t>
  </si>
  <si>
    <t>James, James St.</t>
  </si>
  <si>
    <t>to-read (#65)</t>
  </si>
  <si>
    <t>When Marina Abramović Dies: A Biography</t>
  </si>
  <si>
    <t>James Westcott</t>
  </si>
  <si>
    <t>Westcott, James</t>
  </si>
  <si>
    <t>to-read (#130), 0 (#191)</t>
  </si>
  <si>
    <t>For God and Country: Faith and Patriotism Under Fire</t>
  </si>
  <si>
    <t>James Yee</t>
  </si>
  <si>
    <t>Yee, James</t>
  </si>
  <si>
    <t>PublicAffairs</t>
  </si>
  <si>
    <t>to-read (#2294), biblio-shock-doctrine (#28)</t>
  </si>
  <si>
    <t>The Strange World of Human Sacrifice (Studies in the History and Anthropology of Religion)</t>
  </si>
  <si>
    <t>Jan N. Bremmer</t>
  </si>
  <si>
    <t>Bremmer, Jan N.</t>
  </si>
  <si>
    <t>Peeters Publishers</t>
  </si>
  <si>
    <t>to-read (#1557), nonfiction (#282)</t>
  </si>
  <si>
    <t>Interpretations of Greek Mythology</t>
  </si>
  <si>
    <t>Barnes &amp; Noble Imports</t>
  </si>
  <si>
    <t>to-read (#1498), greeks-romans-etc (#56)</t>
  </si>
  <si>
    <t>The Gods of Ancient Greece: Identities and Transformations (Edinburgh Leventis Studies)</t>
  </si>
  <si>
    <t>Andrew Erskine</t>
  </si>
  <si>
    <t>Edinburgh University Press</t>
  </si>
  <si>
    <t>to-read (#1499), greeks-romans-etc (#57)</t>
  </si>
  <si>
    <t>Heretical Essays in the Philosophy of History</t>
  </si>
  <si>
    <t>Jan Patočka</t>
  </si>
  <si>
    <t>Patočka, Jan</t>
  </si>
  <si>
    <t>James Dodd</t>
  </si>
  <si>
    <t>Open Court</t>
  </si>
  <si>
    <t>to-read (#416), nonfiction (#97), philosophy (#35)</t>
  </si>
  <si>
    <t>The Manuscript Found in Saragossa</t>
  </si>
  <si>
    <t>Jan Potocki</t>
  </si>
  <si>
    <t>Potocki, Jan</t>
  </si>
  <si>
    <t>Ian Maclean</t>
  </si>
  <si>
    <t>to-read (#104)</t>
  </si>
  <si>
    <t>Tarot Dictionary and Compendium</t>
  </si>
  <si>
    <t>Jana Riley</t>
  </si>
  <si>
    <t>Riley, Jana</t>
  </si>
  <si>
    <t>to-read (#1527), dictionaries-and-encyclopedias (#28)</t>
  </si>
  <si>
    <t>Pride &amp; Prejudice</t>
  </si>
  <si>
    <t>Jane Austen</t>
  </si>
  <si>
    <t>Austen, Jane</t>
  </si>
  <si>
    <t>Pulp! The Classics</t>
  </si>
  <si>
    <t>to-read (#972), novels (#34), 0 (#388)</t>
  </si>
  <si>
    <t>Two Serious Ladies</t>
  </si>
  <si>
    <t>Jane Bowles</t>
  </si>
  <si>
    <t>Bowles, Jane</t>
  </si>
  <si>
    <t>Peter Owen</t>
  </si>
  <si>
    <t>to-read (#408), novels (#129)</t>
  </si>
  <si>
    <t>My Sister's Hand in Mine: The Collected Works of Jane Bowles</t>
  </si>
  <si>
    <t>Truman Capote, Joy Williams</t>
  </si>
  <si>
    <t>to-read (#407)</t>
  </si>
  <si>
    <t>Themis: A Study of the Social Origins of Greek Religion</t>
  </si>
  <si>
    <t>Jane Ellen Harrison</t>
  </si>
  <si>
    <t>Harrison, Jane Ellen</t>
  </si>
  <si>
    <t>Gilbert Murray, Francis Macdonald Cornford</t>
  </si>
  <si>
    <t>Merlin Pr</t>
  </si>
  <si>
    <t>to-read (#1462), greeks-romans-etc (#81)</t>
  </si>
  <si>
    <t>Prolegomena to the Study of Greek Religion (Mythos Books)</t>
  </si>
  <si>
    <t>to-read (#1472), greeks-romans-etc (#76)</t>
  </si>
  <si>
    <t>The Death and Life of Great American Cities</t>
  </si>
  <si>
    <t>Jane Jacobs</t>
  </si>
  <si>
    <t>Jacobs, Jane</t>
  </si>
  <si>
    <t>to-read (#2419), nonfiction (#252)</t>
  </si>
  <si>
    <t>The Language of Blood</t>
  </si>
  <si>
    <t>Jane Jeong Trenka</t>
  </si>
  <si>
    <t>Trenka, Jane Jeong</t>
  </si>
  <si>
    <t>to-read (#423)</t>
  </si>
  <si>
    <t>Unexpected Journeys: The Art and Life of Remedios Varo</t>
  </si>
  <si>
    <t>Janet A. Kaplan</t>
  </si>
  <si>
    <t>Kaplan, Janet A.</t>
  </si>
  <si>
    <t>Abbeville Press</t>
  </si>
  <si>
    <t>to-read (#1534), biographies-etc (#28)</t>
  </si>
  <si>
    <t>Nobody's Looking at You: Essays</t>
  </si>
  <si>
    <t>Janet Malcolm</t>
  </si>
  <si>
    <t>Malcolm, Janet</t>
  </si>
  <si>
    <t>to-read (#412), essays (#11), nonfiction (#162)</t>
  </si>
  <si>
    <t>Forty-One False Starts: Essays on Artists and Writers</t>
  </si>
  <si>
    <t>Ian Frazier</t>
  </si>
  <si>
    <t>to-read (#315)</t>
  </si>
  <si>
    <t>La Tournée de Dios</t>
  </si>
  <si>
    <t>Jardiel Poncela</t>
  </si>
  <si>
    <t>Poncela, Jardiel</t>
  </si>
  <si>
    <t>Temas de Hoy</t>
  </si>
  <si>
    <t>to-read (#480)</t>
  </si>
  <si>
    <t>Why Is Sex Fun? The Evolution of Human Sexuality (Science Masters)</t>
  </si>
  <si>
    <t>Jared Diamond</t>
  </si>
  <si>
    <t>Diamond, Jared</t>
  </si>
  <si>
    <t>to-read (#531)</t>
  </si>
  <si>
    <t>The Midnight Kingdom: A History of Power, Paranoia, and the Coming Crisis</t>
  </si>
  <si>
    <t>Jared Yates Sexton</t>
  </si>
  <si>
    <t>Sexton, Jared Yates</t>
  </si>
  <si>
    <t>to-read (#1073), nonfiction (#142)</t>
  </si>
  <si>
    <t>Harsh Cravings</t>
  </si>
  <si>
    <t>Jason  Haaf</t>
  </si>
  <si>
    <t>Haaf, Jason</t>
  </si>
  <si>
    <t>Polari Press</t>
  </si>
  <si>
    <t>to-read (#2010), biographies-etc (#57)</t>
  </si>
  <si>
    <t>The Sprawl: Reconsidering the Weird American Suburbs</t>
  </si>
  <si>
    <t>Jason Diamond</t>
  </si>
  <si>
    <t>Diamond, Jason</t>
  </si>
  <si>
    <t>to-read (#647)</t>
  </si>
  <si>
    <t>Black Ivy: A Revolt in Style</t>
  </si>
  <si>
    <t>Jason Jules</t>
  </si>
  <si>
    <t>Jules, Jason</t>
  </si>
  <si>
    <t>Graham Marsh</t>
  </si>
  <si>
    <t>Reel Art Press</t>
  </si>
  <si>
    <t xml:space="preserve">books-from-twitter, nonfiction, to-read, </t>
  </si>
  <si>
    <t>to-read (#1605), books-from-twitter (#25), nonfiction (#189)</t>
  </si>
  <si>
    <t>Fire Year (Mary McCarthy Prize in Short Fiction)</t>
  </si>
  <si>
    <t>Jason K. Friedman</t>
  </si>
  <si>
    <t>Friedman, Jason K.</t>
  </si>
  <si>
    <t>Salvatore Scribona</t>
  </si>
  <si>
    <t>Sarabande Books</t>
  </si>
  <si>
    <t>to-read (#990), poetry (#19)</t>
  </si>
  <si>
    <t>Mañana en la batalla piensa en mí</t>
  </si>
  <si>
    <t>Javier Marías</t>
  </si>
  <si>
    <t>Marías, Javier</t>
  </si>
  <si>
    <t>DEBOLSILLO</t>
  </si>
  <si>
    <t>to-read (#812)</t>
  </si>
  <si>
    <t>La vida de hotel</t>
  </si>
  <si>
    <t>Javier Montes</t>
  </si>
  <si>
    <t>Montes, Javier</t>
  </si>
  <si>
    <t>to-read (#451)</t>
  </si>
  <si>
    <t>The Amityville Horror</t>
  </si>
  <si>
    <t>Jay Anson</t>
  </si>
  <si>
    <t>Anson, Jay</t>
  </si>
  <si>
    <t>to-read (#19), novels (#94)</t>
  </si>
  <si>
    <t>Thirteen Reasons Why</t>
  </si>
  <si>
    <t>Jay Asher</t>
  </si>
  <si>
    <t>Asher, Jay</t>
  </si>
  <si>
    <t>Razorbill</t>
  </si>
  <si>
    <t>Borges and Me</t>
  </si>
  <si>
    <t>Jay Parini</t>
  </si>
  <si>
    <t>Parini, Jay</t>
  </si>
  <si>
    <t>Canongate Books Ltd.</t>
  </si>
  <si>
    <t>to-read (#811)</t>
  </si>
  <si>
    <t>The Spirit of Terrorism and Other essays</t>
  </si>
  <si>
    <t>Jean Baudrillard</t>
  </si>
  <si>
    <t>Baudrillard, Jean</t>
  </si>
  <si>
    <t>Chris     Turner</t>
  </si>
  <si>
    <t>to-read (#233), essays (#35)</t>
  </si>
  <si>
    <t>Power Inferno</t>
  </si>
  <si>
    <t>Arena Libros</t>
  </si>
  <si>
    <t>to-read (#2351), biblio-shock-doctrine (#74)</t>
  </si>
  <si>
    <t>Simulacra and Simulation (The Body, In Theory: Histories of Cultural Materialism)</t>
  </si>
  <si>
    <t>Sheila Faria Glaser</t>
  </si>
  <si>
    <t>University of Michigan Press</t>
  </si>
  <si>
    <t>to-read (#464)</t>
  </si>
  <si>
    <t>The Penguin Dictionary of Symbols</t>
  </si>
  <si>
    <t>Jean Chevalier</t>
  </si>
  <si>
    <t>Chevalier, Jean</t>
  </si>
  <si>
    <t>Alain Gheerbrant, John Buchanan-Brown</t>
  </si>
  <si>
    <t>to-read (#369), dictionaries-and-encyclopedias (#16), mythology (#9)</t>
  </si>
  <si>
    <t>The White Paper</t>
  </si>
  <si>
    <t>Jean Cocteau</t>
  </si>
  <si>
    <t>Cocteau, Jean</t>
  </si>
  <si>
    <t>The Macaulay Company</t>
  </si>
  <si>
    <t>to-read (#952)</t>
  </si>
  <si>
    <t>Mental Maladies: Treatise on Insanity</t>
  </si>
  <si>
    <t>Jean Etienne Dominique Esquirol</t>
  </si>
  <si>
    <t>Esquirol, Jean Etienne Dominique</t>
  </si>
  <si>
    <t>Hardpress Publishing</t>
  </si>
  <si>
    <t>to-read (#2159), biblio-noonday-demon (#65)</t>
  </si>
  <si>
    <t>Our Lady of the Flowers</t>
  </si>
  <si>
    <t>Jean Genet</t>
  </si>
  <si>
    <t>Genet, Jean</t>
  </si>
  <si>
    <t>Jean-Paul Sartre, Bernard Frechtman</t>
  </si>
  <si>
    <t>Olympiapress.com</t>
  </si>
  <si>
    <t>to-read (#170), queer-gender-etc (#17)</t>
  </si>
  <si>
    <t>The Survival of the Pagan Gods: The Mythological Tradition and its Place in Renaissance Humanism and Art</t>
  </si>
  <si>
    <t>Jean Seznec</t>
  </si>
  <si>
    <t>Seznec, Jean</t>
  </si>
  <si>
    <t>Barbara F. Sessions</t>
  </si>
  <si>
    <t>to-read (#1086)</t>
  </si>
  <si>
    <t>The Diving Bell and the Butterfly</t>
  </si>
  <si>
    <t>Jean-Dominique Bauby</t>
  </si>
  <si>
    <t>Bauby, Jean-Dominique</t>
  </si>
  <si>
    <t>Jeremy Leggatt</t>
  </si>
  <si>
    <t>to-read (#1212), biographies-etc (#54), nonfiction (#194)</t>
  </si>
  <si>
    <t>Arthur Rimbaud: Presence of an Enigma</t>
  </si>
  <si>
    <t>Jean-Luc Steinmetz</t>
  </si>
  <si>
    <t>Steinmetz, Jean-Luc</t>
  </si>
  <si>
    <t>Jon Graham</t>
  </si>
  <si>
    <t>Welcome Rain Publishers</t>
  </si>
  <si>
    <t>to-read (#771)</t>
  </si>
  <si>
    <t>Reading the Marseille Tarot</t>
  </si>
  <si>
    <t>Jean-Michel David</t>
  </si>
  <si>
    <t>David, Jean-Michel</t>
  </si>
  <si>
    <t>Association for Tarot Studies</t>
  </si>
  <si>
    <t>to-read (#938)</t>
  </si>
  <si>
    <t>Existentialism is a Humanism</t>
  </si>
  <si>
    <t>Jean-Paul Sartre</t>
  </si>
  <si>
    <t>Sartre, Jean-Paul</t>
  </si>
  <si>
    <t>Arlette Elkaïm-Sartre, Annie Cohen-Solal, Carol Macomber</t>
  </si>
  <si>
    <t>to-read (#1582), philosophy (#19), 0 (#424)</t>
  </si>
  <si>
    <t>No Exit and Three Other Plays</t>
  </si>
  <si>
    <t xml:space="preserve">0, plays, </t>
  </si>
  <si>
    <t>plays (#2), 0 (#368)</t>
  </si>
  <si>
    <t>Had to stop 30 pages before I actually finished the entire book. A good quick read when you don't want to read anything too complex (except Dirty Hands, which was a nightmare to understand since I didn't know the context in which it was written in).</t>
  </si>
  <si>
    <t>What is Literature?</t>
  </si>
  <si>
    <t>Bernard Frechtman</t>
  </si>
  <si>
    <t>to-read (#1631)</t>
  </si>
  <si>
    <t>The Wall</t>
  </si>
  <si>
    <t>Hesperus Press</t>
  </si>
  <si>
    <t>to-read (#55)</t>
  </si>
  <si>
    <t>Nausea</t>
  </si>
  <si>
    <t>Lloyd Alexander, Hayden Carruth</t>
  </si>
  <si>
    <t>to-read (#44)</t>
  </si>
  <si>
    <t>The Bathroom</t>
  </si>
  <si>
    <t>Jean-Philippe Toussaint</t>
  </si>
  <si>
    <t>Toussaint, Jean-Philippe</t>
  </si>
  <si>
    <t>to-read (#585), novels (#202)</t>
  </si>
  <si>
    <t>The Universe, the Gods, and Men</t>
  </si>
  <si>
    <t>Jean-Pierre Vernant</t>
  </si>
  <si>
    <t>Vernant, Jean-Pierre</t>
  </si>
  <si>
    <t>Linda Asher</t>
  </si>
  <si>
    <t xml:space="preserve">greeks-romans-etc, mythology, to-read, z-2023, </t>
  </si>
  <si>
    <t>to-read (#1494), greeks-romans-etc (#54), mythology (#50), z-2023 (#10)</t>
  </si>
  <si>
    <t>The Stone Gods</t>
  </si>
  <si>
    <t>Jeanette Winterson</t>
  </si>
  <si>
    <t>Winterson, Jeanette</t>
  </si>
  <si>
    <t>Harcourt, Inc.</t>
  </si>
  <si>
    <t>to-read (#169), queer-gender-etc (#16)</t>
  </si>
  <si>
    <t>Narcopolis</t>
  </si>
  <si>
    <t>Jeet Thayil</t>
  </si>
  <si>
    <t>Thayil, Jeet</t>
  </si>
  <si>
    <t>novels (#37), 0 (#455), z-favorites-shelf (#33)</t>
  </si>
  <si>
    <t>Bones Washed with Wine</t>
  </si>
  <si>
    <t>Jeff Mann</t>
  </si>
  <si>
    <t>Mann, Jeff</t>
  </si>
  <si>
    <t>Gival Press, LLC</t>
  </si>
  <si>
    <t>to-read (#1724), poetry (#34), 0 (#433)</t>
  </si>
  <si>
    <t>Malady of the Mind: Schizophrenia and the Path to Prevention</t>
  </si>
  <si>
    <t>Jeffrey A. Lieberman</t>
  </si>
  <si>
    <t>Lieberman, Jeffrey A.</t>
  </si>
  <si>
    <t>to-read (#2143), nonfiction (#188), psychology (#17)</t>
  </si>
  <si>
    <t>The End of Poverty: Economic Possibilities for Our Time</t>
  </si>
  <si>
    <t>Jeffrey D. Sachs</t>
  </si>
  <si>
    <t>Sachs, Jeffrey D.</t>
  </si>
  <si>
    <t>Bono</t>
  </si>
  <si>
    <t>United Nations</t>
  </si>
  <si>
    <t>to-read (#2343), biblio-shock-doctrine (#67)</t>
  </si>
  <si>
    <t>The Complete Q&amp;A Job Interview Book</t>
  </si>
  <si>
    <t>Jeffrey G. Allen</t>
  </si>
  <si>
    <t>Allen, Jeffrey G.</t>
  </si>
  <si>
    <t>to-read (#1721), tech (#9), 0 (#346)</t>
  </si>
  <si>
    <t>Finest and Darkest Hours: The Decisive Events in British Politics, from Churchill to Blair</t>
  </si>
  <si>
    <t>Jeffreys Kevin</t>
  </si>
  <si>
    <t>Kevin, Jeffreys</t>
  </si>
  <si>
    <t>Atlantic Books</t>
  </si>
  <si>
    <t>to-read (#2318), biblio-shock-doctrine (#53)</t>
  </si>
  <si>
    <t>Big Swiss</t>
  </si>
  <si>
    <t>Jen Beagin</t>
  </si>
  <si>
    <t>Beagin, Jen</t>
  </si>
  <si>
    <t>to-read (#1898), novels (#185)</t>
  </si>
  <si>
    <t>Panthers and the Museum of Fire</t>
  </si>
  <si>
    <t>Jen Craig</t>
  </si>
  <si>
    <t>Craig, Jen</t>
  </si>
  <si>
    <t>Bettina Kaiser</t>
  </si>
  <si>
    <t>Spineless Wonders</t>
  </si>
  <si>
    <t>to-read (#2147), books-from-twitter (#29), novels (#188)</t>
  </si>
  <si>
    <t>My Autobiography of Carson McCullers: A Memoir</t>
  </si>
  <si>
    <t>Jenn Shapland</t>
  </si>
  <si>
    <t>Shapland, Jenn</t>
  </si>
  <si>
    <t>0 (#117)</t>
  </si>
  <si>
    <t>Ancient Greek Cults: A Guide</t>
  </si>
  <si>
    <t>Jennifer   Larson</t>
  </si>
  <si>
    <t>Larson, Jennifer</t>
  </si>
  <si>
    <t>to-read (#1711)</t>
  </si>
  <si>
    <t>Dictionary of Theories</t>
  </si>
  <si>
    <t>Jennifer Bothamley</t>
  </si>
  <si>
    <t>Bothamley, Jennifer</t>
  </si>
  <si>
    <t>Visable Ink Press</t>
  </si>
  <si>
    <t>to-read (#371)</t>
  </si>
  <si>
    <t>Goddess of the Market: Ayn Rand and the American Right</t>
  </si>
  <si>
    <t>Jennifer Burns</t>
  </si>
  <si>
    <t>Burns, Jennifer</t>
  </si>
  <si>
    <t>to-read (#2034)</t>
  </si>
  <si>
    <t>Truth, Torture, and the American Way: The History and Consequences of U.S. Involvement in Torture</t>
  </si>
  <si>
    <t>Jennifer K. Harbury</t>
  </si>
  <si>
    <t>Harbury, Jennifer K.</t>
  </si>
  <si>
    <t>Amy Goodman</t>
  </si>
  <si>
    <t>to-read (#2290), biblio-shock-doctrine (#24)</t>
  </si>
  <si>
    <t>The Penguin Book of Classical Myths</t>
  </si>
  <si>
    <t>Jennifer R. March</t>
  </si>
  <si>
    <t>March, Jennifer R.</t>
  </si>
  <si>
    <t>to-read (#1442), greeks-romans-etc (#49), mythology (#47)</t>
  </si>
  <si>
    <t>Moody Minds Distempered: Essays on Melancholy and Depression</t>
  </si>
  <si>
    <t>Jennifer Radden</t>
  </si>
  <si>
    <t>Radden, Jennifer</t>
  </si>
  <si>
    <t>to-read (#1960)</t>
  </si>
  <si>
    <t>The Nature of Melancholy: From Aristotle to Kristeva</t>
  </si>
  <si>
    <t>to-read (#1956)</t>
  </si>
  <si>
    <t>Kairos</t>
  </si>
  <si>
    <t>Jenny Erpenbeck</t>
  </si>
  <si>
    <t>Erpenbeck, Jenny</t>
  </si>
  <si>
    <t>to-read (#2269), books-from-twitter (#66)</t>
  </si>
  <si>
    <t>The Panopticon Writings: (Wo Es War) (Radical Thinkers)</t>
  </si>
  <si>
    <t>Jeremy Bentham</t>
  </si>
  <si>
    <t>Bentham, Jeremy</t>
  </si>
  <si>
    <t>Miran Božovič</t>
  </si>
  <si>
    <t>to-read (#234)</t>
  </si>
  <si>
    <t>The Penguin Book of the Prose Poem: From Baudelaire to Anne Carson</t>
  </si>
  <si>
    <t>Jeremy Noel-Tod</t>
  </si>
  <si>
    <t>Noel-Tod, Jeremy</t>
  </si>
  <si>
    <t>to-read (#670), poetry (#60)</t>
  </si>
  <si>
    <t>Delirium: An Interpretation of Arthur Rimbaud</t>
  </si>
  <si>
    <t>Reed, Jeremy</t>
  </si>
  <si>
    <t>to-read (#772)</t>
  </si>
  <si>
    <t>Blackwater: The Rise of the World's Most Powerful Mercenary Army</t>
  </si>
  <si>
    <t>Jeremy Scahill</t>
  </si>
  <si>
    <t>Scahill, Jeremy</t>
  </si>
  <si>
    <t>Nation Books</t>
  </si>
  <si>
    <t>to-read (#2356), biblio-shock-doctrine (#79)</t>
  </si>
  <si>
    <t>On Knowing: Essays for the Left Hand</t>
  </si>
  <si>
    <t>Jerome Bruner</t>
  </si>
  <si>
    <t>Bruner, Jerome</t>
  </si>
  <si>
    <t>to-read (#1843), essays (#42)</t>
  </si>
  <si>
    <t>The Metaphysics of Meaning</t>
  </si>
  <si>
    <t>Jerrold J. Katz</t>
  </si>
  <si>
    <t>Katz, Jerrold J.</t>
  </si>
  <si>
    <t>to-read (#1819)</t>
  </si>
  <si>
    <t>Me and a Guy Named Elvis: My Lifelong Friendship with Elvis Presley</t>
  </si>
  <si>
    <t>Jerry Schilling</t>
  </si>
  <si>
    <t>Schilling, Jerry</t>
  </si>
  <si>
    <t>Chuck Crisafulli</t>
  </si>
  <si>
    <t>Gotham</t>
  </si>
  <si>
    <t>Symbols and Myths of Medicine</t>
  </si>
  <si>
    <t>Jerry W. Martin</t>
  </si>
  <si>
    <t>Martin, Jerry W.</t>
  </si>
  <si>
    <t>Acclaim Press</t>
  </si>
  <si>
    <t>to-read (#1760), mythology (#55)</t>
  </si>
  <si>
    <t>Being There</t>
  </si>
  <si>
    <t>Jerzy Kosiński</t>
  </si>
  <si>
    <t>Kosiński, Jerzy</t>
  </si>
  <si>
    <t>to-read (#974), novels (#23)</t>
  </si>
  <si>
    <t>The Fire This Time: A New Generation Speaks About Race</t>
  </si>
  <si>
    <t>Ward, Jesmyn</t>
  </si>
  <si>
    <t>to-read (#211), z-favorites-shelf (#4), 0 (#471)</t>
  </si>
  <si>
    <t>Edgar Cayce: The Sleeping Prophet</t>
  </si>
  <si>
    <t>Jess Stearn</t>
  </si>
  <si>
    <t>Stearn, Jess</t>
  </si>
  <si>
    <t>to-read (#928)</t>
  </si>
  <si>
    <t>The Financial Lives of the Poets</t>
  </si>
  <si>
    <t>Jess Walter</t>
  </si>
  <si>
    <t>Walter, Jess</t>
  </si>
  <si>
    <t>A Cure for Suicide</t>
  </si>
  <si>
    <t>Jesse Ball</t>
  </si>
  <si>
    <t>Ball, Jesse</t>
  </si>
  <si>
    <t>to-read (#134)</t>
  </si>
  <si>
    <t>The Way Through Doors</t>
  </si>
  <si>
    <t>to-read (#53)</t>
  </si>
  <si>
    <t>Why is the Penis Shaped Like That?: And Other Reflections on Being Human</t>
  </si>
  <si>
    <t>Jesse Bering</t>
  </si>
  <si>
    <t>Bering, Jesse</t>
  </si>
  <si>
    <t>Scientific American / Farrar, Straus and Giroux</t>
  </si>
  <si>
    <t>to-read (#149)</t>
  </si>
  <si>
    <t>Perv: The Sexual Deviant in All of Us</t>
  </si>
  <si>
    <t>to-read (#147)</t>
  </si>
  <si>
    <t>Tarot</t>
  </si>
  <si>
    <t>Jessica Hundley</t>
  </si>
  <si>
    <t>Hundley, Jessica</t>
  </si>
  <si>
    <t>Johannes Fiebig, Marcella Kroll, Thunderwing</t>
  </si>
  <si>
    <t>Taschen America Llc</t>
  </si>
  <si>
    <t>to-read (#1138)</t>
  </si>
  <si>
    <t>39 escritores y medio</t>
  </si>
  <si>
    <t>Jesús Marchamalo</t>
  </si>
  <si>
    <t>Marchamalo, Jesús</t>
  </si>
  <si>
    <t>Damian Flores</t>
  </si>
  <si>
    <t>to-read (#502), biographies-etc (#9)</t>
  </si>
  <si>
    <t>Donde se guardan los libros</t>
  </si>
  <si>
    <t>to-read (#501)</t>
  </si>
  <si>
    <t>Dictionary Stories: Short Fictions and Other Findings</t>
  </si>
  <si>
    <t>Jez Burrows</t>
  </si>
  <si>
    <t>Burrows, Jez</t>
  </si>
  <si>
    <t>to-read (#849)</t>
  </si>
  <si>
    <t>The Lowland</t>
  </si>
  <si>
    <t>Jhumpa Lahiri</t>
  </si>
  <si>
    <t>Lahiri, Jhumpa</t>
  </si>
  <si>
    <t>to-read (#70)</t>
  </si>
  <si>
    <t>Trick Mirror: Reflections on Self-Delusion</t>
  </si>
  <si>
    <t>Jia Tolentino</t>
  </si>
  <si>
    <t>Tolentino, Jia</t>
  </si>
  <si>
    <t>to-read (#331), essays (#2), nonfiction (#161)</t>
  </si>
  <si>
    <t>Crazy for You: The Making of Women's Madness</t>
  </si>
  <si>
    <t>Jill Astbury</t>
  </si>
  <si>
    <t>Astbury, Jill</t>
  </si>
  <si>
    <t>to-read (#2111), biblio-noonday-demon (#30)</t>
  </si>
  <si>
    <t>The Writer's Desk</t>
  </si>
  <si>
    <t>Jill Krementz</t>
  </si>
  <si>
    <t>Krementz, Jill</t>
  </si>
  <si>
    <t>John Updike</t>
  </si>
  <si>
    <t>to-read (#115)</t>
  </si>
  <si>
    <t>Why Does the World Exist?: An Existential Detective Story</t>
  </si>
  <si>
    <t>Jim Holt</t>
  </si>
  <si>
    <t>Holt, Jim</t>
  </si>
  <si>
    <t>Liveright Publishing Corporation</t>
  </si>
  <si>
    <t>to-read (#2089)</t>
  </si>
  <si>
    <t>Erased</t>
  </si>
  <si>
    <t>Jim Krusoe</t>
  </si>
  <si>
    <t>Krusoe, Jim</t>
  </si>
  <si>
    <t>to-read (#461)</t>
  </si>
  <si>
    <t>What Your Hands Reveal</t>
  </si>
  <si>
    <t>Jo Sheridan</t>
  </si>
  <si>
    <t>Sheridan, Jo</t>
  </si>
  <si>
    <t>Bell Publishing Co.</t>
  </si>
  <si>
    <t>to-read (#1878), 0 (#266)</t>
  </si>
  <si>
    <t>The Year of Magical Thinking</t>
  </si>
  <si>
    <t>Joan Didion</t>
  </si>
  <si>
    <t>Didion, Joan</t>
  </si>
  <si>
    <t>to-read (#753), nonfiction (#125)</t>
  </si>
  <si>
    <t>South and West: From a Notebook</t>
  </si>
  <si>
    <t>Nathaniel Rich</t>
  </si>
  <si>
    <t>to-read (#1840)</t>
  </si>
  <si>
    <t>Picnic at Hanging Rock</t>
  </si>
  <si>
    <t>Joan Lindsay</t>
  </si>
  <si>
    <t>Lindsay, Joan</t>
  </si>
  <si>
    <t>VINTAGE (RAND)</t>
  </si>
  <si>
    <t>to-read (#1779)</t>
  </si>
  <si>
    <t>The Persistent Desire: A Femme-Butch Reader</t>
  </si>
  <si>
    <t>Joan Nestle</t>
  </si>
  <si>
    <t>Nestle, Joan</t>
  </si>
  <si>
    <t>Alyson Books</t>
  </si>
  <si>
    <t>to-read (#2100)</t>
  </si>
  <si>
    <t>The Suicide Index: Putting My Father's Death in Order</t>
  </si>
  <si>
    <t>Joan Wickersham</t>
  </si>
  <si>
    <t>Wickersham, Joan</t>
  </si>
  <si>
    <t>Houghton Mifflin Harcourt</t>
  </si>
  <si>
    <t>to-read (#1994)</t>
  </si>
  <si>
    <t>Dancing at the Edge of Death: The Origins of the Labyrinth in the Paleolithic</t>
  </si>
  <si>
    <t>Jodi Lorimer</t>
  </si>
  <si>
    <t>Lorimer, Jodi</t>
  </si>
  <si>
    <t>Kharis Enterprises</t>
  </si>
  <si>
    <t>to-read (#2168), labyrinths (#6)</t>
  </si>
  <si>
    <t>It Came from the Closet: Queer Reflections on Horror</t>
  </si>
  <si>
    <t>Joe Vallese</t>
  </si>
  <si>
    <t>Vallese, Joe</t>
  </si>
  <si>
    <t>to-read (#1044), nonfiction (#262)</t>
  </si>
  <si>
    <t>What's Your Exit? A Literary Detour Through New Jersey</t>
  </si>
  <si>
    <t>Susanne Antonetta, Jackie Corley, Louise DeSalvo, J. Robert Lennon, Paul Lisicky, Timothy Liu, Joyce Carol Oates, Tom Perrotta, Robert Pinsky, Michael Aaron Rockland, Jason Biggs, Alicia Suskin Ostriker, Alicia A. Beale, J.C. Todd</t>
  </si>
  <si>
    <t>Word Riot Press</t>
  </si>
  <si>
    <t>to-read (#1045)</t>
  </si>
  <si>
    <t>Suspicious Minds: How Culture Shapes Madness</t>
  </si>
  <si>
    <t>Joel Gold</t>
  </si>
  <si>
    <t>Gold, Joel</t>
  </si>
  <si>
    <t>Ian Gold</t>
  </si>
  <si>
    <t>to-read (#2029)</t>
  </si>
  <si>
    <t>Stolen Focus: Why You Can't Pay Attention— and How to Think Deeply Again</t>
  </si>
  <si>
    <t>Johann Hari</t>
  </si>
  <si>
    <t>Hari, Johann</t>
  </si>
  <si>
    <t>Crown</t>
  </si>
  <si>
    <t>to-read (#1823), nonfiction (#254)</t>
  </si>
  <si>
    <t>Your Love is Not Good</t>
  </si>
  <si>
    <t>Johanna Hedva</t>
  </si>
  <si>
    <t>Hedva, Johanna</t>
  </si>
  <si>
    <t>to-read (#1193), novels (#162)</t>
  </si>
  <si>
    <t>The Ultimate Guide to the Rider Waite Tarot (Ultimate Guide to the Tarot, 1)</t>
  </si>
  <si>
    <t>Johannes Fiebig</t>
  </si>
  <si>
    <t>Fiebig, Johannes</t>
  </si>
  <si>
    <t>Evelin Burger</t>
  </si>
  <si>
    <t>to-read (#1016), 0 (#41), tarot (#3)</t>
  </si>
  <si>
    <t>Margaret Thatcher, Vol. 2: The Iron Lady</t>
  </si>
  <si>
    <t>John   Campbell</t>
  </si>
  <si>
    <t>Campbell, John</t>
  </si>
  <si>
    <t>to-read (#2315), biblio-shock-doctrine (#50)</t>
  </si>
  <si>
    <t>Indonesian Upheaval</t>
  </si>
  <si>
    <t>John   Hughes</t>
  </si>
  <si>
    <t>Hughes, John</t>
  </si>
  <si>
    <t>David McKay Co.</t>
  </si>
  <si>
    <t>to-read (#2303), biblio-shock-doctrine (#37)</t>
  </si>
  <si>
    <t>San Martín: Argentine Soldier, American Hero</t>
  </si>
  <si>
    <t>John   Lynch</t>
  </si>
  <si>
    <t>Lynch, John</t>
  </si>
  <si>
    <t>to-read (#2184), nonfiction (#213)</t>
  </si>
  <si>
    <t>Tis Pity She's a Whore</t>
  </si>
  <si>
    <t>John  Ford</t>
  </si>
  <si>
    <t>Ford, John</t>
  </si>
  <si>
    <t>Martin Wiggins</t>
  </si>
  <si>
    <t>Bloomsbury Methuen Drama</t>
  </si>
  <si>
    <t>to-read (#1468)</t>
  </si>
  <si>
    <t>What Is Cultural Studies?: A Reader</t>
  </si>
  <si>
    <t>John  Storey</t>
  </si>
  <si>
    <t>Storey, John</t>
  </si>
  <si>
    <t>Arnold</t>
  </si>
  <si>
    <t>to-read (#1830)</t>
  </si>
  <si>
    <t>Augustus</t>
  </si>
  <si>
    <t>John  Williams</t>
  </si>
  <si>
    <t>Williams, John</t>
  </si>
  <si>
    <t xml:space="preserve">biographies-etc, greeks-romans-etc, novels, to-read, </t>
  </si>
  <si>
    <t>to-read (#1192), novels (#161), greeks-romans-etc (#29), biographies-etc (#48)</t>
  </si>
  <si>
    <t>Stoner</t>
  </si>
  <si>
    <t>John McGahern</t>
  </si>
  <si>
    <t>to-read (#79), novels (#30), 0 (#370)</t>
  </si>
  <si>
    <t>The Problem of Time</t>
  </si>
  <si>
    <t>John Alexander Gunn</t>
  </si>
  <si>
    <t>Gunn, John Alexander</t>
  </si>
  <si>
    <t>G. Allen &amp; Unwin</t>
  </si>
  <si>
    <t>to-read (#1552)</t>
  </si>
  <si>
    <t>The Nature of Grief</t>
  </si>
  <si>
    <t>John Archer</t>
  </si>
  <si>
    <t>Archer, John</t>
  </si>
  <si>
    <t>to-read (#2108), biblio-noonday-demon (#27)</t>
  </si>
  <si>
    <t>Dictionary of Word Origins: Histories of More Than 8,000 English-Language Words</t>
  </si>
  <si>
    <t>John Ayto</t>
  </si>
  <si>
    <t>Ayto, John</t>
  </si>
  <si>
    <t xml:space="preserve">dictionaries-and-encyclopedias, history, to-read, </t>
  </si>
  <si>
    <t>to-read (#852), dictionaries-and-encyclopedias (#8), history (#9)</t>
  </si>
  <si>
    <t>The Sea</t>
  </si>
  <si>
    <t>Banville, John</t>
  </si>
  <si>
    <t>to-read (#83), awards-man-booker-prize-winners (#39)</t>
  </si>
  <si>
    <t>Art and Revolutiion</t>
  </si>
  <si>
    <t>John Berger</t>
  </si>
  <si>
    <t>Berger, John</t>
  </si>
  <si>
    <t>to-read (#1880), 0 (#355)</t>
  </si>
  <si>
    <t>G.</t>
  </si>
  <si>
    <t>to-read (#262), awards-man-booker-prize-winners (#5)</t>
  </si>
  <si>
    <t>And Our Faces, My Heart, Brief as Photos</t>
  </si>
  <si>
    <t>to-read (#611)</t>
  </si>
  <si>
    <t>Pig Earth</t>
  </si>
  <si>
    <t>to-read (#387)</t>
  </si>
  <si>
    <t>How Humans Relate: A New Interpersonal Theory (Human Evolution, Behavior, and Intelligence)</t>
  </si>
  <si>
    <t>John Birtchnell</t>
  </si>
  <si>
    <t>Birtchnell, John</t>
  </si>
  <si>
    <t>Praeger</t>
  </si>
  <si>
    <t>to-read (#2118), biblio-noonday-demon (#35)</t>
  </si>
  <si>
    <t>The Heart's Invisible Furies</t>
  </si>
  <si>
    <t>John Boyne</t>
  </si>
  <si>
    <t>Boyne, John</t>
  </si>
  <si>
    <t>Hogarth Press</t>
  </si>
  <si>
    <t>to-read (#763)</t>
  </si>
  <si>
    <t>The Pilgrim's Progress</t>
  </si>
  <si>
    <t>John Bunyan</t>
  </si>
  <si>
    <t>Bunyan, John</t>
  </si>
  <si>
    <t>to-read (#2170)</t>
  </si>
  <si>
    <t>Cocaine: An In-Depth Look at the Facts, Science, History and Future of the World's Most Addictive Drug</t>
  </si>
  <si>
    <t>John C. Flynn</t>
  </si>
  <si>
    <t>Flynn, John C.</t>
  </si>
  <si>
    <t>Birch Lane Pr</t>
  </si>
  <si>
    <t>to-read (#2163), biblio-noonday-demon (#69)</t>
  </si>
  <si>
    <t>Born in Blood and Fire: A Concise History of Latin America</t>
  </si>
  <si>
    <t>John Charles Chasteen</t>
  </si>
  <si>
    <t>Chasteen, John Charles</t>
  </si>
  <si>
    <t>to-read (#624), history (#40), nonfiction (#103)</t>
  </si>
  <si>
    <t>Go</t>
  </si>
  <si>
    <t>John Clellon Holmes</t>
  </si>
  <si>
    <t>Holmes, John Clellon</t>
  </si>
  <si>
    <t>Penguin Modern Classics</t>
  </si>
  <si>
    <t>to-read (#42)</t>
  </si>
  <si>
    <t>Unspeakable Acts, Ordinary People: The Dynamics of Torture</t>
  </si>
  <si>
    <t>John Conroy</t>
  </si>
  <si>
    <t>Conroy, John</t>
  </si>
  <si>
    <t>to-read (#2424), bib-torture (#32)</t>
  </si>
  <si>
    <t>The Search for the Manchurian Candidate: The CIA &amp; Mind Control</t>
  </si>
  <si>
    <t>John D. Marks</t>
  </si>
  <si>
    <t>Marks, John D.</t>
  </si>
  <si>
    <t>W.W. Norton &amp; Company (NYC/London)</t>
  </si>
  <si>
    <t>to-read (#2289), biblio-shock-doctrine (#23), bib-torture (#7)</t>
  </si>
  <si>
    <t>Personal Intelligence: The Power of Personality and How It Shapes Our Lives</t>
  </si>
  <si>
    <t>John D. Mayer</t>
  </si>
  <si>
    <t>Mayer, John D.</t>
  </si>
  <si>
    <t>to-read (#148)</t>
  </si>
  <si>
    <t>Art as Experience</t>
  </si>
  <si>
    <t>John Dewey</t>
  </si>
  <si>
    <t>Dewey, John</t>
  </si>
  <si>
    <t>TarcherPerigee</t>
  </si>
  <si>
    <t>to-read (#388)</t>
  </si>
  <si>
    <t>Assassination on Embassy Row</t>
  </si>
  <si>
    <t>John Dinges</t>
  </si>
  <si>
    <t>Dinges, John</t>
  </si>
  <si>
    <t>Saul Landau, Ariel Dorfman, Mark Crispin Miller</t>
  </si>
  <si>
    <t>to-read (#2272), biblio-shock-doctrine (#1)</t>
  </si>
  <si>
    <t>Biathanatos: A Declaration Of That Paradox Or Thesis That Self-Homicide Is Not So Naturally Sin, That It May Never Be Otherwise (1648)</t>
  </si>
  <si>
    <t>John Donne</t>
  </si>
  <si>
    <t>Donne, John</t>
  </si>
  <si>
    <t>Kessinger Publishing</t>
  </si>
  <si>
    <t>to-read (#2150), biblio-noonday-demon (#56)</t>
  </si>
  <si>
    <t>The Magus</t>
  </si>
  <si>
    <t>John Fowles</t>
  </si>
  <si>
    <t>Fowles, John</t>
  </si>
  <si>
    <t>to-read (#800), novels (#147)</t>
  </si>
  <si>
    <t>The Collector</t>
  </si>
  <si>
    <t>to-read (#759)</t>
  </si>
  <si>
    <t>Aladdin's Lamp: How Greek Science Came to Europe Through the Islamic World</t>
  </si>
  <si>
    <t>John Freely</t>
  </si>
  <si>
    <t>Freely, John</t>
  </si>
  <si>
    <t>to-read (#2077)</t>
  </si>
  <si>
    <t>Torture and the Law of Proof: Europe and England in the Ancien Régime</t>
  </si>
  <si>
    <t>John H. Langbein</t>
  </si>
  <si>
    <t>Langbein, John H.</t>
  </si>
  <si>
    <t>to-read (#2395), bib-torture (#3)</t>
  </si>
  <si>
    <t>Evil and the God of Love</t>
  </si>
  <si>
    <t>John Harwood Hick</t>
  </si>
  <si>
    <t>Hick, John Harwood</t>
  </si>
  <si>
    <t>to-read (#2085), philosophy (#56)</t>
  </si>
  <si>
    <t>The Blood Oranges</t>
  </si>
  <si>
    <t>John Hawkes</t>
  </si>
  <si>
    <t>Hawkes, John</t>
  </si>
  <si>
    <t>to-read (#119)</t>
  </si>
  <si>
    <t>Rhyme's Reason: A Guide to English Verse</t>
  </si>
  <si>
    <t>John Hollander</t>
  </si>
  <si>
    <t>Hollander, John</t>
  </si>
  <si>
    <t>J.D. McClatchy, Richard Wilbur</t>
  </si>
  <si>
    <t>to-read (#1396), poetry (#12), 0 (#319)</t>
  </si>
  <si>
    <t>The Mourning After: Loss and Longing among Midcentury American Men</t>
  </si>
  <si>
    <t>John Ibson</t>
  </si>
  <si>
    <t>Ibson, John</t>
  </si>
  <si>
    <t>to-read (#656), history (#19), nonfiction (#108), queer-gender-etc (#40)</t>
  </si>
  <si>
    <t>Men without Maps: Some Gay Males of the Generation before Stonewall</t>
  </si>
  <si>
    <t>to-read (#655), history (#21), nonfiction (#107), queer-gender-etc (#39)</t>
  </si>
  <si>
    <t>Gentrifier</t>
  </si>
  <si>
    <t>John Joe Schlichtman</t>
  </si>
  <si>
    <t>Schlichtman, John Joe</t>
  </si>
  <si>
    <t>Jason Patch, Marc Lamont Hill, Peter Marcuse</t>
  </si>
  <si>
    <t>University of Toronto Press</t>
  </si>
  <si>
    <t>to-read (#685)</t>
  </si>
  <si>
    <t>The Complete Poems</t>
  </si>
  <si>
    <t>John Keats</t>
  </si>
  <si>
    <t>Keats, John</t>
  </si>
  <si>
    <t>The Belknap press of Harvard University Press</t>
  </si>
  <si>
    <t>to-read (#1610), poetry (#9), 0 (#425)</t>
  </si>
  <si>
    <t>A Confederacy Of Dunces</t>
  </si>
  <si>
    <t>John Kennedy Toole</t>
  </si>
  <si>
    <t>Toole, John Kennedy</t>
  </si>
  <si>
    <t>Grove Press, Inc.</t>
  </si>
  <si>
    <t>to-read (#28), novels (#56), 0 (#365)</t>
  </si>
  <si>
    <t>The Great Crash 1929</t>
  </si>
  <si>
    <t>John Kenneth Galbraith</t>
  </si>
  <si>
    <t>Galbraith, John Kenneth</t>
  </si>
  <si>
    <t>to-read (#2295), biblio-shock-doctrine (#29)</t>
  </si>
  <si>
    <t>Political Parties and the Collapse of the Old Orders (Suny Series in Political Party Development)</t>
  </si>
  <si>
    <t>John Kenneth White</t>
  </si>
  <si>
    <t>White, John Kenneth</t>
  </si>
  <si>
    <t>State University of New York Press</t>
  </si>
  <si>
    <t>to-read (#2345), biblio-shock-doctrine (#69)</t>
  </si>
  <si>
    <t>How to Speak Money: What the Money People Say — And What It Really Means</t>
  </si>
  <si>
    <t>John Lanchester</t>
  </si>
  <si>
    <t>Lanchester, John</t>
  </si>
  <si>
    <t>to-read (#677)</t>
  </si>
  <si>
    <t>Annals of the Former World</t>
  </si>
  <si>
    <t>John McPhee</t>
  </si>
  <si>
    <t>McPhee, John</t>
  </si>
  <si>
    <t>to-read (#1997)</t>
  </si>
  <si>
    <t>Paradise Lost</t>
  </si>
  <si>
    <t>John Milton</t>
  </si>
  <si>
    <t>Milton, John</t>
  </si>
  <si>
    <t>to-read (#57)</t>
  </si>
  <si>
    <t>The New Rulers of the World</t>
  </si>
  <si>
    <t>John Pilger</t>
  </si>
  <si>
    <t>Pilger, John</t>
  </si>
  <si>
    <t>to-read (#2304), biblio-shock-doctrine (#38)</t>
  </si>
  <si>
    <t>Agency: The Rise and Decline of the CIA</t>
  </si>
  <si>
    <t>John Ranelagh</t>
  </si>
  <si>
    <t>Ranelagh, John</t>
  </si>
  <si>
    <t>to-read (#2405), bib-torture (#14)</t>
  </si>
  <si>
    <t>City of Night</t>
  </si>
  <si>
    <t>John Rechy</t>
  </si>
  <si>
    <t>Rechy, John</t>
  </si>
  <si>
    <t>Grove Press/Grove Atlantic, Inc.</t>
  </si>
  <si>
    <t>to-read (#198), queer-gender-etc (#21)</t>
  </si>
  <si>
    <t>Mind: A Brief Introduction (Fundamentals of Philosophy Series)</t>
  </si>
  <si>
    <t>John Rogers Searle</t>
  </si>
  <si>
    <t>Searle, John Rogers</t>
  </si>
  <si>
    <t>to-read (#1953)</t>
  </si>
  <si>
    <t>The Grapes of Wrath</t>
  </si>
  <si>
    <t>John Steinbeck</t>
  </si>
  <si>
    <t>Steinbeck, John</t>
  </si>
  <si>
    <t>to-read (#22), novels (#97)</t>
  </si>
  <si>
    <t>Of Mice and Men</t>
  </si>
  <si>
    <t>novels (#98)</t>
  </si>
  <si>
    <t>Grapes of Wrath</t>
  </si>
  <si>
    <t>to-read (#1338)</t>
  </si>
  <si>
    <t>East of Eden</t>
  </si>
  <si>
    <t>to-read (#62)</t>
  </si>
  <si>
    <t>Philosophy of Scientific Method</t>
  </si>
  <si>
    <t>John Stuart Mill</t>
  </si>
  <si>
    <t>Mill, John Stuart</t>
  </si>
  <si>
    <t>Hafner Press</t>
  </si>
  <si>
    <t>to-read (#1894), philosophy (#28), 0 (#447)</t>
  </si>
  <si>
    <t>Role Models</t>
  </si>
  <si>
    <t>John Waters</t>
  </si>
  <si>
    <t>Waters, John</t>
  </si>
  <si>
    <t>to-read (#409), nonfiction (#96)</t>
  </si>
  <si>
    <t>Lowboy</t>
  </si>
  <si>
    <t>John Wray</t>
  </si>
  <si>
    <t>Wray, John</t>
  </si>
  <si>
    <t>to-read (#532)</t>
  </si>
  <si>
    <t>Philosophical Dictionary</t>
  </si>
  <si>
    <t>John-Michael Kuczynski</t>
  </si>
  <si>
    <t>Kuczynski, John-Michael</t>
  </si>
  <si>
    <t>to-read (#873), dictionaries-and-encyclopedias (#21)</t>
  </si>
  <si>
    <t>The Psychology of C.G. Jung</t>
  </si>
  <si>
    <t>Jolande Jacobi</t>
  </si>
  <si>
    <t>Jacobi, Jolande</t>
  </si>
  <si>
    <t>Ralph Manheim, C.G. Jung</t>
  </si>
  <si>
    <t>Yale University Press (New Haven, CT)</t>
  </si>
  <si>
    <t>to-read (#1083)</t>
  </si>
  <si>
    <t>HTML and CSS: Design and Build Websites</t>
  </si>
  <si>
    <t>Jon Duckett</t>
  </si>
  <si>
    <t>Duckett, Jon</t>
  </si>
  <si>
    <t>to-read (#1640), 0 (#110)</t>
  </si>
  <si>
    <t>Plays One: Someone is Going to Come / The Name / The Guitar Man / The Child</t>
  </si>
  <si>
    <t>Jon Fosse</t>
  </si>
  <si>
    <t>Fosse, Jon</t>
  </si>
  <si>
    <t>Louis Muinzer, Gregory Motton</t>
  </si>
  <si>
    <t xml:space="preserve">plays, to-read, </t>
  </si>
  <si>
    <t>to-read (#282), plays (#25)</t>
  </si>
  <si>
    <t>The Other Name: Septology I-II</t>
  </si>
  <si>
    <t>Damion Searls</t>
  </si>
  <si>
    <t>to-read (#1691)</t>
  </si>
  <si>
    <t>Summer Light, and Then Comes the Night</t>
  </si>
  <si>
    <t>Jón Kalman Stefánsson</t>
  </si>
  <si>
    <t>Stefánsson, Jón Kalman</t>
  </si>
  <si>
    <t>Philip Roughton</t>
  </si>
  <si>
    <t>MacLehose Press</t>
  </si>
  <si>
    <t>to-read (#734), short-stories (#41)</t>
  </si>
  <si>
    <t>The Fall of Baghdad</t>
  </si>
  <si>
    <t>Jon Lee Anderson</t>
  </si>
  <si>
    <t>Anderson, Jon Lee</t>
  </si>
  <si>
    <t>Little, Brown</t>
  </si>
  <si>
    <t>to-read (#2362), biblio-shock-doctrine (#85)</t>
  </si>
  <si>
    <t>Che Guevara: A Revolutionary Life</t>
  </si>
  <si>
    <t>Grove Press (NYC)</t>
  </si>
  <si>
    <t>to-read (#631), biographies-etc (#12), nonfiction (#217)</t>
  </si>
  <si>
    <t>Lost Envoy: The Tarot Deck of Austin Osman Spare</t>
  </si>
  <si>
    <t>Jonathan        Allen</t>
  </si>
  <si>
    <t>Allen, Jonathan</t>
  </si>
  <si>
    <t>Mark Pilkington, Helen Farley, Gavin W. Semple, Austin Osman Spare, Phil Baker, Arthur Ivey, Sally O'Reilly, Alan Moore, Kevin O'Neill</t>
  </si>
  <si>
    <t>Strange Attractor Press</t>
  </si>
  <si>
    <t>to-read (#1529), tarot (#13)</t>
  </si>
  <si>
    <t>The Cambridge Companion to Aristotle</t>
  </si>
  <si>
    <t>Jonathan Barnes</t>
  </si>
  <si>
    <t>Barnes, Jonathan</t>
  </si>
  <si>
    <t xml:space="preserve">cambridge-companions, greeks-romans-etc, to-read, </t>
  </si>
  <si>
    <t>to-read (#892), greeks-romans-etc (#15), cambridge-companions (#2)</t>
  </si>
  <si>
    <t>Literary Theory: A Very Short Introduction</t>
  </si>
  <si>
    <t>Culler, Jonathan D.</t>
  </si>
  <si>
    <t>to-read (#1861)</t>
  </si>
  <si>
    <t>Reclaiming Sodom</t>
  </si>
  <si>
    <t>Jonathan Goldberg</t>
  </si>
  <si>
    <t>Goldberg, Jonathan</t>
  </si>
  <si>
    <t>to-read (#393)</t>
  </si>
  <si>
    <t>The Penetrated Male</t>
  </si>
  <si>
    <t>Jonathan Kemp</t>
  </si>
  <si>
    <t>Kemp, Jonathan</t>
  </si>
  <si>
    <t>Punctum Books</t>
  </si>
  <si>
    <t>to-read (#360)</t>
  </si>
  <si>
    <t>The Great Mistake</t>
  </si>
  <si>
    <t>Jonathan Lee</t>
  </si>
  <si>
    <t>Lee, Jonathan</t>
  </si>
  <si>
    <t>to-read (#728), novels (#137)</t>
  </si>
  <si>
    <t>Talking Heads' Fear of Music (33 1/3)</t>
  </si>
  <si>
    <t>Jonathan Lethem</t>
  </si>
  <si>
    <t>Lethem, Jonathan</t>
  </si>
  <si>
    <t>Bloomsbury Academic</t>
  </si>
  <si>
    <t>to-read (#1354), nonfiction (#68), 0 (#489)</t>
  </si>
  <si>
    <t>The Disappointment Artist</t>
  </si>
  <si>
    <t>to-read (#316)</t>
  </si>
  <si>
    <t>The Protest Psychosis: How Schizophrenia Became a Black Disease</t>
  </si>
  <si>
    <t>Jonathan M. Metzl</t>
  </si>
  <si>
    <t>Metzl, Jonathan M.</t>
  </si>
  <si>
    <t>to-read (#166)</t>
  </si>
  <si>
    <t>Love Stories: Sex Between Men Before Homosexuality</t>
  </si>
  <si>
    <t>Jonathan Ned Katz</t>
  </si>
  <si>
    <t>Katz, Jonathan Ned</t>
  </si>
  <si>
    <t xml:space="preserve">biographies-etc, history, queer-gender-etc, to-read, </t>
  </si>
  <si>
    <t>to-read (#658), history (#17), biographies-etc (#41), queer-gender-etc (#41)</t>
  </si>
  <si>
    <t>The Invention of Heterosexuality</t>
  </si>
  <si>
    <t>Gore Vidal, Lisa  Duggan</t>
  </si>
  <si>
    <t xml:space="preserve">history, queer-gender-etc, to-read, </t>
  </si>
  <si>
    <t>to-read (#659), history (#16), queer-gender-etc (#42)</t>
  </si>
  <si>
    <t>Gay American History: Lesbians and Gay Men in the U.S.A.</t>
  </si>
  <si>
    <t>to-read (#159), history (#60), queer-gender-etc (#13)</t>
  </si>
  <si>
    <t>A Century of Weird Fiction, 1832–1937: Disgust, Metaphysics, and the Aesthetics of Cosmic Horror</t>
  </si>
  <si>
    <t>Jonathan Newell</t>
  </si>
  <si>
    <t>Newell, Jonathan</t>
  </si>
  <si>
    <t>University of Wales Press</t>
  </si>
  <si>
    <t>to-read (#548)</t>
  </si>
  <si>
    <t>The Empire of Depression: A New History</t>
  </si>
  <si>
    <t>Jonathan Sadowsky</t>
  </si>
  <si>
    <t>Sadowsky, Jonathan</t>
  </si>
  <si>
    <t>to-read (#1933)</t>
  </si>
  <si>
    <t>A Dictionary of Family History: The Genealogists' ABC (A Guide For Family Historians)</t>
  </si>
  <si>
    <t>Jonathan Scott</t>
  </si>
  <si>
    <t>Scott, Jonathan</t>
  </si>
  <si>
    <t>Pen and Sword Family History</t>
  </si>
  <si>
    <t>to-read (#1958)</t>
  </si>
  <si>
    <t>The Listeners</t>
  </si>
  <si>
    <t>Jordan Tannahill</t>
  </si>
  <si>
    <t>Tannahill, Jordan</t>
  </si>
  <si>
    <t>HarperAvenue</t>
  </si>
  <si>
    <t>to-read (#826)</t>
  </si>
  <si>
    <t>La semilla inmortal: Los argumentos universales en el cine</t>
  </si>
  <si>
    <t>Jordi Balló</t>
  </si>
  <si>
    <t>Balló, Jordi</t>
  </si>
  <si>
    <t>Xavier Pérez, Joaquim Jordà</t>
  </si>
  <si>
    <t>to-read (#2438), nonfiction (#277)</t>
  </si>
  <si>
    <t>Selected Poems</t>
  </si>
  <si>
    <t>Borges, Jorge Luis</t>
  </si>
  <si>
    <t>Alexander Coleman</t>
  </si>
  <si>
    <t>to-read (#1022), z-favorites-shelf (#13), 0 (#284), poetry (#48)</t>
  </si>
  <si>
    <t>Conversations, Volume 1</t>
  </si>
  <si>
    <t>Osvaldo Ferrari, Jason   Wilson</t>
  </si>
  <si>
    <t>Seagull Books</t>
  </si>
  <si>
    <t>to-read (#1881), z-favorites-shelf (#6), 0 (#553)</t>
  </si>
  <si>
    <t>La memoria de Shakespeare</t>
  </si>
  <si>
    <t>Emecé Editores</t>
  </si>
  <si>
    <t>to-read (#1866), 0 (#248), z-favorites-shelf (#30)</t>
  </si>
  <si>
    <t>El libro de los seres imaginarios</t>
  </si>
  <si>
    <t>Margarita Guerrero</t>
  </si>
  <si>
    <t>Bruguera</t>
  </si>
  <si>
    <t>to-read (#1892), z-favorites-shelf (#8), 0 (#446)</t>
  </si>
  <si>
    <t>not the same edition but close in year</t>
  </si>
  <si>
    <t>Antología de la literatura fantástica</t>
  </si>
  <si>
    <t>Silvina Ocampo, Adolfo Bioy Casares</t>
  </si>
  <si>
    <t>to-read (#1796), short-stories (#23), 0 (#435)</t>
  </si>
  <si>
    <t>1971 edition</t>
  </si>
  <si>
    <t>Historia universal de la infamia</t>
  </si>
  <si>
    <t>to-read (#1026), z-favorites-shelf (#10), 0 (#399)</t>
  </si>
  <si>
    <t>Ficciones</t>
  </si>
  <si>
    <t>Alianza Editorial S.A.</t>
  </si>
  <si>
    <t>to-read (#1025), z-favorites-shelf (#9), 0 (#398)</t>
  </si>
  <si>
    <t>Selected Non-Fictions</t>
  </si>
  <si>
    <t>Suzanne Jill Levine, Esther Allen, Eliot Weinberger</t>
  </si>
  <si>
    <t>to-read (#1020), z-favorites-shelf (#12), 0 (#396)</t>
  </si>
  <si>
    <t>El Idioma de los Argentinos</t>
  </si>
  <si>
    <t>Editorial Seix Barral</t>
  </si>
  <si>
    <t>to-read (#1023), z-favorites-shelf (#7), 0 (#397)</t>
  </si>
  <si>
    <t>Personal Anthology</t>
  </si>
  <si>
    <t>Anthony Kerrigan</t>
  </si>
  <si>
    <t>Grove Press/Atlantic (NY)</t>
  </si>
  <si>
    <t>to-read (#1024), z-favorites-shelf (#11), 0 (#302)</t>
  </si>
  <si>
    <t>Collected Fictions</t>
  </si>
  <si>
    <t>Andrew Hurley</t>
  </si>
  <si>
    <t>to-read (#1021), z-favorites-shelf (#5), 0 (#301)</t>
  </si>
  <si>
    <t>The Book of Sand and Shakespeare's Memory</t>
  </si>
  <si>
    <t>Norman Thomas di Giovanni</t>
  </si>
  <si>
    <t>to-read (#1769)</t>
  </si>
  <si>
    <t>Professor Borges: A Course on English Literature</t>
  </si>
  <si>
    <t>Katherine Silver, Martín Arias, Martin Hadis</t>
  </si>
  <si>
    <t>to-read (#1567)</t>
  </si>
  <si>
    <t>On Argentina (Penguin Classics)</t>
  </si>
  <si>
    <t>Alfred Mac Adam, Suzanne Jill Levine</t>
  </si>
  <si>
    <t>to-read (#129)</t>
  </si>
  <si>
    <t>Biblioteca Personal</t>
  </si>
  <si>
    <t>Alianza</t>
  </si>
  <si>
    <t>to-read (#701)</t>
  </si>
  <si>
    <t>The Damned</t>
  </si>
  <si>
    <t>Joris-Karl Huysmans</t>
  </si>
  <si>
    <t>Huysmans, Joris-Karl</t>
  </si>
  <si>
    <t>Terry Hale</t>
  </si>
  <si>
    <t>to-read (#179)</t>
  </si>
  <si>
    <t>El arte de pensar (Ensayo)</t>
  </si>
  <si>
    <t>José Carlos Ruiz</t>
  </si>
  <si>
    <t>Ruiz, José Carlos</t>
  </si>
  <si>
    <t>Editorial Berenice</t>
  </si>
  <si>
    <t>to-read (#484)</t>
  </si>
  <si>
    <t>El lugar sin límites</t>
  </si>
  <si>
    <t>José Donoso</t>
  </si>
  <si>
    <t>Donoso, José</t>
  </si>
  <si>
    <t>Joaquín Mortiz</t>
  </si>
  <si>
    <t xml:space="preserve">0, books-from-twitter, novels, to-read, </t>
  </si>
  <si>
    <t>to-read (#999), novels (#64), 0 (#298), books-from-twitter (#36)</t>
  </si>
  <si>
    <t>The Obscene Bird of Night</t>
  </si>
  <si>
    <t>Hardie St. Martin</t>
  </si>
  <si>
    <t>David R. Godine, Publisher</t>
  </si>
  <si>
    <t>to-read (#538)</t>
  </si>
  <si>
    <t>Cruising Utopia: The Then and There of Queer Futurity</t>
  </si>
  <si>
    <t>José Esteban Muñoz</t>
  </si>
  <si>
    <t>Muñoz, José Esteban</t>
  </si>
  <si>
    <t>to-read (#307)</t>
  </si>
  <si>
    <t>The Vortex</t>
  </si>
  <si>
    <t>José Eustasio Rivera</t>
  </si>
  <si>
    <t>Rivera, José Eustasio</t>
  </si>
  <si>
    <t>to-read (#1765), books-from-twitter (#31)</t>
  </si>
  <si>
    <t>El hombre mediocre</t>
  </si>
  <si>
    <t>José Ingenieros</t>
  </si>
  <si>
    <t>Ingenieros, José</t>
  </si>
  <si>
    <t>Longseller</t>
  </si>
  <si>
    <t>to-read (#1772)</t>
  </si>
  <si>
    <t>Latinoamérica, las ciudades y las ideas</t>
  </si>
  <si>
    <t>José Luis Romero</t>
  </si>
  <si>
    <t>Romero, José Luis</t>
  </si>
  <si>
    <t>Rafael Gutiérrez Girardot</t>
  </si>
  <si>
    <t>Siglo Veintiuno Editores</t>
  </si>
  <si>
    <t>to-read (#488)</t>
  </si>
  <si>
    <t>Breve historia de la Argentina</t>
  </si>
  <si>
    <t>Fondo de Cultura Economica</t>
  </si>
  <si>
    <t>to-read (#421)</t>
  </si>
  <si>
    <t>Buenos muchachos (Spanish Edition)</t>
  </si>
  <si>
    <t>José Natanson</t>
  </si>
  <si>
    <t>Natanson, José</t>
  </si>
  <si>
    <t>Libros del Zorzal</t>
  </si>
  <si>
    <t>to-read (#2283), biblio-shock-doctrine (#15), books-about-argentina (#17)</t>
  </si>
  <si>
    <t>History as a System and other Essays Toward a Philosophy of History</t>
  </si>
  <si>
    <t>José Ortega y Gasset</t>
  </si>
  <si>
    <t>Gasset, José Ortega y</t>
  </si>
  <si>
    <t>John William Miller, Helene Weyl</t>
  </si>
  <si>
    <t>to-read (#874), history (#44), philosophy (#42)</t>
  </si>
  <si>
    <t>The Revolt of the Masses</t>
  </si>
  <si>
    <t>to-read (#2005)</t>
  </si>
  <si>
    <t>Investigating Sex: Surrealist Discussions</t>
  </si>
  <si>
    <t>José Pierre</t>
  </si>
  <si>
    <t>Pierre, José</t>
  </si>
  <si>
    <t>Joann Wypijewski, Dawn Ades</t>
  </si>
  <si>
    <t xml:space="preserve">0, queer-gender-etc, to-read, </t>
  </si>
  <si>
    <t>to-read (#1012), 0 (#169), queer-gender-etc (#8)</t>
  </si>
  <si>
    <t>Cain</t>
  </si>
  <si>
    <t>José Saramago</t>
  </si>
  <si>
    <t>Saramago, José</t>
  </si>
  <si>
    <t>to-read (#150), novels (#68), 0 (#466)</t>
  </si>
  <si>
    <t>Interaction of Color</t>
  </si>
  <si>
    <t>Josef Albers</t>
  </si>
  <si>
    <t>Albers, Josef</t>
  </si>
  <si>
    <t>Nicholas Fox Weber</t>
  </si>
  <si>
    <t>to-read (#443)</t>
  </si>
  <si>
    <t>Capitalismo y democracia 1756-1848: Cómo empezó este engaño (Serie Mayor) (Spanish Edition)</t>
  </si>
  <si>
    <t>Josep Fontana</t>
  </si>
  <si>
    <t>Fontana, Josep</t>
  </si>
  <si>
    <t>Silvia Furió</t>
  </si>
  <si>
    <t>Editorial Crítica</t>
  </si>
  <si>
    <t>to-read (#639)</t>
  </si>
  <si>
    <t>The Angel of Santa Sofia</t>
  </si>
  <si>
    <t>Josep M. Argemí</t>
  </si>
  <si>
    <t>Argemí, Josep M.</t>
  </si>
  <si>
    <t>Tiago Miller</t>
  </si>
  <si>
    <t>Fum D'Estampa Press</t>
  </si>
  <si>
    <t>to-read (#2225), books-from-twitter (#52)</t>
  </si>
  <si>
    <t>Viaje en autobús (Áncora &amp; Delfín) (Spanish Edition)</t>
  </si>
  <si>
    <t>Josep Pla</t>
  </si>
  <si>
    <t>Pla, Josep</t>
  </si>
  <si>
    <t>Ediciones Destino</t>
  </si>
  <si>
    <t>to-read (#515)</t>
  </si>
  <si>
    <t>Why Do I Do That?</t>
  </si>
  <si>
    <t>Joseph  Burgo</t>
  </si>
  <si>
    <t>Burgo, Joseph</t>
  </si>
  <si>
    <t>New Rise Press</t>
  </si>
  <si>
    <t>to-read (#2047)</t>
  </si>
  <si>
    <t>Peron: A Biography</t>
  </si>
  <si>
    <t>Joseph A. Page</t>
  </si>
  <si>
    <t>Page, Joseph A.</t>
  </si>
  <si>
    <t xml:space="preserve">argentina, biographies-etc, to-read, </t>
  </si>
  <si>
    <t>to-read (#2178), biographies-etc (#61), argentina (#2)</t>
  </si>
  <si>
    <t>A Field Guide to Imaginary Trees</t>
  </si>
  <si>
    <t>Joseph Bulgatz</t>
  </si>
  <si>
    <t>Bulgatz, Joseph</t>
  </si>
  <si>
    <t>Xlibris</t>
  </si>
  <si>
    <t>to-read (#1762)</t>
  </si>
  <si>
    <t>The Hero With a Thousand Faces</t>
  </si>
  <si>
    <t>Joseph Campbell</t>
  </si>
  <si>
    <t>Campbell, Joseph</t>
  </si>
  <si>
    <t>to-read (#1145), mythology (#23)</t>
  </si>
  <si>
    <t>The Ecstasy of Being: Mythology and Dance</t>
  </si>
  <si>
    <t>New World Library</t>
  </si>
  <si>
    <t>to-read (#2091)</t>
  </si>
  <si>
    <t>The Mythic Image</t>
  </si>
  <si>
    <t>to-read (#1334)</t>
  </si>
  <si>
    <t>Tarot: The Path to Wisdom</t>
  </si>
  <si>
    <t>Joseph D'Agostino</t>
  </si>
  <si>
    <t>D'Agostino, Joseph</t>
  </si>
  <si>
    <t>to-read (#1061), tarot (#12)</t>
  </si>
  <si>
    <t>Kabbalah: A Very Short Introduction</t>
  </si>
  <si>
    <t>Joseph Dan</t>
  </si>
  <si>
    <t>Dan, Joseph</t>
  </si>
  <si>
    <t>to-read (#1811)</t>
  </si>
  <si>
    <t>Globalization and Its Discontents</t>
  </si>
  <si>
    <t>Joseph E. Stiglitz</t>
  </si>
  <si>
    <t>Stiglitz, Joseph E.</t>
  </si>
  <si>
    <t xml:space="preserve">0, biblio-shock-doctrine, nonfiction, to-read, </t>
  </si>
  <si>
    <t>to-read (#1415), nonfiction (#8), 0 (#416), biblio-shock-doctrine (#57)</t>
  </si>
  <si>
    <t>Python: A Study of Delphic Myth and Its Origins</t>
  </si>
  <si>
    <t>Joseph Eddy Fontenrose</t>
  </si>
  <si>
    <t>Fontenrose, Joseph Eddy</t>
  </si>
  <si>
    <t>University of California Press (Berkeley/LA)</t>
  </si>
  <si>
    <t>to-read (#1473)</t>
  </si>
  <si>
    <t>China Since Tiananmen: The Politics of Transition</t>
  </si>
  <si>
    <t>Joseph Fewsmith</t>
  </si>
  <si>
    <t>Fewsmith, Joseph</t>
  </si>
  <si>
    <t>to-read (#2322), biblio-shock-doctrine (#58)</t>
  </si>
  <si>
    <t>Catch-22</t>
  </si>
  <si>
    <t>Joseph Heller</t>
  </si>
  <si>
    <t>Heller, Joseph</t>
  </si>
  <si>
    <t>to-read (#127), novels (#4), 0 (#288)</t>
  </si>
  <si>
    <t>Phenomenology: The Philosophy of Edmund Husserl and Its Interpretation</t>
  </si>
  <si>
    <t>Joseph J. Kockelmans</t>
  </si>
  <si>
    <t>Kockelmans, Joseph J.</t>
  </si>
  <si>
    <t>to-read (#1351)</t>
  </si>
  <si>
    <t>The Penguin Book of Exorcisms</t>
  </si>
  <si>
    <t>Joseph Laycock</t>
  </si>
  <si>
    <t>Laycock, Joseph</t>
  </si>
  <si>
    <t>to-read (#1445)</t>
  </si>
  <si>
    <t>Women and Men</t>
  </si>
  <si>
    <t>Joseph McElroy</t>
  </si>
  <si>
    <t>McElroy, Joseph</t>
  </si>
  <si>
    <t>to-read (#1111), books-from-twitter (#7), novels (#193)</t>
  </si>
  <si>
    <t>Night Soul and Other Stories</t>
  </si>
  <si>
    <t>to-read (#109), short-stories (#30)</t>
  </si>
  <si>
    <t>The Dog</t>
  </si>
  <si>
    <t>Joseph O'Neill</t>
  </si>
  <si>
    <t>O'Neill, Joseph</t>
  </si>
  <si>
    <t>to-read (#141)</t>
  </si>
  <si>
    <t>Cold Hands</t>
  </si>
  <si>
    <t>Joseph Pintauro</t>
  </si>
  <si>
    <t>Pintauro, Joseph</t>
  </si>
  <si>
    <t>to-read (#791), novels (#146), queer-gender-etc (#50)</t>
  </si>
  <si>
    <t>To Assume a Pleasing Shape (American Readers Series)</t>
  </si>
  <si>
    <t>Joseph Salvatore</t>
  </si>
  <si>
    <t>Salvatore, Joseph</t>
  </si>
  <si>
    <t>to-read (#1403), poetry (#41), 0 (#496)</t>
  </si>
  <si>
    <t>Effective Java</t>
  </si>
  <si>
    <t>Joshua Bloch</t>
  </si>
  <si>
    <t>Bloch, Joshua</t>
  </si>
  <si>
    <t>to-read (#1009), 0 (#97)</t>
  </si>
  <si>
    <t>To Rise Again at a Decent Hour</t>
  </si>
  <si>
    <t>Joshua Ferris</t>
  </si>
  <si>
    <t>Ferris, Joshua</t>
  </si>
  <si>
    <t>to-read (#117), novels (#111)</t>
  </si>
  <si>
    <t>Poets on Teaching: A Sourcebook</t>
  </si>
  <si>
    <t>Joshua Marie Wilkinson</t>
  </si>
  <si>
    <t>Wilkinson, Joshua Marie</t>
  </si>
  <si>
    <t>to-read (#780)</t>
  </si>
  <si>
    <t>Anne Carson: Ecstatic Lyre (Under Discussion)</t>
  </si>
  <si>
    <t>to-read (#671)</t>
  </si>
  <si>
    <t>Because It Is Bitter, and Because It Is My Heart</t>
  </si>
  <si>
    <t>Joyce Carol Oates</t>
  </si>
  <si>
    <t>Oates, Joyce Carol</t>
  </si>
  <si>
    <t>to-read (#1654)</t>
  </si>
  <si>
    <t>El pozo</t>
  </si>
  <si>
    <t>Juan Carlos Onetti</t>
  </si>
  <si>
    <t>Onetti, Juan Carlos</t>
  </si>
  <si>
    <t>Punto de Lectura</t>
  </si>
  <si>
    <t>to-read (#470)</t>
  </si>
  <si>
    <t>A Dictionary of Symbols</t>
  </si>
  <si>
    <t>Juan Eduardo Cirlot</t>
  </si>
  <si>
    <t>Cirlot, Juan Eduardo</t>
  </si>
  <si>
    <t>Philosophical Library</t>
  </si>
  <si>
    <t>to-read (#370), 0 (#6), mythology (#5)</t>
  </si>
  <si>
    <t>El ojo en la mitología. Su simbolismo</t>
  </si>
  <si>
    <t>WunderKammer</t>
  </si>
  <si>
    <t>to-read (#1094)</t>
  </si>
  <si>
    <t>El mundo del objeto a la luz del surrealismo</t>
  </si>
  <si>
    <t>Anthropos</t>
  </si>
  <si>
    <t>to-read (#504)</t>
  </si>
  <si>
    <t>Pinochet's Economists: The Chicago School of Economics in Chile (Historical Perspectives on Modern Economics)</t>
  </si>
  <si>
    <t>Juan Gabriel Valdés</t>
  </si>
  <si>
    <t>Valdés, Juan Gabriel</t>
  </si>
  <si>
    <t>to-read (#2299), biblio-shock-doctrine (#33)</t>
  </si>
  <si>
    <t>The Sound of Things Falling</t>
  </si>
  <si>
    <t>Juan Gabriel Vásquez</t>
  </si>
  <si>
    <t>Vásquez, Juan Gabriel</t>
  </si>
  <si>
    <t>Anne McLean</t>
  </si>
  <si>
    <t>to-read (#2211)</t>
  </si>
  <si>
    <t>Dark Times Filled with Light</t>
  </si>
  <si>
    <t>Juan Gelman</t>
  </si>
  <si>
    <t>Gelman, Juan</t>
  </si>
  <si>
    <t>to-read (#789)</t>
  </si>
  <si>
    <t>Exiled from Almost Everywhere (Spanish Literature)</t>
  </si>
  <si>
    <t>Juan Goytisolo</t>
  </si>
  <si>
    <t>Goytisolo, Juan</t>
  </si>
  <si>
    <t>Peter Bush</t>
  </si>
  <si>
    <t>to-read (#1202)</t>
  </si>
  <si>
    <t>El guardagujas</t>
  </si>
  <si>
    <t>Juan José Arreola</t>
  </si>
  <si>
    <t>Arreola, Juan José</t>
  </si>
  <si>
    <t>Petra Ediciones</t>
  </si>
  <si>
    <t>to-read (#1450)</t>
  </si>
  <si>
    <t>Confabulario (Spanish Edition)</t>
  </si>
  <si>
    <t>ED JOAQUIN MORTIZ (ME)</t>
  </si>
  <si>
    <t>to-read (#787)</t>
  </si>
  <si>
    <t>Desde la sombra</t>
  </si>
  <si>
    <t>Juan José Millás</t>
  </si>
  <si>
    <t>Millás, Juan José</t>
  </si>
  <si>
    <t>Seix Barral</t>
  </si>
  <si>
    <t>to-read (#158)</t>
  </si>
  <si>
    <t>Fiesta en la madriguera</t>
  </si>
  <si>
    <t>Juan Pablo Villalobos</t>
  </si>
  <si>
    <t>Villalobos, Juan Pablo</t>
  </si>
  <si>
    <t>to-read (#522)</t>
  </si>
  <si>
    <t>La Chaco</t>
  </si>
  <si>
    <t>Juan Solá</t>
  </si>
  <si>
    <t>Solá, Juan</t>
  </si>
  <si>
    <t>Hojas del Sur</t>
  </si>
  <si>
    <t>to-read (#442)</t>
  </si>
  <si>
    <t>Annemarie Heinrich: Un cuerpo, una Luz, un reflejo (English/Spanish Edition)</t>
  </si>
  <si>
    <t>Juan Travnik</t>
  </si>
  <si>
    <t>Travnik, Juan</t>
  </si>
  <si>
    <t>Annemarie Heinrich, Ediciones Lariviere</t>
  </si>
  <si>
    <t>Zagier &amp; Urruty Pubns</t>
  </si>
  <si>
    <t xml:space="preserve">biographies-etc, photography, to-read, </t>
  </si>
  <si>
    <t>to-read (#555), biographies-etc (#5), photography (#6)</t>
  </si>
  <si>
    <t>Copy-Editing: The Cambridge Handbook for Editors, Authors and Publishers</t>
  </si>
  <si>
    <t>Judith Butcher</t>
  </si>
  <si>
    <t>Butcher, Judith</t>
  </si>
  <si>
    <t>to-read (#347)</t>
  </si>
  <si>
    <t>Frames of War: When is Life Grievable?</t>
  </si>
  <si>
    <t>Judith Butler</t>
  </si>
  <si>
    <t>Butler, Judith</t>
  </si>
  <si>
    <t xml:space="preserve">0, philosophy, to-read, war, </t>
  </si>
  <si>
    <t>to-read (#256), war (#2), philosophy (#8), 0 (#473)</t>
  </si>
  <si>
    <t>Gender Trouble: Feminism and the Subversion of Identity</t>
  </si>
  <si>
    <t>to-read (#1982)</t>
  </si>
  <si>
    <t>Bodies That Matter: On the Discursive Limits of "Sex"</t>
  </si>
  <si>
    <t>to-read (#1974)</t>
  </si>
  <si>
    <t>Never Enough: The Neuroscience and Experience of Addiction</t>
  </si>
  <si>
    <t>Judith Grisel</t>
  </si>
  <si>
    <t>Grisel, Judith</t>
  </si>
  <si>
    <t>to-read (#1827)</t>
  </si>
  <si>
    <t>An Inventory of Losses</t>
  </si>
  <si>
    <t>Judith Schalansky</t>
  </si>
  <si>
    <t>Schalansky, Judith</t>
  </si>
  <si>
    <t>Jackie Smith</t>
  </si>
  <si>
    <t>to-read (#922)</t>
  </si>
  <si>
    <t>Radical Attention</t>
  </si>
  <si>
    <t>Julia Bell</t>
  </si>
  <si>
    <t>Bell, Julia</t>
  </si>
  <si>
    <t>Peninsula Press</t>
  </si>
  <si>
    <t>to-read (#1828)</t>
  </si>
  <si>
    <t>Black Sun</t>
  </si>
  <si>
    <t>Julia Kristeva</t>
  </si>
  <si>
    <t>Kristeva, Julia</t>
  </si>
  <si>
    <t>Leon Roudiez</t>
  </si>
  <si>
    <t>to-read (#2007), biblio-noonday-demon (#10)</t>
  </si>
  <si>
    <t>La ilusión de los mamíferos</t>
  </si>
  <si>
    <t>Julián  López</t>
  </si>
  <si>
    <t>López, Julián</t>
  </si>
  <si>
    <t>to-read (#513)</t>
  </si>
  <si>
    <t>How the World Thinks: A Global History of Philosophy</t>
  </si>
  <si>
    <t>Julian Baggini</t>
  </si>
  <si>
    <t>Baggini, Julian</t>
  </si>
  <si>
    <t>Granta Books</t>
  </si>
  <si>
    <t>to-read (#751), history (#14), philosophy (#38)</t>
  </si>
  <si>
    <t>The Sense of an Ending</t>
  </si>
  <si>
    <t>Julian Barnes</t>
  </si>
  <si>
    <t>Barnes, Julian</t>
  </si>
  <si>
    <t>to-read (#1316), awards-man-booker-prize-winners (#45)</t>
  </si>
  <si>
    <t>La casa del dolor ajeno (Spanish Edition)</t>
  </si>
  <si>
    <t>Julián Herbert</t>
  </si>
  <si>
    <t>Herbert, Julián</t>
  </si>
  <si>
    <t>RANDOM HOUSE</t>
  </si>
  <si>
    <t>to-read (#574)</t>
  </si>
  <si>
    <t>The Origin of Consciousness in the Breakdown of the Bicameral Mind</t>
  </si>
  <si>
    <t>Julian Jaynes</t>
  </si>
  <si>
    <t>Jaynes, Julian</t>
  </si>
  <si>
    <t>to-read (#615)</t>
  </si>
  <si>
    <t>History of Philosophy (Historia de la Filosofia)</t>
  </si>
  <si>
    <t>Julián Marías</t>
  </si>
  <si>
    <t>Marías, Julián</t>
  </si>
  <si>
    <t>Stanley Appelbaum, Xavier Zubiri, José Ortega y Gasset, Clarence C. Strowbridge</t>
  </si>
  <si>
    <t>to-read (#886), history (#28), philosophy (#46)</t>
  </si>
  <si>
    <t>Larva y otras noches de Babel (Antología)</t>
  </si>
  <si>
    <t>Julián Ríos</t>
  </si>
  <si>
    <t>Ríos, Julián</t>
  </si>
  <si>
    <t>Fondo de Cultura Económica USA</t>
  </si>
  <si>
    <t>to-read (#1603), books-from-twitter (#23)</t>
  </si>
  <si>
    <t>The Human Rights Manifesto</t>
  </si>
  <si>
    <t>Julie Wark</t>
  </si>
  <si>
    <t>Wark, Julie</t>
  </si>
  <si>
    <t>to-read (#250)</t>
  </si>
  <si>
    <t>Ceremonias (Spanish Edition)</t>
  </si>
  <si>
    <t>Julio Cortázar</t>
  </si>
  <si>
    <t>Cortázar, Julio</t>
  </si>
  <si>
    <t>to-read (#1425), short-stories (#11), 0 (#504)</t>
  </si>
  <si>
    <t>Cuentos completos 1: 1945-1966</t>
  </si>
  <si>
    <t>Debolsillo</t>
  </si>
  <si>
    <t>to-read (#1376), short-stories (#17), 0 (#410)</t>
  </si>
  <si>
    <t>Hopscotch</t>
  </si>
  <si>
    <t>to-read (#1070), novels (#6), 0 (#384)</t>
  </si>
  <si>
    <t>Todos los Fuegos el Fuego</t>
  </si>
  <si>
    <t>Editorial Sudamericana</t>
  </si>
  <si>
    <t>to-read (#1029), short-stories (#24), 0 (#303)</t>
  </si>
  <si>
    <t>Cuentos completos 1</t>
  </si>
  <si>
    <t>Mario Vargas Llosa</t>
  </si>
  <si>
    <t>Aguilar, Altea, Taurus, Alfaguara, S.A. de C.V.</t>
  </si>
  <si>
    <t>to-read (#1032)</t>
  </si>
  <si>
    <t>Revolt Against the Modern World</t>
  </si>
  <si>
    <t>Julius Evola</t>
  </si>
  <si>
    <t>Evola, Julius</t>
  </si>
  <si>
    <t>Inner Traditions</t>
  </si>
  <si>
    <t>to-read (#593), nonfiction (#191)</t>
  </si>
  <si>
    <t>Androgyny: Toward a New Theory of Sexuality</t>
  </si>
  <si>
    <t>June K. Singer</t>
  </si>
  <si>
    <t>Singer, June K.</t>
  </si>
  <si>
    <t>Anchor/Doubleday (Garden City, NY)</t>
  </si>
  <si>
    <t>to-read (#1030)</t>
  </si>
  <si>
    <t>Greek Homosexuality</t>
  </si>
  <si>
    <t>K.J. Dover</t>
  </si>
  <si>
    <t>Dover, K.J.</t>
  </si>
  <si>
    <t>to-read (#2012)</t>
  </si>
  <si>
    <t>Let Them Eat Chaos</t>
  </si>
  <si>
    <t>Kae Tempest</t>
  </si>
  <si>
    <t>Tempest, Kae</t>
  </si>
  <si>
    <t>to-read (#271)</t>
  </si>
  <si>
    <t>Believe in People</t>
  </si>
  <si>
    <t>Karel Čapek</t>
  </si>
  <si>
    <t>Čapek, Karel</t>
  </si>
  <si>
    <t>Šárka Tobrmanová-Kühnová</t>
  </si>
  <si>
    <t>to-read (#1385), nonfiction (#28), 0 (#493)</t>
  </si>
  <si>
    <t>History of God</t>
  </si>
  <si>
    <t>Armstrong, Karen</t>
  </si>
  <si>
    <t>GRAMMERCY BOOKS</t>
  </si>
  <si>
    <t>to-read (#1910), nonfiction (#81), 0 (#451)</t>
  </si>
  <si>
    <t>The Transitive Vampire: A Handbook of Grammar for the Innocent, the Eager and the Doomed</t>
  </si>
  <si>
    <t>Karen Elizabeth Gordon</t>
  </si>
  <si>
    <t>Gordon, Karen Elizabeth</t>
  </si>
  <si>
    <t>to-read (#1538)</t>
  </si>
  <si>
    <t>Please Read This Leaflet Carefully: Keep This Leaflet. You May Need to Read It Again.</t>
  </si>
  <si>
    <t>Karen Havelin</t>
  </si>
  <si>
    <t>Havelin, Karen</t>
  </si>
  <si>
    <t>Dottir Press</t>
  </si>
  <si>
    <t>to-read (#1620), pain (#5)</t>
  </si>
  <si>
    <t>The Torture Papers: The Road to Abu Ghraib</t>
  </si>
  <si>
    <t>Karen J. Greenberg</t>
  </si>
  <si>
    <t>Greenberg, Karen J.</t>
  </si>
  <si>
    <t>Anthony Lewis, Joshua L. Dratel</t>
  </si>
  <si>
    <t>to-read (#2420), bib-torture (#28)</t>
  </si>
  <si>
    <t>Vampires in the Lemon Grove: Stories</t>
  </si>
  <si>
    <t>Karen Russell</t>
  </si>
  <si>
    <t>Russell, Karen</t>
  </si>
  <si>
    <t>to-read (#96)</t>
  </si>
  <si>
    <t>Selected Papers Of Karl Abraham M D</t>
  </si>
  <si>
    <t>Karl Abraham</t>
  </si>
  <si>
    <t>Abraham, Karl</t>
  </si>
  <si>
    <t>Andesite Press</t>
  </si>
  <si>
    <t>to-read (#2101), biblio-noonday-demon (#20)</t>
  </si>
  <si>
    <t>Hermes: Guide of Souls</t>
  </si>
  <si>
    <t>Karl Kerényi</t>
  </si>
  <si>
    <t>Kerényi, Karl</t>
  </si>
  <si>
    <t>to-read (#1436), greeks-romans-etc (#45), mythology (#44)</t>
  </si>
  <si>
    <t>The Gods of the Greeks</t>
  </si>
  <si>
    <t>Carl Kerényi</t>
  </si>
  <si>
    <t>to-read (#1438), mythology (#45)</t>
  </si>
  <si>
    <t>The Heroes of the Greeks (English and German Edition)</t>
  </si>
  <si>
    <t>C. Kerényi</t>
  </si>
  <si>
    <t>to-read (#1439), greeks-romans-etc (#46), mythology (#46)</t>
  </si>
  <si>
    <t>The Economic &amp; Philosophic Manuscripts of 1844</t>
  </si>
  <si>
    <t>Karl Marx</t>
  </si>
  <si>
    <t>Marx, Karl</t>
  </si>
  <si>
    <t>Dirk J. Struik</t>
  </si>
  <si>
    <t>Intl Pub</t>
  </si>
  <si>
    <t>to-read (#1579), philosophy (#17), 0 (#328)</t>
  </si>
  <si>
    <t>My Struggle: Book 1</t>
  </si>
  <si>
    <t>Karl Ove Knausgård</t>
  </si>
  <si>
    <t>Knausgård, Karl Ove</t>
  </si>
  <si>
    <t>Don Bartlett, Karl Ove Knausgaard</t>
  </si>
  <si>
    <t>to-read (#981), novels (#28), 0 (#485)</t>
  </si>
  <si>
    <t>A Time for Everything</t>
  </si>
  <si>
    <t>James    Anderson, Karl Ove Knausgaard</t>
  </si>
  <si>
    <t>Archipelago</t>
  </si>
  <si>
    <t>to-read (#145)</t>
  </si>
  <si>
    <t>Your Face Belongs to Us: A Secretive Startup's Quest to End Privacy as We Know It</t>
  </si>
  <si>
    <t>Kashmir Hill</t>
  </si>
  <si>
    <t>Hill, Kashmir</t>
  </si>
  <si>
    <t>to-read (#1196), nonfiction (#147)</t>
  </si>
  <si>
    <t>A Queer and Pleasant Danger: The True Story of a Nice Jewish Boy Who Joins the Church of Scientology and Leaves Twelve Years Later to Become the Lovely Lady She is Today</t>
  </si>
  <si>
    <t>Kate Bornstein</t>
  </si>
  <si>
    <t>Bornstein, Kate</t>
  </si>
  <si>
    <t>to-read (#168), queer-gender-etc (#14)</t>
  </si>
  <si>
    <t>The Long Form</t>
  </si>
  <si>
    <t>Kate Briggs</t>
  </si>
  <si>
    <t>Briggs, Kate</t>
  </si>
  <si>
    <t>to-read (#2327), books-from-twitter (#64)</t>
  </si>
  <si>
    <t>Down Girl: The Logic of Misogyny</t>
  </si>
  <si>
    <t>Kate Manne</t>
  </si>
  <si>
    <t>Manne, Kate</t>
  </si>
  <si>
    <t>to-read (#244)</t>
  </si>
  <si>
    <t>Bigger Than They Appear:  Anthology of Very Short Poems</t>
  </si>
  <si>
    <t>Katerina Stoykova-Klemer</t>
  </si>
  <si>
    <t>Stoykova-Klemer, Katerina</t>
  </si>
  <si>
    <t>Simeon Kondev, Thom Ward, David Baratier, David Chorlton, Piotr Gwiazda, Rob Mclennan, Brett Eugene Ralph, Karen Rigby, Kristine Ong Muslim, Cristina Trapani-Scott</t>
  </si>
  <si>
    <t>Accents Publishing</t>
  </si>
  <si>
    <t>to-read (#1397), poetry (#11), 0 (#495)</t>
  </si>
  <si>
    <t>Pale Horse, Pale Rider</t>
  </si>
  <si>
    <t>Katherine Anne Porter</t>
  </si>
  <si>
    <t>Porter, Katherine Anne</t>
  </si>
  <si>
    <t>to-read (#384)</t>
  </si>
  <si>
    <t>The Penguin Book of Witches</t>
  </si>
  <si>
    <t>Katherine Howe</t>
  </si>
  <si>
    <t>Howe, Katherine</t>
  </si>
  <si>
    <t>to-read (#1444)</t>
  </si>
  <si>
    <t>In Focus: Man Ray: Photographs From the J. Paul Getty Museum</t>
  </si>
  <si>
    <t>Katherine Ware</t>
  </si>
  <si>
    <t>Ware, Katherine</t>
  </si>
  <si>
    <t>J. Paul Getty Museum</t>
  </si>
  <si>
    <t>to-read (#1007)</t>
  </si>
  <si>
    <t>Kathryn Davis</t>
  </si>
  <si>
    <t>Davis, Kathryn</t>
  </si>
  <si>
    <t>to-read (#1456)</t>
  </si>
  <si>
    <t>Joan of Arc: A Life Transfigured</t>
  </si>
  <si>
    <t>Kathryn Harrison</t>
  </si>
  <si>
    <t>Harrison, Kathryn</t>
  </si>
  <si>
    <t>to-read (#1185), biographies-etc (#15), history (#12)</t>
  </si>
  <si>
    <t>On the Edge of Darkness: Conversations About Conquering Depression</t>
  </si>
  <si>
    <t>Kathy Cronkite</t>
  </si>
  <si>
    <t>Cronkite, Kathy</t>
  </si>
  <si>
    <t>Delta</t>
  </si>
  <si>
    <t>to-read (#1934)</t>
  </si>
  <si>
    <t>The Inevitable: Dispatches on the Right to Die</t>
  </si>
  <si>
    <t>Katie Engelhart</t>
  </si>
  <si>
    <t>Engelhart, Katie</t>
  </si>
  <si>
    <t>to-read (#2270), nonfiction (#248)</t>
  </si>
  <si>
    <t>The Violet Hour: Great Writers at the End</t>
  </si>
  <si>
    <t>Katie Roiphe</t>
  </si>
  <si>
    <t>Roiphe, Katie</t>
  </si>
  <si>
    <t>The Dial Press</t>
  </si>
  <si>
    <t>to-read (#2235), nonfiction (#235)</t>
  </si>
  <si>
    <t>Still Unbelievable: My Front-Row Seat to the Craziest Campaign in American History</t>
  </si>
  <si>
    <t>Katy Tur</t>
  </si>
  <si>
    <t>Tur, Katy</t>
  </si>
  <si>
    <t>to-read (#1613), nonfiction (#22), 0 (#549)</t>
  </si>
  <si>
    <t>An Unquiet Mind: A Memoir of Moods and Madness</t>
  </si>
  <si>
    <t>Jamison, Kay Redfield</t>
  </si>
  <si>
    <t>to-read (#747), nonfiction (#121), biographies-etc (#44)</t>
  </si>
  <si>
    <t>Night Falls Fast: Understanding Suicide</t>
  </si>
  <si>
    <t>to-read (#1925), biblio-noonday-demon (#5)</t>
  </si>
  <si>
    <t>Exuberance: The Passion for Life</t>
  </si>
  <si>
    <t>to-read (#2008)</t>
  </si>
  <si>
    <t>Klara and the Sun</t>
  </si>
  <si>
    <t>Kazuo Ishiguro</t>
  </si>
  <si>
    <t>Ishiguro, Kazuo</t>
  </si>
  <si>
    <t>to-read (#1069), novels (#141)</t>
  </si>
  <si>
    <t>The Remains of the Day</t>
  </si>
  <si>
    <t>to-read (#144), awards-man-booker-prize-winners (#22)</t>
  </si>
  <si>
    <t>The Book of Flying</t>
  </si>
  <si>
    <t>Keith  Miller</t>
  </si>
  <si>
    <t>Miller, Keith</t>
  </si>
  <si>
    <t>to-read (#970)</t>
  </si>
  <si>
    <t>Shady Characters: The Secret Life of Punctuation, Symbols &amp; Other Typographical Marks</t>
  </si>
  <si>
    <t>Keith Houston</t>
  </si>
  <si>
    <t>Houston, Keith</t>
  </si>
  <si>
    <t>to-read (#696)</t>
  </si>
  <si>
    <t>The Uses of Greek Mythology (Approaching the Ancient World)</t>
  </si>
  <si>
    <t>Ken Dowden</t>
  </si>
  <si>
    <t>Dowden, Ken</t>
  </si>
  <si>
    <t>to-read (#1506), greeks-romans-etc (#63)</t>
  </si>
  <si>
    <t>One Flew Over the Cuckoo's Nest</t>
  </si>
  <si>
    <t>Ken Kesey</t>
  </si>
  <si>
    <t>Kesey, Ken</t>
  </si>
  <si>
    <t>novels (#58), 0 (#372)</t>
  </si>
  <si>
    <t>Once and Forever: The Tales of Kenji Miyazawa</t>
  </si>
  <si>
    <t>Kenji Miyazawa</t>
  </si>
  <si>
    <t>Miyazawa, Kenji</t>
  </si>
  <si>
    <t>John Bester</t>
  </si>
  <si>
    <t>Kodansha International</t>
  </si>
  <si>
    <t>to-read (#1978)</t>
  </si>
  <si>
    <t>The Journal of Albion Moonlight</t>
  </si>
  <si>
    <t>Kenneth Patchen</t>
  </si>
  <si>
    <t>Patchen, Kenneth</t>
  </si>
  <si>
    <t>to-read (#1598), books-from-twitter (#17)</t>
  </si>
  <si>
    <t>A Personal Matter</t>
  </si>
  <si>
    <t>Kenzaburō Ōe</t>
  </si>
  <si>
    <t>Ōe, Kenzaburō</t>
  </si>
  <si>
    <t>John Nathan</t>
  </si>
  <si>
    <t>to-read (#878)</t>
  </si>
  <si>
    <t>The Bone People</t>
  </si>
  <si>
    <t>Keri Hulme</t>
  </si>
  <si>
    <t>Hulme, Keri</t>
  </si>
  <si>
    <t>to-read (#1295), awards-man-booker-prize-winners (#18)</t>
  </si>
  <si>
    <t>The Wisdom of Psychopaths: What Saints, Spies, and Serial Killers Can Teach Us About Success</t>
  </si>
  <si>
    <t>Kevin Dutton</t>
  </si>
  <si>
    <t>Dutton, Kevin</t>
  </si>
  <si>
    <t>to-read (#146)</t>
  </si>
  <si>
    <t>Pink Narcissus Poems</t>
  </si>
  <si>
    <t>Kevin Killian</t>
  </si>
  <si>
    <t>Killian, Kevin</t>
  </si>
  <si>
    <t>The Song Cave</t>
  </si>
  <si>
    <t>to-read (#403), poetry (#53), queer-gender-etc (#36)</t>
  </si>
  <si>
    <t>Fascination: Memoirs</t>
  </si>
  <si>
    <t>Andrew Durbin</t>
  </si>
  <si>
    <t>to-read (#404)</t>
  </si>
  <si>
    <t>The Poets &amp; Writers Complete Guide to Being a Writer: Everything You Need to Know About Craft, Inspiration, Agents, Editors, Publishing, and the Business of Building a Sustainable Writing Career</t>
  </si>
  <si>
    <t>Kevin Larimer</t>
  </si>
  <si>
    <t>Larimer, Kevin</t>
  </si>
  <si>
    <t>Mary Gannon</t>
  </si>
  <si>
    <t>Avid Reader Press / Simon  Schuster</t>
  </si>
  <si>
    <t>to-read (#344)</t>
  </si>
  <si>
    <t>A Common Pornography</t>
  </si>
  <si>
    <t>Kevin Sampsell</t>
  </si>
  <si>
    <t>Sampsell, Kevin</t>
  </si>
  <si>
    <t>to-read (#325)</t>
  </si>
  <si>
    <t>There's No Such Thing as an Easy Job</t>
  </si>
  <si>
    <t>Kikuko Tsumura</t>
  </si>
  <si>
    <t>Tsumura, Kikuko</t>
  </si>
  <si>
    <t>Polly Barton</t>
  </si>
  <si>
    <t>to-read (#727), novels (#142)</t>
  </si>
  <si>
    <t>My Brilliant Life</t>
  </si>
  <si>
    <t>Kim Ae-ran</t>
  </si>
  <si>
    <t>Ae-ran, Kim</t>
  </si>
  <si>
    <t>Chi-Young Kim</t>
  </si>
  <si>
    <t>Forge Books</t>
  </si>
  <si>
    <t>to-read (#726), novels (#140)</t>
  </si>
  <si>
    <t>I Just Lately Started Buying Wings: Missives from the Other Side of Silence</t>
  </si>
  <si>
    <t>Kim Dana Kupperman</t>
  </si>
  <si>
    <t>Kupperman, Kim Dana</t>
  </si>
  <si>
    <t>to-read (#1426), 0 (#269)</t>
  </si>
  <si>
    <t>For Today I Am a Boy</t>
  </si>
  <si>
    <t>Kim Fu</t>
  </si>
  <si>
    <t>Fu, Kim</t>
  </si>
  <si>
    <t>to-read (#100), queer-gender-etc (#11)</t>
  </si>
  <si>
    <t>The Last Days of the Incas</t>
  </si>
  <si>
    <t>Kim MacQuarrie</t>
  </si>
  <si>
    <t>MacQuarrie, Kim</t>
  </si>
  <si>
    <t>to-read (#2203), nonfiction (#215)</t>
  </si>
  <si>
    <t>Nightmare Movies: A Critical Guide to Contemporary Horror Films</t>
  </si>
  <si>
    <t>Kim Newman</t>
  </si>
  <si>
    <t>Newman, Kim</t>
  </si>
  <si>
    <t>to-read (#431)</t>
  </si>
  <si>
    <t>Countdown to Zero Day: Stuxnet and the Launch of the World's First Digital Weapon</t>
  </si>
  <si>
    <t>Kim Zetter</t>
  </si>
  <si>
    <t>Zetter, Kim</t>
  </si>
  <si>
    <t>to-read (#749)</t>
  </si>
  <si>
    <t>Critical Race Theory: The Key Writings That Formed the Movement</t>
  </si>
  <si>
    <t>Kimberlé Crenshaw</t>
  </si>
  <si>
    <t>Crenshaw, Kimberlé</t>
  </si>
  <si>
    <t>Neil Gotanda, Garry Peller, Kendall Thomas, Cornel West</t>
  </si>
  <si>
    <t>to-read (#290), philosophy (#59)</t>
  </si>
  <si>
    <t>On Intersectionality: The Essential Writings of Kimberlé Crenshaw</t>
  </si>
  <si>
    <t>to-read (#324)</t>
  </si>
  <si>
    <t>The Old Devils</t>
  </si>
  <si>
    <t>Kingsley Amis</t>
  </si>
  <si>
    <t>Amis, Kingsley</t>
  </si>
  <si>
    <t>to-read (#1296), awards-man-booker-prize-winners (#19)</t>
  </si>
  <si>
    <t>The Inheritance of Loss</t>
  </si>
  <si>
    <t>Kiran Desai</t>
  </si>
  <si>
    <t>Desai, Kiran</t>
  </si>
  <si>
    <t>to-read (#1311), awards-man-booker-prize-winners (#40)</t>
  </si>
  <si>
    <t>Mephisto</t>
  </si>
  <si>
    <t>Klaus Mann</t>
  </si>
  <si>
    <t>Mann, Klaus</t>
  </si>
  <si>
    <t>Robin Smyth</t>
  </si>
  <si>
    <t>to-read (#518), novels (#213)</t>
  </si>
  <si>
    <t>Growth of the Soil</t>
  </si>
  <si>
    <t>Knut Hamsun</t>
  </si>
  <si>
    <t>Hamsun, Knut</t>
  </si>
  <si>
    <t>to-read (#194)</t>
  </si>
  <si>
    <t>Hunger</t>
  </si>
  <si>
    <t>to-read (#124)</t>
  </si>
  <si>
    <t>The Face of Another</t>
  </si>
  <si>
    <t>Kōbō Abe</t>
  </si>
  <si>
    <t>Abe, Kōbō</t>
  </si>
  <si>
    <t xml:space="preserve">novels, to-read, z-2023, </t>
  </si>
  <si>
    <t>to-read (#762), novels (#144), z-2023 (#8)</t>
  </si>
  <si>
    <t>Godsong: A Verse Translation of the Bhagavad-Gita, with Commentary</t>
  </si>
  <si>
    <t>Krishna-Dwaipayana Vyasa</t>
  </si>
  <si>
    <t>Vyasa, Krishna-Dwaipayana</t>
  </si>
  <si>
    <t>Amit Majmudar</t>
  </si>
  <si>
    <t>to-read (#646)</t>
  </si>
  <si>
    <t>Lo estás deseando</t>
  </si>
  <si>
    <t>Kristen Roupenian</t>
  </si>
  <si>
    <t>Roupenian, Kristen</t>
  </si>
  <si>
    <t>to-read (#582)</t>
  </si>
  <si>
    <t>Jesus and John Wayne: How White Evangelicals Corrupted a Faith and Fractured a Nation</t>
  </si>
  <si>
    <t>Kristin  Kobes Du Mez</t>
  </si>
  <si>
    <t>Mez, Kristin Kobes Du</t>
  </si>
  <si>
    <t>to-read (#2389)</t>
  </si>
  <si>
    <t>Mind Without a Home: A Memoir of Schizophrenia</t>
  </si>
  <si>
    <t>Kristina Morgan</t>
  </si>
  <si>
    <t>Morgan, Kristina</t>
  </si>
  <si>
    <t>Hazelden</t>
  </si>
  <si>
    <t>to-read (#167)</t>
  </si>
  <si>
    <t>Papiroflexia "origami" fácil</t>
  </si>
  <si>
    <t>Kunihiko Kasahara</t>
  </si>
  <si>
    <t>Kasahara, Kunihiko</t>
  </si>
  <si>
    <t>Oscar Bordoy</t>
  </si>
  <si>
    <t>Editorial Edaf, S.L.</t>
  </si>
  <si>
    <t>to-read (#1669), tech (#8), 0 (#428)</t>
  </si>
  <si>
    <t>The Goldmakers: Ten Thousand Years of Alchemy</t>
  </si>
  <si>
    <t>Kurt K. Doberer</t>
  </si>
  <si>
    <t>Doberer, Kurt K.</t>
  </si>
  <si>
    <t>Ams Pr Inc</t>
  </si>
  <si>
    <t>to-read (#1098)</t>
  </si>
  <si>
    <t>Cat's Cradle</t>
  </si>
  <si>
    <t>Kurt Vonnegut Jr.</t>
  </si>
  <si>
    <t>Jr., Kurt Vonnegut</t>
  </si>
  <si>
    <t>Dell Publishing</t>
  </si>
  <si>
    <t>novels (#33), 0 (#364)</t>
  </si>
  <si>
    <t>Slaughterhouse-Five</t>
  </si>
  <si>
    <t>Dial Press</t>
  </si>
  <si>
    <t>to-read (#11)</t>
  </si>
  <si>
    <t>Filterworld: How Algorithms Flattened Culture</t>
  </si>
  <si>
    <t>Kyle Chayka</t>
  </si>
  <si>
    <t>Chayka, Kyle</t>
  </si>
  <si>
    <t>to-read (#2390), nonfiction (#251)</t>
  </si>
  <si>
    <t>My Year in Iraq: The Struggle to Build a Future of Hope</t>
  </si>
  <si>
    <t>L. Paul Bremer III</t>
  </si>
  <si>
    <t>III, L. Paul Bremer</t>
  </si>
  <si>
    <t>Malcolm McConnell</t>
  </si>
  <si>
    <t>Threshold Editions</t>
  </si>
  <si>
    <t>to-read (#2359), biblio-shock-doctrine (#82)</t>
  </si>
  <si>
    <t>Tarot and Divination Cards: A Visual Archive</t>
  </si>
  <si>
    <t>Laetitia Barbier</t>
  </si>
  <si>
    <t>Barbier, Laetitia</t>
  </si>
  <si>
    <t>Cernunnos</t>
  </si>
  <si>
    <t>to-read (#1530)</t>
  </si>
  <si>
    <t>Kwaidan: Stories and Studies of Strange Things</t>
  </si>
  <si>
    <t>Lafcadio Hearn</t>
  </si>
  <si>
    <t>Hearn, Lafcadio</t>
  </si>
  <si>
    <t>Tuttle Publishing</t>
  </si>
  <si>
    <t>to-read (#1430), short-stories (#10), 0 (#419)</t>
  </si>
  <si>
    <t>Conditional Citizens: On Belonging in America</t>
  </si>
  <si>
    <t>Laila Lalami</t>
  </si>
  <si>
    <t>Lalami, Laila</t>
  </si>
  <si>
    <t>to-read (#591)</t>
  </si>
  <si>
    <t>Calendar of Regrets</t>
  </si>
  <si>
    <t>Lance Olsen</t>
  </si>
  <si>
    <t>Olsen, Lance</t>
  </si>
  <si>
    <t>Fiction Collective 2</t>
  </si>
  <si>
    <t>to-read (#1586), books-from-twitter (#2)</t>
  </si>
  <si>
    <t>The Democrats: A Critical History</t>
  </si>
  <si>
    <t>Lance Selfa</t>
  </si>
  <si>
    <t>Selfa, Lance</t>
  </si>
  <si>
    <t>to-read (#240), history (#46), nonfiction (#91)</t>
  </si>
  <si>
    <t>Langston Hughes</t>
  </si>
  <si>
    <t>Hughes, Langston</t>
  </si>
  <si>
    <t>to-read (#1730), poetry (#20), 0 (#348)</t>
  </si>
  <si>
    <t>The Magician's Wand: A History of Mystical Rods of Power</t>
  </si>
  <si>
    <t>Lantiere Joe</t>
  </si>
  <si>
    <t>Joe, Lantiere</t>
  </si>
  <si>
    <t>Olde World Magick</t>
  </si>
  <si>
    <t xml:space="preserve">history, mythology, to-read, </t>
  </si>
  <si>
    <t>to-read (#1763), history (#64), mythology (#57)</t>
  </si>
  <si>
    <t>Pop Song: Adventures in Art &amp; Intimacy</t>
  </si>
  <si>
    <t>Larissa Pham</t>
  </si>
  <si>
    <t>Pham, Larissa</t>
  </si>
  <si>
    <t>Catapult</t>
  </si>
  <si>
    <t>to-read (#716)</t>
  </si>
  <si>
    <t>The Faggots and Their Friends Between Revolutions</t>
  </si>
  <si>
    <t>Larry   Mitchell</t>
  </si>
  <si>
    <t>Mitchell, Larry</t>
  </si>
  <si>
    <t>Ned Asta</t>
  </si>
  <si>
    <t>Calamus Books</t>
  </si>
  <si>
    <t>to-read (#346)</t>
  </si>
  <si>
    <t>Faggots</t>
  </si>
  <si>
    <t>Larry Kramer</t>
  </si>
  <si>
    <t>Kramer, Larry</t>
  </si>
  <si>
    <t>Reynolds Price</t>
  </si>
  <si>
    <t>to-read (#1422), novels (#43), 0 (#326)</t>
  </si>
  <si>
    <t>The Bhagavad Gita</t>
  </si>
  <si>
    <t>Lars Fosse</t>
  </si>
  <si>
    <t>Fosse, Lars</t>
  </si>
  <si>
    <t>YogaVidya.com</t>
  </si>
  <si>
    <t>0 (#10)</t>
  </si>
  <si>
    <t>Wittgenstein Jr</t>
  </si>
  <si>
    <t>Lars Iyer</t>
  </si>
  <si>
    <t>Iyer, Lars</t>
  </si>
  <si>
    <t>to-read (#186)</t>
  </si>
  <si>
    <t>Dostoyevsky Reads Hegel in Siberia and Bursts into Tears</t>
  </si>
  <si>
    <t>László F. Földényi</t>
  </si>
  <si>
    <t>Földényi, László F.</t>
  </si>
  <si>
    <t>Ottilie Mulzet</t>
  </si>
  <si>
    <t>to-read (#918)</t>
  </si>
  <si>
    <t>The Melancholy of Resistance</t>
  </si>
  <si>
    <t>László Krasznahorkai</t>
  </si>
  <si>
    <t>Krasznahorkai, László</t>
  </si>
  <si>
    <t>George Szirtes</t>
  </si>
  <si>
    <t>to-read (#1132), novels (#155)</t>
  </si>
  <si>
    <t>Satantango</t>
  </si>
  <si>
    <t>to-read (#1682)</t>
  </si>
  <si>
    <t>El dios de la lluvia llora sobre México</t>
  </si>
  <si>
    <t>László Passuth</t>
  </si>
  <si>
    <t>Passuth, László</t>
  </si>
  <si>
    <t>El Aleph</t>
  </si>
  <si>
    <t>to-read (#560)</t>
  </si>
  <si>
    <t>Los divinos</t>
  </si>
  <si>
    <t>Laura Restrepo</t>
  </si>
  <si>
    <t>Restrepo, Laura</t>
  </si>
  <si>
    <t>to-read (#2192), books-from-twitter (#38)</t>
  </si>
  <si>
    <t>Sister Carrie</t>
  </si>
  <si>
    <t>Lauren Fairbanks</t>
  </si>
  <si>
    <t>Fairbanks, Lauren</t>
  </si>
  <si>
    <t>Fairbanks Lauren</t>
  </si>
  <si>
    <t>to-read (#1950), novels (#216)</t>
  </si>
  <si>
    <t>The Birthday Party</t>
  </si>
  <si>
    <t>Laurent Mauvignier</t>
  </si>
  <si>
    <t>Mauvignier, Laurent</t>
  </si>
  <si>
    <t>Daniel Levin Becker</t>
  </si>
  <si>
    <t>Transit Books</t>
  </si>
  <si>
    <t>to-read (#2335), books-from-twitter (#68)</t>
  </si>
  <si>
    <t>The Alexandria Quartet</t>
  </si>
  <si>
    <t>Lawrence Durrell</t>
  </si>
  <si>
    <t>Durrell, Lawrence</t>
  </si>
  <si>
    <t>to-read (#1655), books-from-twitter (#26), novels (#190)</t>
  </si>
  <si>
    <t>Justine (The Alexandria Quartet, #1)</t>
  </si>
  <si>
    <t>to-read (#1685)</t>
  </si>
  <si>
    <t>Turkish Wrestling</t>
  </si>
  <si>
    <t>Lawrence Grecco</t>
  </si>
  <si>
    <t>Grecco, Lawrence</t>
  </si>
  <si>
    <t>Apollon Press</t>
  </si>
  <si>
    <t>to-read (#1668), 0 (#205)</t>
  </si>
  <si>
    <t>The New Russia : Transition Gone Awry</t>
  </si>
  <si>
    <t>Lawrence R. Klein</t>
  </si>
  <si>
    <t>Klein, Lawrence R.</t>
  </si>
  <si>
    <t>Mikhail Gorbachev, Marshall Pomer</t>
  </si>
  <si>
    <t>to-read (#2342), biblio-shock-doctrine (#66)</t>
  </si>
  <si>
    <t>A Miracle, A Universe: Settling Accounts with Torturers</t>
  </si>
  <si>
    <t>Lawrence Weschler</t>
  </si>
  <si>
    <t>Weschler, Lawrence</t>
  </si>
  <si>
    <t>to-read (#2276), biblio-shock-doctrine (#6)</t>
  </si>
  <si>
    <t>Homographesis: Essays in Gay Literary and Cultural Theory</t>
  </si>
  <si>
    <t>Lee Edelman</t>
  </si>
  <si>
    <t>Edelman, Lee</t>
  </si>
  <si>
    <t xml:space="preserve">essays, queer-gender-etc, to-read, </t>
  </si>
  <si>
    <t>to-read (#394), queer-gender-etc (#61), essays (#36)</t>
  </si>
  <si>
    <t>No Future: Queer Theory and the Death Drive</t>
  </si>
  <si>
    <t>to-read (#188), queer-gender-etc (#15)</t>
  </si>
  <si>
    <t>La otra guerra. Una historia del cementerio argentino en las islas Malvinas</t>
  </si>
  <si>
    <t>Leila Guerriero</t>
  </si>
  <si>
    <t>Guerriero, Leila</t>
  </si>
  <si>
    <t>to-read (#2323), nonfiction (#249), books-about-argentina (#21)</t>
  </si>
  <si>
    <t>Understandable Psychiatry</t>
  </si>
  <si>
    <t>Leland E Hinsie</t>
  </si>
  <si>
    <t>Hinsie, Leland E</t>
  </si>
  <si>
    <t>Collier</t>
  </si>
  <si>
    <t>to-read (#1893), nonfiction (#80), 0 (#555)</t>
  </si>
  <si>
    <t>Homos</t>
  </si>
  <si>
    <t>Leo Bersani</t>
  </si>
  <si>
    <t>Bersani, Leo</t>
  </si>
  <si>
    <t>to-read (#391), queer-gender-etc (#35)</t>
  </si>
  <si>
    <t>Receptive Bodies</t>
  </si>
  <si>
    <t>to-read (#657)</t>
  </si>
  <si>
    <t>Divine Days</t>
  </si>
  <si>
    <t>Leon Forrest</t>
  </si>
  <si>
    <t>Forrest, Leon</t>
  </si>
  <si>
    <t>to-read (#1600), books-from-twitter (#20)</t>
  </si>
  <si>
    <t>The Drunkard's Walk: How Randomness Rules Our Lives</t>
  </si>
  <si>
    <t>Leonard Mlodinow</t>
  </si>
  <si>
    <t>Mlodinow, Leonard</t>
  </si>
  <si>
    <t>to-read (#1615), nonfiction (#17), 0 (#427)</t>
  </si>
  <si>
    <t>Beginning Again: An Autobiography Of The Years 1911 To 1918</t>
  </si>
  <si>
    <t>Leonard Woolf</t>
  </si>
  <si>
    <t>Woolf, Leonard</t>
  </si>
  <si>
    <t>to-read (#2055), biblio-noonday-demon (#12)</t>
  </si>
  <si>
    <t>To Each His Own</t>
  </si>
  <si>
    <t>Leonardo Sciascia</t>
  </si>
  <si>
    <t>Sciascia, Leonardo</t>
  </si>
  <si>
    <t>Adrienne Foulke, W.S. Di Piero</t>
  </si>
  <si>
    <t>to-read (#2065), novels (#210)</t>
  </si>
  <si>
    <t>The Hearing Trumpet</t>
  </si>
  <si>
    <t>Leonora Carrington</t>
  </si>
  <si>
    <t>Carrington, Leonora</t>
  </si>
  <si>
    <t>Olga Tokarczuk</t>
  </si>
  <si>
    <t>z-favorites-shelf (#29), novels (#117)</t>
  </si>
  <si>
    <t>The Complete Stories of Leonora Carrington</t>
  </si>
  <si>
    <t>Kathryn Davis, Kathrine Talbot, Anthony Kerrigan, Marina Warner</t>
  </si>
  <si>
    <t>Dorothy</t>
  </si>
  <si>
    <t xml:space="preserve">0, short-stories, to-read, z-favorites-shelf, </t>
  </si>
  <si>
    <t>to-read (#1180), short-stories (#15), z-favorites-shelf (#28), 0 (#541)</t>
  </si>
  <si>
    <t>Down Below</t>
  </si>
  <si>
    <t>Debra Taub</t>
  </si>
  <si>
    <t>Black Swan Pr</t>
  </si>
  <si>
    <t>to-read (#1134), biographies-etc (#7)</t>
  </si>
  <si>
    <t>The Tarot of Leonora Carrington</t>
  </si>
  <si>
    <t>Gabriel Weisz Carrington, Susan L. Aberth, Tere Arcq</t>
  </si>
  <si>
    <t>Fulgur</t>
  </si>
  <si>
    <t xml:space="preserve">authors-spanish-authors, to-read, </t>
  </si>
  <si>
    <t>to-read (#1137)</t>
  </si>
  <si>
    <t>House of Fear</t>
  </si>
  <si>
    <t>E.P. Dutton1988</t>
  </si>
  <si>
    <t>to-read (#1136)</t>
  </si>
  <si>
    <t>The Milk of Dreams (New York Review Children's Collection)</t>
  </si>
  <si>
    <t>NYR Children's Collection</t>
  </si>
  <si>
    <t>to-read (#1135)</t>
  </si>
  <si>
    <t>Adam Buenosayres</t>
  </si>
  <si>
    <t>Leopoldo Marechal</t>
  </si>
  <si>
    <t>Marechal, Leopoldo</t>
  </si>
  <si>
    <t>Norman Cheadle</t>
  </si>
  <si>
    <t>McGill-Queen's University Press</t>
  </si>
  <si>
    <t>to-read (#154), books-from-twitter (#19), novels (#116)</t>
  </si>
  <si>
    <t>Journey Into the Mind's Eye</t>
  </si>
  <si>
    <t>Lesley Blanch</t>
  </si>
  <si>
    <t>Blanch, Lesley</t>
  </si>
  <si>
    <t>Eland Books</t>
  </si>
  <si>
    <t>to-read (#1108)</t>
  </si>
  <si>
    <t>Chile since Independence (Cambridge History of Latin America)</t>
  </si>
  <si>
    <t>Leslie Bethell</t>
  </si>
  <si>
    <t>Bethell, Leslie</t>
  </si>
  <si>
    <t>to-read (#2307), biblio-shock-doctrine (#42)</t>
  </si>
  <si>
    <t>The Empathy Exams</t>
  </si>
  <si>
    <t>Leslie Jamison</t>
  </si>
  <si>
    <t>Jamison, Leslie</t>
  </si>
  <si>
    <t>to-read (#1618), pain (#3)</t>
  </si>
  <si>
    <t>The Logophile's Orgy: Favorite Words Of Famous People</t>
  </si>
  <si>
    <t>Lewis Burke Frumkes</t>
  </si>
  <si>
    <t>Frumkes, Lewis Burke</t>
  </si>
  <si>
    <t>Delacorte Press</t>
  </si>
  <si>
    <t>to-read (#200)</t>
  </si>
  <si>
    <t>Symbolic Logic and the Game of Logic (Dover Recreational Math)</t>
  </si>
  <si>
    <t>Lewis Carroll</t>
  </si>
  <si>
    <t>Carroll, Lewis</t>
  </si>
  <si>
    <t>to-read (#1714), philosophy (#4), 0 (#343)</t>
  </si>
  <si>
    <t>The Ancient's Book of Magic: Containing Secret Records of the Procedure and Practice of the Ancient Masters and Adepts 1940</t>
  </si>
  <si>
    <t>Lewis De Claremont</t>
  </si>
  <si>
    <t>Claremont, Lewis De</t>
  </si>
  <si>
    <t>to-read (#1035)</t>
  </si>
  <si>
    <t>Intellectual Life in America: A History</t>
  </si>
  <si>
    <t>Lewis Perry</t>
  </si>
  <si>
    <t>Perry, Lewis</t>
  </si>
  <si>
    <t>to-read (#2035), nonfiction (#280), history (#73)</t>
  </si>
  <si>
    <t>Malignant Sadness: The Anatomy of Depression</t>
  </si>
  <si>
    <t>Lewis Wolpert</t>
  </si>
  <si>
    <t>Wolpert, Lewis</t>
  </si>
  <si>
    <t>to-read (#2093), psychology (#5)</t>
  </si>
  <si>
    <t>Touchstone Anthology of Contemporary Creative Nonfiction: Work from 1970 to the Present</t>
  </si>
  <si>
    <t>Lex Williford</t>
  </si>
  <si>
    <t>Williford, Lex</t>
  </si>
  <si>
    <t>Michael Martone, Bernard Cooper, Michael W. Cox, Annie Dillard, Mark Doty, Tony Earley, Anthony Farrington, Harrison Candelaria Fletcher, Diane Glancy, Lucy Grealy, Jo Ann Beard, Robin Hemley, Adam Hochschild, Jamaica Kincaid, Barbara Kingsolver, Ted Kooser, Sara Levine, E.J. Levy, Phillip Lopate, Barry  Lopez, Wendell Berry, Thomas Lynch, Lee Martin, Rebecca McClanahan, Erin McGraw, John McPhee, Brenda Miller, Dinty W. Moore, Kathleen Norris, Naomi Shihab Nye, Lia Purpura, Eula Biss, Richard Rhodes, Bill Roorbach, David Sedaris, Richard Selzer, Sue William Silverman, Floyd Skloot, Lauren Slater, Cheryl Strayed, Amy Tan, Ryan Van Meter, Mary Clearman Blew, David Foster Wallace, Charles Bowden, Janet Burroway, Kelly Grey Carlisle, Anne Carson, Brian  Doyle, William Neal Harrison</t>
  </si>
  <si>
    <t>to-read (#1223), essays (#15), nonfiction (#171)</t>
  </si>
  <si>
    <t>Dora: A Headcase</t>
  </si>
  <si>
    <t>Lidia Yuknavitch</t>
  </si>
  <si>
    <t>Yuknavitch, Lidia</t>
  </si>
  <si>
    <t>Hawthorne Books</t>
  </si>
  <si>
    <t>to-read (#107), novels (#108)</t>
  </si>
  <si>
    <t>The News from Paraguay</t>
  </si>
  <si>
    <t>Lily Tuck</t>
  </si>
  <si>
    <t>Tuck, Lily</t>
  </si>
  <si>
    <t>novels (#40), 0 (#438)</t>
  </si>
  <si>
    <t>Dictionary Of Word Origins</t>
  </si>
  <si>
    <t>Linda Flavell</t>
  </si>
  <si>
    <t>Flavell, Linda</t>
  </si>
  <si>
    <t>Roger Flavell</t>
  </si>
  <si>
    <t>Kyle Cathie Ltd</t>
  </si>
  <si>
    <t>to-read (#856)</t>
  </si>
  <si>
    <t>The Future of Whiteness</t>
  </si>
  <si>
    <t>Linda Martín Alcoff</t>
  </si>
  <si>
    <t>Alcoff, Linda Martín</t>
  </si>
  <si>
    <t>to-read (#1718), philosophy (#24), 0 (#516)</t>
  </si>
  <si>
    <t>Shooting the hippo: Death by deficit and other Canadian myths</t>
  </si>
  <si>
    <t>Linda McQuaig</t>
  </si>
  <si>
    <t>McQuaig, Linda</t>
  </si>
  <si>
    <t>to-read (#2350), biblio-shock-doctrine (#73)</t>
  </si>
  <si>
    <t>Shit, Actually: The Definitive, 100% Objective Guide to Modern Cinema</t>
  </si>
  <si>
    <t>Lindy West</t>
  </si>
  <si>
    <t>West, Lindy</t>
  </si>
  <si>
    <t>to-read (#612)</t>
  </si>
  <si>
    <t>How to Be a Person: The Stranger's Guide to College, Sex, Intoxicants, Tacos, and Life Itself</t>
  </si>
  <si>
    <t>Dan Savage, Christopher Frizzelle, Bethany Jean Clement, The Staff of The Stranger</t>
  </si>
  <si>
    <t>Sasquatch Books</t>
  </si>
  <si>
    <t>Severance</t>
  </si>
  <si>
    <t>Ling  Ma</t>
  </si>
  <si>
    <t>Ma, Ling</t>
  </si>
  <si>
    <t>to-read (#349)</t>
  </si>
  <si>
    <t>The Oppermanns</t>
  </si>
  <si>
    <t>Lion Feuchtwanger</t>
  </si>
  <si>
    <t>Feuchtwanger, Lion</t>
  </si>
  <si>
    <t>Carroll &amp; Graf Publishers, Inc.</t>
  </si>
  <si>
    <t>to-read (#1068)</t>
  </si>
  <si>
    <t>We Need to Talk About Kevin</t>
  </si>
  <si>
    <t>Lionel Shriver</t>
  </si>
  <si>
    <t>Shriver, Lionel</t>
  </si>
  <si>
    <t>to-read (#38)</t>
  </si>
  <si>
    <t>The Cambridge Introduction to Michel Foucault (Cambridge Introductions to Literature)</t>
  </si>
  <si>
    <t>Lisa Downing</t>
  </si>
  <si>
    <t>Downing, Lisa</t>
  </si>
  <si>
    <t>to-read (#249), foucault (#20)</t>
  </si>
  <si>
    <t>More Truly and More Strange: 100 Contemporary American Self-Portrait Poems</t>
  </si>
  <si>
    <t>Lisa Russ Spaar</t>
  </si>
  <si>
    <t>Spaar, Lisa Russ</t>
  </si>
  <si>
    <t>Persea</t>
  </si>
  <si>
    <t>to-read (#528), poetry (#73)</t>
  </si>
  <si>
    <t>My Death</t>
  </si>
  <si>
    <t>Lisa Tuttle</t>
  </si>
  <si>
    <t>Tuttle, Lisa</t>
  </si>
  <si>
    <t>Amy Gentry</t>
  </si>
  <si>
    <t>to-read (#2148), novels (#187), books-from-twitter (#30)</t>
  </si>
  <si>
    <t>A Season of Inquiry: The Senate Intelligence Investigation</t>
  </si>
  <si>
    <t>Loch K. Johnson</t>
  </si>
  <si>
    <t>Johnson, Loch K.</t>
  </si>
  <si>
    <t>Univ Pr of Kentucky</t>
  </si>
  <si>
    <t>to-read (#2412), bib-torture (#21)</t>
  </si>
  <si>
    <t>Con rabia</t>
  </si>
  <si>
    <t>Lorenza Mazzetti</t>
  </si>
  <si>
    <t>Mazzetti, Lorenza</t>
  </si>
  <si>
    <t>Natalia Zarco</t>
  </si>
  <si>
    <t>to-read (#570)</t>
  </si>
  <si>
    <t>Música para feos</t>
  </si>
  <si>
    <t>Lorenzo Silva</t>
  </si>
  <si>
    <t>Silva, Lorenzo</t>
  </si>
  <si>
    <t>Destino</t>
  </si>
  <si>
    <t>to-read (#739)</t>
  </si>
  <si>
    <t>Cool Salsa: Bilingual Poems on Growing Up Hispanic in the United States</t>
  </si>
  <si>
    <t>Lori Marie Carlson</t>
  </si>
  <si>
    <t>Carlson, Lori Marie</t>
  </si>
  <si>
    <t>Oscar Hijuelos</t>
  </si>
  <si>
    <t>Henry Holt and Co. (BYR)</t>
  </si>
  <si>
    <t>to-read (#1584), poetry (#2), 0 (#331)</t>
  </si>
  <si>
    <t>Madness and Modernism: Insanity in the Light of Modern Art, Literature, and Thought</t>
  </si>
  <si>
    <t>Louis A. Sass</t>
  </si>
  <si>
    <t>Sass, Louis A.</t>
  </si>
  <si>
    <t>to-read (#2142), nonfiction (#187), psychology (#16)</t>
  </si>
  <si>
    <t>Homosexuality and Civilization</t>
  </si>
  <si>
    <t>Louis Crompton</t>
  </si>
  <si>
    <t>Crompton, Louis</t>
  </si>
  <si>
    <t>to-read (#181), queer-gender-etc (#19)</t>
  </si>
  <si>
    <t>The Spear</t>
  </si>
  <si>
    <t>Louis de Wohl</t>
  </si>
  <si>
    <t>Wohl, Louis de</t>
  </si>
  <si>
    <t>Ignatius Press</t>
  </si>
  <si>
    <t>to-read (#684)</t>
  </si>
  <si>
    <t>Journey to the End of the Night</t>
  </si>
  <si>
    <t>Louis-Ferdinand Céline</t>
  </si>
  <si>
    <t>Céline, Louis-Ferdinand</t>
  </si>
  <si>
    <t>Ralph Manheim, Angela Cismaş, William T. Vollmann</t>
  </si>
  <si>
    <t>to-read (#30), novels (#99)</t>
  </si>
  <si>
    <t>Vertigo: A Memoir (The Cross-Cultural Memoir Series)</t>
  </si>
  <si>
    <t>Louise DeSalvo</t>
  </si>
  <si>
    <t>DeSalvo, Louise</t>
  </si>
  <si>
    <t>Edvige Giunta</t>
  </si>
  <si>
    <t>to-read (#746), nonfiction (#120)</t>
  </si>
  <si>
    <t>Future Home of the Living God</t>
  </si>
  <si>
    <t>Louise Erdrich</t>
  </si>
  <si>
    <t>Erdrich, Louise</t>
  </si>
  <si>
    <t>to-read (#926)</t>
  </si>
  <si>
    <t>LaRose</t>
  </si>
  <si>
    <t>to-read (#162)</t>
  </si>
  <si>
    <t>Approaches to Greek Myth</t>
  </si>
  <si>
    <t>Lowell Edmunds</t>
  </si>
  <si>
    <t>Edmunds, Lowell</t>
  </si>
  <si>
    <t>to-read (#1507), greeks-romans-etc (#64)</t>
  </si>
  <si>
    <t>Uttermost Part of the Earth</t>
  </si>
  <si>
    <t>Lucas Bridges</t>
  </si>
  <si>
    <t>Bridges, Lucas</t>
  </si>
  <si>
    <t>Overlook Press</t>
  </si>
  <si>
    <t>to-read (#1773), books-about-argentina (#1)</t>
  </si>
  <si>
    <t>The Way of Love</t>
  </si>
  <si>
    <t>Luce Irigaray</t>
  </si>
  <si>
    <t>Irigaray, Luce</t>
  </si>
  <si>
    <t>Stephen Pluhacek, Heidi Bostic</t>
  </si>
  <si>
    <t>Continuum</t>
  </si>
  <si>
    <t>to-read (#286)</t>
  </si>
  <si>
    <t>Life Is Everywhere</t>
  </si>
  <si>
    <t>Lucy Ives</t>
  </si>
  <si>
    <t>Ives, Lucy</t>
  </si>
  <si>
    <t>to-read (#2336), books-from-twitter (#69)</t>
  </si>
  <si>
    <t>Philosophical Investigations</t>
  </si>
  <si>
    <t>Ludwig Wittgenstein</t>
  </si>
  <si>
    <t>Wittgenstein, Ludwig</t>
  </si>
  <si>
    <t>G.E.M. Anscombe</t>
  </si>
  <si>
    <t>Blackwell Publishing, Inc.</t>
  </si>
  <si>
    <t>to-read (#894)</t>
  </si>
  <si>
    <t>A History of Argentina in the Twentieth Century</t>
  </si>
  <si>
    <t>LUIS A. ROMERO</t>
  </si>
  <si>
    <t>ROMERO, LUIS A.</t>
  </si>
  <si>
    <t>Waldhuter</t>
  </si>
  <si>
    <t>to-read (#633), history (#4)</t>
  </si>
  <si>
    <t>Borges and the Eternal Orangutans</t>
  </si>
  <si>
    <t>Luis Fernando Verissimo</t>
  </si>
  <si>
    <t>Verissimo, Luis Fernando</t>
  </si>
  <si>
    <t>Margaret Jull Costa</t>
  </si>
  <si>
    <t>to-read (#882)</t>
  </si>
  <si>
    <t>Antagony (Spanish Literature)</t>
  </si>
  <si>
    <t>Luis Goytisolo</t>
  </si>
  <si>
    <t>Goytisolo, Luis</t>
  </si>
  <si>
    <t>Brendan Riley</t>
  </si>
  <si>
    <t>to-read (#1055), novels (#153)</t>
  </si>
  <si>
    <t>Tierras insólitas: antología de cuento fantástico</t>
  </si>
  <si>
    <t>Luis Jorge Boone</t>
  </si>
  <si>
    <t>Boone, Luis Jorge</t>
  </si>
  <si>
    <t>Editorial Almadía</t>
  </si>
  <si>
    <t>to-read (#571)</t>
  </si>
  <si>
    <t>Los pájaros de la tristeza</t>
  </si>
  <si>
    <t>Luis Mey</t>
  </si>
  <si>
    <t>Mey, Luis</t>
  </si>
  <si>
    <t>Buenos Aires: Seix Barral</t>
  </si>
  <si>
    <t>to-read (#459)</t>
  </si>
  <si>
    <t>La guaracha del Macho Camacho</t>
  </si>
  <si>
    <t>Luis Rafael Sánchez</t>
  </si>
  <si>
    <t>Sánchez, Luis Rafael</t>
  </si>
  <si>
    <t>to-read (#505)</t>
  </si>
  <si>
    <t>The Storm Is Here: An American Crucible</t>
  </si>
  <si>
    <t>Luke Mogelson</t>
  </si>
  <si>
    <t>Mogelson, Luke</t>
  </si>
  <si>
    <t>to-read (#2433), nonfiction (#261)</t>
  </si>
  <si>
    <t>Gregory Peck: A Charmed Life</t>
  </si>
  <si>
    <t>Lynn Haney</t>
  </si>
  <si>
    <t>Haney, Lynn</t>
  </si>
  <si>
    <t>to-read (#2120), nonfiction (#174), biographies-etc (#49)</t>
  </si>
  <si>
    <t>Novel with Cocaine (European Classics)</t>
  </si>
  <si>
    <t>M. Ageyev</t>
  </si>
  <si>
    <t>Ageyev, M.</t>
  </si>
  <si>
    <t>to-read (#46), novels (#100)</t>
  </si>
  <si>
    <t>The Oxford Companion to Classical Literature</t>
  </si>
  <si>
    <t>M.C. Howatson</t>
  </si>
  <si>
    <t>Howatson, M.C.</t>
  </si>
  <si>
    <t>to-read (#1482)</t>
  </si>
  <si>
    <t>How to Cook a Wolf</t>
  </si>
  <si>
    <t>M.F.K. Fisher</t>
  </si>
  <si>
    <t>Fisher, M.F.K.</t>
  </si>
  <si>
    <t>North Point Press</t>
  </si>
  <si>
    <t>to-read (#1460)</t>
  </si>
  <si>
    <t>The Collected Stories of Machado de Assis</t>
  </si>
  <si>
    <t>Machado de Assis</t>
  </si>
  <si>
    <t>Assis, Machado de</t>
  </si>
  <si>
    <t>Margaret Jull Costa, Robin Patterson, Michael  Wood</t>
  </si>
  <si>
    <t>to-read (#1684)</t>
  </si>
  <si>
    <t>The Inland Sea</t>
  </si>
  <si>
    <t>Madeleine Watts</t>
  </si>
  <si>
    <t>Watts, Madeleine</t>
  </si>
  <si>
    <t>to-read (#765)</t>
  </si>
  <si>
    <t>Galatea</t>
  </si>
  <si>
    <t>Madeline Miller</t>
  </si>
  <si>
    <t>Miller, Madeline</t>
  </si>
  <si>
    <t>Bloomsbury Paperbacks</t>
  </si>
  <si>
    <t>to-read (#1262)</t>
  </si>
  <si>
    <t>The Song of Achilles</t>
  </si>
  <si>
    <t>to-read (#276)</t>
  </si>
  <si>
    <t>Fragments of an Infinite Memory: My Life with the Internet</t>
  </si>
  <si>
    <t>Maël Renouard</t>
  </si>
  <si>
    <t>Renouard, Maël</t>
  </si>
  <si>
    <t>Peter Behrman de Sinety</t>
  </si>
  <si>
    <t>to-read (#742)</t>
  </si>
  <si>
    <t>The Fawn</t>
  </si>
  <si>
    <t>Magda Szabó</t>
  </si>
  <si>
    <t>Szabó, Magda</t>
  </si>
  <si>
    <t>Len Rix</t>
  </si>
  <si>
    <t>to-read (#1229)</t>
  </si>
  <si>
    <t>Couplets</t>
  </si>
  <si>
    <t>Maggie Millner</t>
  </si>
  <si>
    <t>Millner, Maggie</t>
  </si>
  <si>
    <t>to-read (#1165)</t>
  </si>
  <si>
    <t>Bluets</t>
  </si>
  <si>
    <t>Maggie Nelson</t>
  </si>
  <si>
    <t>Nelson, Maggie</t>
  </si>
  <si>
    <t>Wave Books</t>
  </si>
  <si>
    <t>nonfiction (#73), 0 (#483)</t>
  </si>
  <si>
    <t>Would've been a solid 5 stars if I were more a heartbroken person and not an angry one. My fickle mood notwithstanding - great read.</t>
  </si>
  <si>
    <t>The Art of Cruelty: A Reckoning</t>
  </si>
  <si>
    <t>to-read (#1548)</t>
  </si>
  <si>
    <t>Horses of God</t>
  </si>
  <si>
    <t>Mahi Binebine</t>
  </si>
  <si>
    <t>Binebine, Mahi</t>
  </si>
  <si>
    <t>novels (#44), 0 (#456)</t>
  </si>
  <si>
    <t>#Dear Twitter: Love Letters Hashed Out Online in 140 Characters or Less</t>
  </si>
  <si>
    <t>Mahogany L. Browne</t>
  </si>
  <si>
    <t>Browne, Mahogany L.</t>
  </si>
  <si>
    <t>Penmanship Books</t>
  </si>
  <si>
    <t>to-read (#1723), poetry (#35), 0 (#517)</t>
  </si>
  <si>
    <t>The Ruin of All Witches: Life and Death in the New World</t>
  </si>
  <si>
    <t>Malcolm Gaskill</t>
  </si>
  <si>
    <t>Gaskill, Malcolm</t>
  </si>
  <si>
    <t>to-read (#1109), history (#34)</t>
  </si>
  <si>
    <t>Outliers: The Story of Success</t>
  </si>
  <si>
    <t>Malcolm Gladwell</t>
  </si>
  <si>
    <t>Gladwell, Malcolm</t>
  </si>
  <si>
    <t>to-read (#1353), nonfiction (#78), 0 (#406)</t>
  </si>
  <si>
    <t>Torture: The grand conspiracy</t>
  </si>
  <si>
    <t>Malise Ruthven</t>
  </si>
  <si>
    <t>Ruthven, Malise</t>
  </si>
  <si>
    <t>Weidenfeld &amp; Nicolson</t>
  </si>
  <si>
    <t>to-read (#2394), bib-torture (#2)</t>
  </si>
  <si>
    <t>A Victorian Flower Dictionary: The Language of Flowers Companion</t>
  </si>
  <si>
    <t>Mandy Kirkby</t>
  </si>
  <si>
    <t>Kirkby, Mandy</t>
  </si>
  <si>
    <t>Vanessa Diffenbaugh</t>
  </si>
  <si>
    <t>to-read (#106)</t>
  </si>
  <si>
    <t>The Death of Vishnu</t>
  </si>
  <si>
    <t>Manil Suri</t>
  </si>
  <si>
    <t>Suri, Manil</t>
  </si>
  <si>
    <t>to-read (#51)</t>
  </si>
  <si>
    <t>Scratch: Writers, Money, and the Art of Making a Living</t>
  </si>
  <si>
    <t>Manjula Martin</t>
  </si>
  <si>
    <t>Martin, Manjula</t>
  </si>
  <si>
    <t>to-read (#193)</t>
  </si>
  <si>
    <t>The Secret Teachings of All Ages</t>
  </si>
  <si>
    <t>Manly P. Hall</t>
  </si>
  <si>
    <t>Hall, Manly P.</t>
  </si>
  <si>
    <t>to-read (#1144)</t>
  </si>
  <si>
    <t>Farber on Film: The Complete Film Writings of Manny Farber</t>
  </si>
  <si>
    <t>Manny Farber</t>
  </si>
  <si>
    <t>Farber, Manny</t>
  </si>
  <si>
    <t>Robert Polito</t>
  </si>
  <si>
    <t>Library of America</t>
  </si>
  <si>
    <t>to-read (#2256), books-from-twitter (#60)</t>
  </si>
  <si>
    <t>Of Saints and Miracles</t>
  </si>
  <si>
    <t>Manuel Astur</t>
  </si>
  <si>
    <t>Astur, Manuel</t>
  </si>
  <si>
    <t>Claire Wadie</t>
  </si>
  <si>
    <t>Peirene Press</t>
  </si>
  <si>
    <t>to-read (#2074)</t>
  </si>
  <si>
    <t>The Male Gazed</t>
  </si>
  <si>
    <t>Manuel Betancourt</t>
  </si>
  <si>
    <t>Betancourt, Manuel</t>
  </si>
  <si>
    <t xml:space="preserve">essays, nonfiction, queer-gender-etc, to-read, </t>
  </si>
  <si>
    <t>to-read (#1191), essays (#5), nonfiction (#168), queer-gender-etc (#54)</t>
  </si>
  <si>
    <t>El mal metafísico</t>
  </si>
  <si>
    <t>Manuel Gálvez</t>
  </si>
  <si>
    <t>Gálvez, Manuel</t>
  </si>
  <si>
    <t>to-read (#700)</t>
  </si>
  <si>
    <t>Pasaporte 11333: ocho años con la CIA</t>
  </si>
  <si>
    <t>Manuel Hevia Cosculluela</t>
  </si>
  <si>
    <t>Cosculluela, Manuel Hevia</t>
  </si>
  <si>
    <t>Editorial de Ciencias Sociales, La Habana</t>
  </si>
  <si>
    <t>to-read (#2418), bib-torture (#27)</t>
  </si>
  <si>
    <t>A Descending Spiral: Exposing the Death Penalty in 12 Essays</t>
  </si>
  <si>
    <t>Marc Bookman</t>
  </si>
  <si>
    <t>Bookman, Marc</t>
  </si>
  <si>
    <t>to-read (#833)</t>
  </si>
  <si>
    <t>Except for Palestine: The Limits of Progressive Politics</t>
  </si>
  <si>
    <t>Marc Lamont Hill</t>
  </si>
  <si>
    <t>Hill, Marc Lamont</t>
  </si>
  <si>
    <t>Mitchell Plitnick</t>
  </si>
  <si>
    <t>to-read (#2241), nonfiction (#242)</t>
  </si>
  <si>
    <t>The Book of Monelle</t>
  </si>
  <si>
    <t>Marcel Schwob</t>
  </si>
  <si>
    <t>Schwob, Marcel</t>
  </si>
  <si>
    <t>Kit Schluter</t>
  </si>
  <si>
    <t>to-read (#2221), books-from-twitter (#48)</t>
  </si>
  <si>
    <t>Argentina under the Kirchners: The legacy of left populism</t>
  </si>
  <si>
    <t>Marcela Lopez Levy</t>
  </si>
  <si>
    <t>Levy, Marcela Lopez</t>
  </si>
  <si>
    <t>Practical Action Publishing and Latin America Bureau</t>
  </si>
  <si>
    <t>to-read (#2373), books-about-argentina (#18)</t>
  </si>
  <si>
    <t>Pedro's Theory</t>
  </si>
  <si>
    <t>Marcos Gonsalez</t>
  </si>
  <si>
    <t>Gonsalez, Marcos</t>
  </si>
  <si>
    <t>to-read (#719)</t>
  </si>
  <si>
    <t>Meditations</t>
  </si>
  <si>
    <t>Marcus Aurelius</t>
  </si>
  <si>
    <t>Aurelius, Marcus</t>
  </si>
  <si>
    <t>Martin Hammond</t>
  </si>
  <si>
    <t>to-read (#82)</t>
  </si>
  <si>
    <t>The Penelopiad</t>
  </si>
  <si>
    <t>Margaret Atwood</t>
  </si>
  <si>
    <t>Atwood, Margaret</t>
  </si>
  <si>
    <t>Canongate U.S.</t>
  </si>
  <si>
    <t>to-read (#1328), novels (#179), greeks-romans-etc (#43)</t>
  </si>
  <si>
    <t>The Testaments (The Handmaid's Tale, #2)</t>
  </si>
  <si>
    <t>to-read (#1324), awards-man-booker-prize-winners (#53)</t>
  </si>
  <si>
    <t>The Blind Assassin</t>
  </si>
  <si>
    <t>Virago Press Ltd</t>
  </si>
  <si>
    <t>to-read (#1306), awards-man-booker-prize-winners (#34)</t>
  </si>
  <si>
    <t>Negotiating with the Dead: A Writer on Writing</t>
  </si>
  <si>
    <t>Virago Press</t>
  </si>
  <si>
    <t>to-read (#132)</t>
  </si>
  <si>
    <t>The Oxford Companion to English Literature</t>
  </si>
  <si>
    <t>Margaret Drabble</t>
  </si>
  <si>
    <t>Drabble, Margaret</t>
  </si>
  <si>
    <t>to-read (#1481)</t>
  </si>
  <si>
    <t>The Straight State: Sexuality and Citizenship in Twentieth-Century America</t>
  </si>
  <si>
    <t>Margot Canaday</t>
  </si>
  <si>
    <t>Canaday, Margot</t>
  </si>
  <si>
    <t>to-read (#264)</t>
  </si>
  <si>
    <t>The Lover</t>
  </si>
  <si>
    <t>Marguerite Duras</t>
  </si>
  <si>
    <t>Duras, Marguerite</t>
  </si>
  <si>
    <t>Barbara Bray, Maxine Hong Kingston</t>
  </si>
  <si>
    <t>to-read (#1250)</t>
  </si>
  <si>
    <t>A Lexicon of Terror: Argentina and the Legacies of Torture</t>
  </si>
  <si>
    <t>Marguerite Feitlowitz</t>
  </si>
  <si>
    <t>Feitlowitz, Marguerite</t>
  </si>
  <si>
    <t>to-read (#245), books-about-argentina (#7), biblio-shock-doctrine (#8)</t>
  </si>
  <si>
    <t>A Lexicon of Terror: Argentina and the Legacies of Torture, Revised and Updated with a New Epilogue</t>
  </si>
  <si>
    <t>to-read (#2183), books-about-argentina (#3)</t>
  </si>
  <si>
    <t>Autobiography of a Schizophrenic Girl</t>
  </si>
  <si>
    <t>Marguerite Sechehaye</t>
  </si>
  <si>
    <t>Sechehaye, Marguerite</t>
  </si>
  <si>
    <t>to-read (#1909), 0 (#273)</t>
  </si>
  <si>
    <t>Miss MacIntosh, My Darling - Volume One</t>
  </si>
  <si>
    <t>Marguerite Young</t>
  </si>
  <si>
    <t>Young, Marguerite</t>
  </si>
  <si>
    <t>novels (#14), to-read (#1801), 0 (#502)</t>
  </si>
  <si>
    <t>Miss MacIntosh, My Darling - Volume Two</t>
  </si>
  <si>
    <t>to-read (#1418), novels (#13), 0 (#501)</t>
  </si>
  <si>
    <t>Memoirs of Hadrian</t>
  </si>
  <si>
    <t>Marguerite Yourcenar</t>
  </si>
  <si>
    <t>Yourcenar, Marguerite</t>
  </si>
  <si>
    <t>Grace Frick</t>
  </si>
  <si>
    <t>to-read (#1350), greeks-romans-etc (#9), 0 (#405)</t>
  </si>
  <si>
    <t>As Meat Loves Salt</t>
  </si>
  <si>
    <t>Maria McCann</t>
  </si>
  <si>
    <t>McCann, Maria</t>
  </si>
  <si>
    <t>Harvest Books; 1 edition</t>
  </si>
  <si>
    <t>to-read (#338), novels (#125), queer-gender-etc (#31)</t>
  </si>
  <si>
    <t>Visiones de fuego. Historia ilustrada de la alquimia</t>
  </si>
  <si>
    <t>Maria Pandiello</t>
  </si>
  <si>
    <t>Pandiello, Maria</t>
  </si>
  <si>
    <t>La Felguera</t>
  </si>
  <si>
    <t>to-read (#1071)</t>
  </si>
  <si>
    <t>Los sueños y el tiempo</t>
  </si>
  <si>
    <t>María Zambrano</t>
  </si>
  <si>
    <t>Zambrano, María</t>
  </si>
  <si>
    <t>Ediciones Siruela</t>
  </si>
  <si>
    <t>to-read (#498)</t>
  </si>
  <si>
    <t>El hombre y lo divino</t>
  </si>
  <si>
    <t>Artur Guerra, Cristina  Rodriguez</t>
  </si>
  <si>
    <t>to-read (#503)</t>
  </si>
  <si>
    <t>Persona y democracia: La historia sacrificial</t>
  </si>
  <si>
    <t>to-read (#497)</t>
  </si>
  <si>
    <t>Las cosas que perdimos en el fuego</t>
  </si>
  <si>
    <t>Mariana Enríquez</t>
  </si>
  <si>
    <t>Enríquez, Mariana</t>
  </si>
  <si>
    <t>Editorial Anagrama</t>
  </si>
  <si>
    <t>to-read (#334), short-stories (#32)</t>
  </si>
  <si>
    <t>Nuestra parte de noche</t>
  </si>
  <si>
    <t>z-favorites-shelf (#18), 0 (#532)</t>
  </si>
  <si>
    <t>Nuestra parte de noche is one of those novels that reminds you that sometimes it gets bad before it gets worse, and it never gets better. Maybe it could even read a little hoaky if weren't so genuinely terrifying and heartbreaking. Somewhere between a story of brutal intrafamily politics and their vie for power and one of a dark god and its deranged followers, Enriquez brings us into a world beyond locked doors, where there is no moon or stars and it is always night, and the hot breath of hunger soaks the air. Must-read for a quick sinister glimpse into the dark esoteric world around us.</t>
  </si>
  <si>
    <t>Los peligros de fumar en la cama</t>
  </si>
  <si>
    <t xml:space="preserve">0, short-stories, z-favorites-shelf, </t>
  </si>
  <si>
    <t>z-favorites-shelf (#17), short-stories (#22), 0 (#481)</t>
  </si>
  <si>
    <t>to-read (#420)</t>
  </si>
  <si>
    <t>La hermana menor: Un retrato de Silvina Ocampo</t>
  </si>
  <si>
    <t>to-read (#419)</t>
  </si>
  <si>
    <t>Éste es el mar</t>
  </si>
  <si>
    <t>to-read (#396)</t>
  </si>
  <si>
    <t>La pulga de Satán</t>
  </si>
  <si>
    <t>Mariana Orantes</t>
  </si>
  <si>
    <t>Orantes, Mariana</t>
  </si>
  <si>
    <t>Fondo Editorial Tierra Adentro</t>
  </si>
  <si>
    <t>to-read (#458)</t>
  </si>
  <si>
    <t>Kill It with Fire: Manage Aging Computer Systems (and Future Proof Modern Ones)</t>
  </si>
  <si>
    <t>Marianne Bellotti</t>
  </si>
  <si>
    <t>Bellotti, Marianne</t>
  </si>
  <si>
    <t>to-read (#1043)</t>
  </si>
  <si>
    <t>El Tarot paso a paso</t>
  </si>
  <si>
    <t>Costa, Marianne</t>
  </si>
  <si>
    <t>Salomé Landivar, Pablo Arellano</t>
  </si>
  <si>
    <t>Grijalbo</t>
  </si>
  <si>
    <t>to-read (#1004), 0 (#55), tarot (#2)</t>
  </si>
  <si>
    <t>Freud in the Pampas: The Emergence and Development of a Psychoanalytic Culture in Argentina</t>
  </si>
  <si>
    <t>Mariano Plotkin</t>
  </si>
  <si>
    <t>Plotkin, Mariano</t>
  </si>
  <si>
    <t>to-read (#2265), books-about-argentina (#9)</t>
  </si>
  <si>
    <t>Bolívar: American Liberator</t>
  </si>
  <si>
    <t>Marie Arana</t>
  </si>
  <si>
    <t>Arana, Marie</t>
  </si>
  <si>
    <t>to-read (#2202), nonfiction (#214)</t>
  </si>
  <si>
    <t>Self-Portrait in Green</t>
  </si>
  <si>
    <t>Marie NDiaye</t>
  </si>
  <si>
    <t>NDiaye, Marie</t>
  </si>
  <si>
    <t>Jordan Stump</t>
  </si>
  <si>
    <t>to-read (#2377), books-from-twitter (#76)</t>
  </si>
  <si>
    <t>Alchemy: An Introduction to the Symbolism and the Psychology</t>
  </si>
  <si>
    <t>Marie-Louise von Franz</t>
  </si>
  <si>
    <t>Franz, Marie-Louise von</t>
  </si>
  <si>
    <t>Inner City Books</t>
  </si>
  <si>
    <t>to-read (#964), mythology (#15)</t>
  </si>
  <si>
    <t>Eloquent JavaScript: A Modern Introduction to Programming</t>
  </si>
  <si>
    <t>Marijn Haverbeke</t>
  </si>
  <si>
    <t>Haverbeke, Marijn</t>
  </si>
  <si>
    <t>to-read (#536)</t>
  </si>
  <si>
    <t>The Death of Adam: Essays on Modern Thought</t>
  </si>
  <si>
    <t>Marilynne Robinson</t>
  </si>
  <si>
    <t>Robinson, Marilynne</t>
  </si>
  <si>
    <t>to-read (#1139), essays (#1), nonfiction (#167)</t>
  </si>
  <si>
    <t>When I Was a Child I Read Books</t>
  </si>
  <si>
    <t>to-read (#520)</t>
  </si>
  <si>
    <t>The Givenness of Things: Essays</t>
  </si>
  <si>
    <t>to-read (#311)</t>
  </si>
  <si>
    <t>Horizontalism: Voices of Popular Power in Argentina</t>
  </si>
  <si>
    <t>Marina Sitrin</t>
  </si>
  <si>
    <t>Sitrin, Marina</t>
  </si>
  <si>
    <t>AK Press</t>
  </si>
  <si>
    <t>to-read (#221)</t>
  </si>
  <si>
    <t>El libro uruguayo de los muertos</t>
  </si>
  <si>
    <t>Mario Bellatin</t>
  </si>
  <si>
    <t>Bellatin, Mario</t>
  </si>
  <si>
    <t>Sexto Piso</t>
  </si>
  <si>
    <t>to-read (#572)</t>
  </si>
  <si>
    <t>Towards a Gay Communism: Elements of a Homosexual Critique</t>
  </si>
  <si>
    <t>Mario Mieli</t>
  </si>
  <si>
    <t>Mieli, Mario</t>
  </si>
  <si>
    <t>David Fernbach</t>
  </si>
  <si>
    <t>to-read (#265), queer-gender-etc (#26)</t>
  </si>
  <si>
    <t>The War of the End of the World</t>
  </si>
  <si>
    <t>Llosa, Mario Vargas</t>
  </si>
  <si>
    <t>Faber Faber Inc</t>
  </si>
  <si>
    <t>to-read (#54), novels (#103), books-from-twitter (#33)</t>
  </si>
  <si>
    <t>La ciudad y los perros</t>
  </si>
  <si>
    <t>to-read (#478)</t>
  </si>
  <si>
    <t>Special Topics in Calamity Physics</t>
  </si>
  <si>
    <t>Marisha Pessl</t>
  </si>
  <si>
    <t>Pessl, Marisha</t>
  </si>
  <si>
    <t>to-read (#112), novels (#110)</t>
  </si>
  <si>
    <t>El origen musical de los animales-símbolos en la mitología y la escultura antiguas</t>
  </si>
  <si>
    <t>Marius Schneider</t>
  </si>
  <si>
    <t>Schneider, Marius</t>
  </si>
  <si>
    <t>to-read (#1150)</t>
  </si>
  <si>
    <t>The Ruins of the New Argentina: Peronism and the Remaking of San Juan after the 1944 Earthquake</t>
  </si>
  <si>
    <t>Mark Alan Healey</t>
  </si>
  <si>
    <t>Healey, Mark Alan</t>
  </si>
  <si>
    <t>to-read (#2182)</t>
  </si>
  <si>
    <t>Torture and Truth: America, Abu Ghraib, and the War on Terror</t>
  </si>
  <si>
    <t>Mark Danner</t>
  </si>
  <si>
    <t>Danner, Mark</t>
  </si>
  <si>
    <t>to-read (#2423), bib-torture (#31)</t>
  </si>
  <si>
    <t>The Logos</t>
  </si>
  <si>
    <t>Mark de Silva</t>
  </si>
  <si>
    <t>Silva, Mark de</t>
  </si>
  <si>
    <t>Clash Books</t>
  </si>
  <si>
    <t>to-read (#1596), books-from-twitter (#15)</t>
  </si>
  <si>
    <t>Ella Minnow Pea: A Novel in Letters</t>
  </si>
  <si>
    <t>Mark Dunn</t>
  </si>
  <si>
    <t>Dunn, Mark</t>
  </si>
  <si>
    <t>to-read (#383)</t>
  </si>
  <si>
    <t>The Weird and the Eerie</t>
  </si>
  <si>
    <t>Mark Fisher</t>
  </si>
  <si>
    <t>Fisher, Mark</t>
  </si>
  <si>
    <t>Repeater Books</t>
  </si>
  <si>
    <t>to-read (#1549)</t>
  </si>
  <si>
    <t>Biopolitical Imperialism</t>
  </si>
  <si>
    <t>Mark G.E. Kelly</t>
  </si>
  <si>
    <t>Kelly, Mark G.E.</t>
  </si>
  <si>
    <t>to-read (#252)</t>
  </si>
  <si>
    <t>What Was the Hipster? A Sociological Investigation</t>
  </si>
  <si>
    <t>Mark Greif</t>
  </si>
  <si>
    <t>Greif, Mark</t>
  </si>
  <si>
    <t>Kathleen Ross, Dayna Tortorici, n+1, Christian Lorentzen, Jace Clayton, Reid Pillifant, Rob Horning, Jennifer Baumgardner, Patrice Evans, Margo Jefferson, Rob Moor, Christopher Glazek</t>
  </si>
  <si>
    <t>n+1 Foundation</t>
  </si>
  <si>
    <t>to-read (#1336)</t>
  </si>
  <si>
    <t>The Basque History of the World: The Story of a Nation</t>
  </si>
  <si>
    <t>Mark Kurlansky</t>
  </si>
  <si>
    <t>Kurlansky, Mark</t>
  </si>
  <si>
    <t>to-read (#1743)</t>
  </si>
  <si>
    <t>Man About Town</t>
  </si>
  <si>
    <t>Mark Merlis</t>
  </si>
  <si>
    <t>Merlis, Mark</t>
  </si>
  <si>
    <t>to-read (#805)</t>
  </si>
  <si>
    <t>The Wanting Life</t>
  </si>
  <si>
    <t>Mark Rader</t>
  </si>
  <si>
    <t>Rader, Mark</t>
  </si>
  <si>
    <t>The Unnamed Press</t>
  </si>
  <si>
    <t>paperback</t>
  </si>
  <si>
    <t>to-read (#332)</t>
  </si>
  <si>
    <t>The Hidden Spring: A Journey to the Source of Consciousness</t>
  </si>
  <si>
    <t>Mark Solms</t>
  </si>
  <si>
    <t>Solms, Mark</t>
  </si>
  <si>
    <t>to-read (#1959)</t>
  </si>
  <si>
    <t>Joan of Arc</t>
  </si>
  <si>
    <t>Mark Twain</t>
  </si>
  <si>
    <t>Twain, Mark</t>
  </si>
  <si>
    <t>to-read (#732)</t>
  </si>
  <si>
    <t>House of Leaves</t>
  </si>
  <si>
    <t>Mark Z. Danielewski</t>
  </si>
  <si>
    <t>Danielewski, Mark Z.</t>
  </si>
  <si>
    <t>to-read (#98), novels (#15), 0 (#285)</t>
  </si>
  <si>
    <t>The Book Thief</t>
  </si>
  <si>
    <t>Markus Zusak</t>
  </si>
  <si>
    <t>Zusak, Markus</t>
  </si>
  <si>
    <t>All the tears yo, all the tears. Great book.</t>
  </si>
  <si>
    <t>A Brief History of Seven Killings</t>
  </si>
  <si>
    <t>Marlon James</t>
  </si>
  <si>
    <t>James, Marlon</t>
  </si>
  <si>
    <t>to-read (#1320), awards-man-booker-prize-winners (#49)</t>
  </si>
  <si>
    <t>Pain: The Fifth Vital Sign</t>
  </si>
  <si>
    <t>Marni Jackson</t>
  </si>
  <si>
    <t>Jackson, Marni</t>
  </si>
  <si>
    <t>to-read (#1846)</t>
  </si>
  <si>
    <t>Los papeles salvajes. Edición definitiva de la obra poética reunida</t>
  </si>
  <si>
    <t>Marosa Di Giorgio</t>
  </si>
  <si>
    <t>Giorgio, Marosa Di</t>
  </si>
  <si>
    <t>Adriana Hidalgo</t>
  </si>
  <si>
    <t>to-read (#1599), books-from-twitter (#18)</t>
  </si>
  <si>
    <t>Hell and Damnation: A Sinner's Guide to Eternal Torment</t>
  </si>
  <si>
    <t>Marq de Villers</t>
  </si>
  <si>
    <t>Villers, Marq de</t>
  </si>
  <si>
    <t>University of Regina Press</t>
  </si>
  <si>
    <t>to-read (#427)</t>
  </si>
  <si>
    <t>Love's Knowledge: Essays on Philosophy and Literature</t>
  </si>
  <si>
    <t>Martha C. Nussbaum</t>
  </si>
  <si>
    <t>Nussbaum, Martha C.</t>
  </si>
  <si>
    <t>to-read (#1738), essays (#33)</t>
  </si>
  <si>
    <t>From Disgust to Humanity: Sexual Orientation and Constitutional Law</t>
  </si>
  <si>
    <t>to-read (#1716), 0 (#206), queer-gender-etc (#2)</t>
  </si>
  <si>
    <t>Aging Thoughtfully: Conversations about Retirement, Romance, Wrinkles, and Regret</t>
  </si>
  <si>
    <t>Saul Levmore</t>
  </si>
  <si>
    <t>to-read (#1739)</t>
  </si>
  <si>
    <t>Poetic Justice: The Literary Imagination and Public Life</t>
  </si>
  <si>
    <t>to-read (#1737)</t>
  </si>
  <si>
    <t>Undercurrents: A Life Beneath the Surface</t>
  </si>
  <si>
    <t>Martha Manning</t>
  </si>
  <si>
    <t>Manning, Martha</t>
  </si>
  <si>
    <t>to-read (#2094), biblio-noonday-demon (#19)</t>
  </si>
  <si>
    <t>The Crimes of Elagabalus: The Life and Legacy of Rome's Decadent Boy Emperor</t>
  </si>
  <si>
    <t>Martijn Icks</t>
  </si>
  <si>
    <t>Icks, Martijn</t>
  </si>
  <si>
    <t xml:space="preserve">biographies-etc, greeks-romans-etc, history, to-read, </t>
  </si>
  <si>
    <t>to-read (#1181), biographies-etc (#13), history (#10), greeks-romans-etc (#28)</t>
  </si>
  <si>
    <t>I and Thou</t>
  </si>
  <si>
    <t>Martin Buber</t>
  </si>
  <si>
    <t>Buber, Martin</t>
  </si>
  <si>
    <t>Walter Kaufmann</t>
  </si>
  <si>
    <t>Charles Scribner's Sons (NY)</t>
  </si>
  <si>
    <t>to-read (#417)</t>
  </si>
  <si>
    <t>Ñamérica</t>
  </si>
  <si>
    <t>Martín Caparrós</t>
  </si>
  <si>
    <t>Caparrós, Martín</t>
  </si>
  <si>
    <t>LITERATURA RANDOM HOUSE</t>
  </si>
  <si>
    <t>to-read (#2435)</t>
  </si>
  <si>
    <t>A Queer World: The Center for Lesbian and Gay Studies Reader</t>
  </si>
  <si>
    <t>Martin Duberman</t>
  </si>
  <si>
    <t>Duberman, Martin</t>
  </si>
  <si>
    <t>to-read (#707)</t>
  </si>
  <si>
    <t>Codes, Ciphers and Secret Writing (Dover Puzzle Books)</t>
  </si>
  <si>
    <t>Martin Gardner</t>
  </si>
  <si>
    <t>Gardner, Martin</t>
  </si>
  <si>
    <t>to-read (#1871)</t>
  </si>
  <si>
    <t>What is Called Thinking?</t>
  </si>
  <si>
    <t>Martin Heidegger</t>
  </si>
  <si>
    <t>Heidegger, Martin</t>
  </si>
  <si>
    <t>to-read (#1581), philosophy (#18), 0 (#329)</t>
  </si>
  <si>
    <t>Poetry, Language, Thought</t>
  </si>
  <si>
    <t>Albert Hofstadter</t>
  </si>
  <si>
    <t>to-read (#202)</t>
  </si>
  <si>
    <t>Dos veces junio</t>
  </si>
  <si>
    <t>Martín Kohan</t>
  </si>
  <si>
    <t>Kohan, Martín</t>
  </si>
  <si>
    <t xml:space="preserve">novels, sa-mx, to-read, </t>
  </si>
  <si>
    <t>to-read (#2189), novels (#203), sa-mx (#2)</t>
  </si>
  <si>
    <t>Symbol &amp; Archetype: A Study of the Meaning of Existence</t>
  </si>
  <si>
    <t>Martin Lings</t>
  </si>
  <si>
    <t>Lings, Martin</t>
  </si>
  <si>
    <t>Fons Vitae</t>
  </si>
  <si>
    <t>to-read (#1992)</t>
  </si>
  <si>
    <t>Gay Macho: The Life and Death of the Homosexual Clone</t>
  </si>
  <si>
    <t>Martin P. Levine</t>
  </si>
  <si>
    <t>Levine, Martin P.</t>
  </si>
  <si>
    <t>Michael Kimmel</t>
  </si>
  <si>
    <t>to-read (#230), queer-gender-etc (#23)</t>
  </si>
  <si>
    <t>Cannibals and Kings: Origins of Cultures</t>
  </si>
  <si>
    <t>Marvin Harris</t>
  </si>
  <si>
    <t>Harris, Marvin</t>
  </si>
  <si>
    <t>to-read (#1945), anthropology (#1), nonfiction (#283)</t>
  </si>
  <si>
    <t>Universal Waite® Tarot Deck/Book Set</t>
  </si>
  <si>
    <t>Mary Hanson-Roberts</t>
  </si>
  <si>
    <t>Hanson-Roberts, Mary</t>
  </si>
  <si>
    <t>U.S. Games Systems, Inc.</t>
  </si>
  <si>
    <t>Cards</t>
  </si>
  <si>
    <t>to-read (#1018)</t>
  </si>
  <si>
    <t>I Await the Devil's Coming</t>
  </si>
  <si>
    <t>Mary MacLane</t>
  </si>
  <si>
    <t>MacLane, Mary</t>
  </si>
  <si>
    <t>Jessa Crispin</t>
  </si>
  <si>
    <t>to-read (#182)</t>
  </si>
  <si>
    <t>Euripides and the Gods (Onassis Series in Hellenic Culture)</t>
  </si>
  <si>
    <t>Mary R. Lefkowitz</t>
  </si>
  <si>
    <t>Lefkowitz, Mary R.</t>
  </si>
  <si>
    <t>to-read (#2167), greeks-romans-etc (#78)</t>
  </si>
  <si>
    <t>Why Did I Ever</t>
  </si>
  <si>
    <t>Mary Robison</t>
  </si>
  <si>
    <t>Robison, Mary</t>
  </si>
  <si>
    <t>Counterpoint</t>
  </si>
  <si>
    <t>to-read (#741)</t>
  </si>
  <si>
    <t>The Book (Wave Books, 110)</t>
  </si>
  <si>
    <t>Mary Ruefle</t>
  </si>
  <si>
    <t>Ruefle, Mary</t>
  </si>
  <si>
    <t>to-read (#2383), books-from-twitter (#82)</t>
  </si>
  <si>
    <t>Frankenstein</t>
  </si>
  <si>
    <t>Mary Wollstonecraft Shelley</t>
  </si>
  <si>
    <t>Shelley, Mary Wollstonecraft</t>
  </si>
  <si>
    <t>Tom Doherty Associates</t>
  </si>
  <si>
    <t>novels (#79), 0 (#459)</t>
  </si>
  <si>
    <t>fuck</t>
  </si>
  <si>
    <t>Surviving Autocracy</t>
  </si>
  <si>
    <t>Masha Gessen</t>
  </si>
  <si>
    <t>Gessen, Masha</t>
  </si>
  <si>
    <t>to-read (#672)</t>
  </si>
  <si>
    <t>Daily Rituals: How Artists Work</t>
  </si>
  <si>
    <t>Mason Currey</t>
  </si>
  <si>
    <t>Currey, Mason</t>
  </si>
  <si>
    <t>to-read (#174)</t>
  </si>
  <si>
    <t>Unhoused: Adorno and the Problem of Dwelling</t>
  </si>
  <si>
    <t>Matt Waggoner</t>
  </si>
  <si>
    <t>Waggoner, Matt</t>
  </si>
  <si>
    <t>Columbia Books on Architecture and the City</t>
  </si>
  <si>
    <t>to-read (#305)</t>
  </si>
  <si>
    <t>theMystery.doc</t>
  </si>
  <si>
    <t>Matthew  McIntosh</t>
  </si>
  <si>
    <t>McIntosh, Matthew</t>
  </si>
  <si>
    <t>to-read (#735)</t>
  </si>
  <si>
    <t>The Poems of Matthew Arnold (Penguin Poetry Library)</t>
  </si>
  <si>
    <t>Matthew Arnold</t>
  </si>
  <si>
    <t>Arnold, Matthew</t>
  </si>
  <si>
    <t>Jenni Calder, Kenneth Allott</t>
  </si>
  <si>
    <t>to-read (#2109), biblio-noonday-demon (#28)</t>
  </si>
  <si>
    <t>Exploring Greek Myth</t>
  </si>
  <si>
    <t>Matthew Clark</t>
  </si>
  <si>
    <t>Clark, Matthew</t>
  </si>
  <si>
    <t>to-read (#1503), greeks-romans-etc (#61)</t>
  </si>
  <si>
    <t>Evicted: Poverty and Profit in the American City</t>
  </si>
  <si>
    <t>Matthew Desmond</t>
  </si>
  <si>
    <t>Desmond, Matthew</t>
  </si>
  <si>
    <t>Crown Publishers</t>
  </si>
  <si>
    <t>to-read (#151), nonfiction (#207)</t>
  </si>
  <si>
    <t>Hide</t>
  </si>
  <si>
    <t>Matthew Griffin</t>
  </si>
  <si>
    <t>Griffin, Matthew</t>
  </si>
  <si>
    <t>to-read (#266), novels (#122), queer-gender-etc (#27)</t>
  </si>
  <si>
    <t>Newcomers: Gentrification and Its Discontents</t>
  </si>
  <si>
    <t>Matthew L. Schuerman</t>
  </si>
  <si>
    <t>Schuerman, Matthew L.</t>
  </si>
  <si>
    <t>to-read (#687)</t>
  </si>
  <si>
    <t>The Dialectical Behavior Therapy Skills Workbook: Practical DBT Exercises for Learning Mindfulness, Interpersonal Effectiveness, Emotion Regulation, and Distress Tolerance</t>
  </si>
  <si>
    <t>Matthew McKay</t>
  </si>
  <si>
    <t>McKay, Matthew</t>
  </si>
  <si>
    <t>Jeffrey C. Wood, Jeffrey Brantley</t>
  </si>
  <si>
    <t>New Harbinger Publications</t>
  </si>
  <si>
    <t>to-read (#2046)</t>
  </si>
  <si>
    <t>Cows (Little House on the Bowery)</t>
  </si>
  <si>
    <t>Matthew Stokoe</t>
  </si>
  <si>
    <t>Stokoe, Matthew</t>
  </si>
  <si>
    <t>Akashic Books</t>
  </si>
  <si>
    <t>Trade Paperback</t>
  </si>
  <si>
    <t>to-read (#45)</t>
  </si>
  <si>
    <t>Why Are Faggots So Afraid of Faggots?: Flaming Challenges to Masculinity, Objectification, and the Desire to Conform</t>
  </si>
  <si>
    <t>Mattilda Bernstein Sycamore</t>
  </si>
  <si>
    <t>Sycamore, Mattilda Bernstein</t>
  </si>
  <si>
    <t>to-read (#1011), 0 (#30)</t>
  </si>
  <si>
    <t>The Deng Xiaoping Era: An Inquiry into the Fate of Chinese Socialism, 1978-1994</t>
  </si>
  <si>
    <t>Maurice J. Meisner</t>
  </si>
  <si>
    <t>Meisner, Maurice J.</t>
  </si>
  <si>
    <t>Hill and Wang</t>
  </si>
  <si>
    <t>to-read (#2311), biblio-shock-doctrine (#46)</t>
  </si>
  <si>
    <t>The Intelligence of Flowers</t>
  </si>
  <si>
    <t>Maurice Maeterlinck</t>
  </si>
  <si>
    <t>Maeterlinck, Maurice</t>
  </si>
  <si>
    <t>Philip Mosley</t>
  </si>
  <si>
    <t>to-read (#784)</t>
  </si>
  <si>
    <t>Phenomenology of Perception</t>
  </si>
  <si>
    <t>Maurice Merleau-Ponty</t>
  </si>
  <si>
    <t>Merleau-Ponty, Maurice</t>
  </si>
  <si>
    <t>Colin Smith</t>
  </si>
  <si>
    <t>to-read (#197), philosophy (#63)</t>
  </si>
  <si>
    <t>American Abductions</t>
  </si>
  <si>
    <t>Mauro Javier Cárdenas</t>
  </si>
  <si>
    <t>Cárdenas, Mauro Javier</t>
  </si>
  <si>
    <t>to-read (#1203), novels (#164)</t>
  </si>
  <si>
    <t>A Little Girl Dreams of Taking the Veil (Reve D'Une Petite Fille Qui Voulut Entrer Au Carmel)</t>
  </si>
  <si>
    <t>Max Ernst</t>
  </si>
  <si>
    <t>Ernst, Max</t>
  </si>
  <si>
    <t>to-read (#1106)</t>
  </si>
  <si>
    <t>Four Reincarnations: Poems</t>
  </si>
  <si>
    <t>Max Ritvo</t>
  </si>
  <si>
    <t>Ritvo, Max</t>
  </si>
  <si>
    <t>Milkweed Editions</t>
  </si>
  <si>
    <t>to-read (#1729), poetry (#18), 0 (#552)</t>
  </si>
  <si>
    <t>The Protestant Ethic and the Spirit of Capitalism</t>
  </si>
  <si>
    <t>Max Weber</t>
  </si>
  <si>
    <t>Weber, Max</t>
  </si>
  <si>
    <t>Talcott Parsons, R.H. Tawney</t>
  </si>
  <si>
    <t>to-read (#604)</t>
  </si>
  <si>
    <t>Journal of a Solitude</t>
  </si>
  <si>
    <t>May Sarton</t>
  </si>
  <si>
    <t>Sarton, May</t>
  </si>
  <si>
    <t>W.W. Norton &amp; Co.</t>
  </si>
  <si>
    <t>to-read (#1838)</t>
  </si>
  <si>
    <t>General Intellects: Twenty-Five Thinkers for the Twenty-First Century</t>
  </si>
  <si>
    <t>McKenzie Wark</t>
  </si>
  <si>
    <t>Wark, McKenzie</t>
  </si>
  <si>
    <t>to-read (#229)</t>
  </si>
  <si>
    <t>Ctrl + Z: The Right to Be Forgotten</t>
  </si>
  <si>
    <t>Meg Leta Jones</t>
  </si>
  <si>
    <t>Jones, Meg Leta</t>
  </si>
  <si>
    <t>to-read (#1825)</t>
  </si>
  <si>
    <t>selected unpublished blog posts of a mexican panda express employee</t>
  </si>
  <si>
    <t>Megan Boyle</t>
  </si>
  <si>
    <t>Boyle, Megan</t>
  </si>
  <si>
    <t>Muumuu House</t>
  </si>
  <si>
    <t>to-read (#1355), poetry (#14), 0 (#453)</t>
  </si>
  <si>
    <t>The Unspeakable: And Other Subjects of Discussion</t>
  </si>
  <si>
    <t>Meghan Daum</t>
  </si>
  <si>
    <t>Daum, Meghan</t>
  </si>
  <si>
    <t>to-read (#343)</t>
  </si>
  <si>
    <t>Evil, Madness, and the Occult in Argentine Poetry</t>
  </si>
  <si>
    <t>Melanie Nicholson</t>
  </si>
  <si>
    <t>Nicholson, Melanie</t>
  </si>
  <si>
    <t>University Press of Florida</t>
  </si>
  <si>
    <t>to-read (#1118)</t>
  </si>
  <si>
    <t>Milk Fed</t>
  </si>
  <si>
    <t>Melissa Broder</t>
  </si>
  <si>
    <t>Broder, Melissa</t>
  </si>
  <si>
    <t>to-read (#723)</t>
  </si>
  <si>
    <t>The Tenth Circle</t>
  </si>
  <si>
    <t>Mempo Giardinelli</t>
  </si>
  <si>
    <t>Giardinelli, Mempo</t>
  </si>
  <si>
    <t>Latin American Literary Review Press</t>
  </si>
  <si>
    <t>to-read (#184)</t>
  </si>
  <si>
    <t>Sultry Moon</t>
  </si>
  <si>
    <t>Patricia J. Duncan</t>
  </si>
  <si>
    <t>to-read (#178)</t>
  </si>
  <si>
    <t>Let's Go Play at the Adams'</t>
  </si>
  <si>
    <t>Mendal W. Johnson</t>
  </si>
  <si>
    <t>Johnson, Mendal W.</t>
  </si>
  <si>
    <t>to-read (#114)</t>
  </si>
  <si>
    <t>La muerte y la primavera</t>
  </si>
  <si>
    <t>Mercè Rodoreda</t>
  </si>
  <si>
    <t>Rodoreda, Mercè</t>
  </si>
  <si>
    <t>Club Editor</t>
  </si>
  <si>
    <t>to-read (#1417), novels (#29), 0 (#500)</t>
  </si>
  <si>
    <t>The Novel: A Biography</t>
  </si>
  <si>
    <t>Michael       Schmidt</t>
  </si>
  <si>
    <t>Schmidt, Michael</t>
  </si>
  <si>
    <t>to-read (#1125)</t>
  </si>
  <si>
    <t>Street Gang: The Complete History of Sesame Street</t>
  </si>
  <si>
    <t>Michael      Davis</t>
  </si>
  <si>
    <t>Davis, Michael</t>
  </si>
  <si>
    <t>to-read (#1614), nonfiction (#12), 0 (#426)</t>
  </si>
  <si>
    <t>Psychosocial Disorders in Young People: Time Trends and Their Causes</t>
  </si>
  <si>
    <t>Michael  Rutter</t>
  </si>
  <si>
    <t>Rutter, Michael</t>
  </si>
  <si>
    <t>David John Smith</t>
  </si>
  <si>
    <t>to-read (#2053), biblio-noonday-demon (#9)</t>
  </si>
  <si>
    <t>The War Against the Terror Masters: Why It Happened. Where We Are Now. How We'll Win.</t>
  </si>
  <si>
    <t>Michael A. Ledeen</t>
  </si>
  <si>
    <t>Ledeen, Michael A.</t>
  </si>
  <si>
    <t>to-read (#2372), biblio-shock-doctrine (#95)</t>
  </si>
  <si>
    <t>I Don't Want to Die Poor: Essays</t>
  </si>
  <si>
    <t>Michael Arceneaux</t>
  </si>
  <si>
    <t>Arceneaux, Michael</t>
  </si>
  <si>
    <t>to-read (#547), essays (#44)</t>
  </si>
  <si>
    <t>Greek mysteries</t>
  </si>
  <si>
    <t>Michael B. Cosmopoulos</t>
  </si>
  <si>
    <t>Cosmopoulos, Michael B.</t>
  </si>
  <si>
    <t>to-read (#1710)</t>
  </si>
  <si>
    <t>Culture Clash: The Making of Gay Sensibility</t>
  </si>
  <si>
    <t>Michael Bronski</t>
  </si>
  <si>
    <t>Bronski, Michael</t>
  </si>
  <si>
    <t>South End Press</t>
  </si>
  <si>
    <t>to-read (#350), queer-gender-etc (#60)</t>
  </si>
  <si>
    <t>A Queer History of the United States (ReVisioning American History)</t>
  </si>
  <si>
    <t>to-read (#180), history (#48), queer-gender-etc (#18)</t>
  </si>
  <si>
    <t>The Lopsided Ape: Evolution of the Generative Mind</t>
  </si>
  <si>
    <t>Michael C. Corballis</t>
  </si>
  <si>
    <t>Corballis, Michael C.</t>
  </si>
  <si>
    <t>to-read (#2130), biblio-noonday-demon (#52)</t>
  </si>
  <si>
    <t>Everyone Loves the Situation</t>
  </si>
  <si>
    <t>Michael Cirelli</t>
  </si>
  <si>
    <t>Cirelli, Michael</t>
  </si>
  <si>
    <t>to-read (#1726), poetry (#32), 0 (#519)</t>
  </si>
  <si>
    <t>Classics for Pleasure</t>
  </si>
  <si>
    <t>Michael Dirda</t>
  </si>
  <si>
    <t>Dirda, Michael</t>
  </si>
  <si>
    <t>to-read (#1633), books-about-books (#2)</t>
  </si>
  <si>
    <t>Bound to Please: An Extraordinary One-Volume Literary Education</t>
  </si>
  <si>
    <t>to-read (#1629), books-about-books (#1)</t>
  </si>
  <si>
    <t>Book by Book: Notes on Reading and Life</t>
  </si>
  <si>
    <t>to-read (#1568)</t>
  </si>
  <si>
    <t>Madness Is Civilization: When the Diagnosis Was Social, 1948-1980</t>
  </si>
  <si>
    <t>Michael E. Staub</t>
  </si>
  <si>
    <t>Staub, Michael E.</t>
  </si>
  <si>
    <t>to-read (#1961)</t>
  </si>
  <si>
    <t>The Photographic Eye: Learning to See with a Camera</t>
  </si>
  <si>
    <t>Michael F. O'Brien</t>
  </si>
  <si>
    <t>O'Brien, Michael F.</t>
  </si>
  <si>
    <t>Norman Sibley</t>
  </si>
  <si>
    <t>Davis</t>
  </si>
  <si>
    <t>to-read (#1886), tech (#13), 0 (#444)</t>
  </si>
  <si>
    <t>A Dictionary of Literary Symbols</t>
  </si>
  <si>
    <t>Michael Ferber</t>
  </si>
  <si>
    <t>Ferber, Michael</t>
  </si>
  <si>
    <t>to-read (#857), dictionaries-and-encyclopedias (#26)</t>
  </si>
  <si>
    <t>The Stranger in the Woods: The Extraordinary Story of the Last True Hermit</t>
  </si>
  <si>
    <t>Michael Finkel</t>
  </si>
  <si>
    <t>Finkel, Michael</t>
  </si>
  <si>
    <t>to-read (#1120), nonfiction (#143)</t>
  </si>
  <si>
    <t>Mark Bramhall</t>
  </si>
  <si>
    <t>Books on Tape</t>
  </si>
  <si>
    <t>Audio CD</t>
  </si>
  <si>
    <t>to-read (#697), biographies-etc (#26), nonfiction (#112)</t>
  </si>
  <si>
    <t>The Consumer</t>
  </si>
  <si>
    <t>Michael Gira</t>
  </si>
  <si>
    <t>Gira, Michael</t>
  </si>
  <si>
    <t>to-read (#5), short-stories (#28)</t>
  </si>
  <si>
    <t>Heidegger: A Very Short Introduction</t>
  </si>
  <si>
    <t>Michael J. Inwood</t>
  </si>
  <si>
    <t>Inwood, Michael J.</t>
  </si>
  <si>
    <t>to-read (#775), nonfiction (#95), philosophy (#34)</t>
  </si>
  <si>
    <t>What Money Can't Buy: The Moral Limits of Markets</t>
  </si>
  <si>
    <t>Michael J. Sandel</t>
  </si>
  <si>
    <t>Sandel, Michael J.</t>
  </si>
  <si>
    <t>philosophy (#15), to-read (#1803), 0 (#510)</t>
  </si>
  <si>
    <t>Justice: What's the Right Thing to Do?</t>
  </si>
  <si>
    <t>to-read (#1399), philosophy (#14), 0 (#414)</t>
  </si>
  <si>
    <t>The Case against Perfection: Ethics in the Age of Genetic Engineering</t>
  </si>
  <si>
    <t>Belknap Press of Harvard University Press</t>
  </si>
  <si>
    <t>to-read (#1341)</t>
  </si>
  <si>
    <t>Psychotronic Encyclopedia of Film</t>
  </si>
  <si>
    <t>Michael J. Weldon</t>
  </si>
  <si>
    <t>Weldon, Michael J.</t>
  </si>
  <si>
    <t>to-read (#433), dictionaries-and-encyclopedias (#18)</t>
  </si>
  <si>
    <t>Michael Langford's 35mm Handbook</t>
  </si>
  <si>
    <t>Michael Langford</t>
  </si>
  <si>
    <t>Langford, Michael</t>
  </si>
  <si>
    <t>to-read (#1874), tech (#12), 0 (#440)</t>
  </si>
  <si>
    <t>True Crimes: Rodolfo Walsh: The Life and Times of a Radical Intellectual</t>
  </si>
  <si>
    <t>Michael McCaughan</t>
  </si>
  <si>
    <t>McCaughan, Michael</t>
  </si>
  <si>
    <t>Latin America Bureau (LAB)</t>
  </si>
  <si>
    <t>to-read (#2277), biblio-shock-doctrine (#7), books-about-argentina (#13)</t>
  </si>
  <si>
    <t>The Amulet</t>
  </si>
  <si>
    <t>Michael McDowell</t>
  </si>
  <si>
    <t>McDowell, Michael</t>
  </si>
  <si>
    <t>Avon</t>
  </si>
  <si>
    <t>to-read (#1845)</t>
  </si>
  <si>
    <t>The Elementals</t>
  </si>
  <si>
    <t>to-read (#1844)</t>
  </si>
  <si>
    <t>Post-apartheid South Africa: The First Ten Years</t>
  </si>
  <si>
    <t>Michael Nowak</t>
  </si>
  <si>
    <t>Nowak, Michael</t>
  </si>
  <si>
    <t>Intl Monetary Fund</t>
  </si>
  <si>
    <t>to-read (#2331), biblio-shock-doctrine (#62)</t>
  </si>
  <si>
    <t>Racial Formation in the United States</t>
  </si>
  <si>
    <t>Michael Omi</t>
  </si>
  <si>
    <t>Omi, Michael</t>
  </si>
  <si>
    <t>Howard Winant</t>
  </si>
  <si>
    <t>to-read (#269)</t>
  </si>
  <si>
    <t>The English Patient</t>
  </si>
  <si>
    <t>Michael Ondaatje</t>
  </si>
  <si>
    <t>Ondaatje, Michael</t>
  </si>
  <si>
    <t>McClelland &amp; Stewart</t>
  </si>
  <si>
    <t>to-read (#1299), awards-man-booker-prize-winners (#25)</t>
  </si>
  <si>
    <t>How to Change Your Mind: What the New Science of Psychedelics Teaches Us About Consciousness, Dying, Addiction, Depression, and Transcendence</t>
  </si>
  <si>
    <t>Michael Pollan</t>
  </si>
  <si>
    <t>Pollan, Michael</t>
  </si>
  <si>
    <t>to-read (#1935)</t>
  </si>
  <si>
    <t>Cobra II: The Inside Story of the Invasion and Occupation of Iraq</t>
  </si>
  <si>
    <t>Michael R. Gordon</t>
  </si>
  <si>
    <t>Gordon, Michael R.</t>
  </si>
  <si>
    <t>Bernard E. Trainor</t>
  </si>
  <si>
    <t>to-read (#2358), biblio-shock-doctrine (#81)</t>
  </si>
  <si>
    <t>Journey to the South</t>
  </si>
  <si>
    <t>Michal Ajvaz</t>
  </si>
  <si>
    <t>Ajvaz, Michal</t>
  </si>
  <si>
    <t>Andrew Oakland</t>
  </si>
  <si>
    <t>to-read (#1101)</t>
  </si>
  <si>
    <t>What is an Author?</t>
  </si>
  <si>
    <t>Michel Foucault</t>
  </si>
  <si>
    <t>Foucault, Michel</t>
  </si>
  <si>
    <t>to-read (#1571), foucault (#17)</t>
  </si>
  <si>
    <t>The Archaeology of Knowledge and The Discourse on Language</t>
  </si>
  <si>
    <t>to-read (#1777), foucault (#16)</t>
  </si>
  <si>
    <t>I, Pierre Rivière, having slaughtered my mother, my sister, and my brother...: A Case of Parricide in the 19th Century</t>
  </si>
  <si>
    <t>Frank Jellinek, Pierre Rivière</t>
  </si>
  <si>
    <t>to-read (#339), foucault (#15)</t>
  </si>
  <si>
    <t>Microfísica del poder</t>
  </si>
  <si>
    <t>Julia Varela, Fernando AIvarez-Uría</t>
  </si>
  <si>
    <t>La Piqueta</t>
  </si>
  <si>
    <t>to-read (#565), philosophy (#61), foucault (#14)</t>
  </si>
  <si>
    <t>Madness and Civilization: A History of Insanity in the Age of Reason</t>
  </si>
  <si>
    <t xml:space="preserve">biblio-noonday-demon, foucault, history, nonfiction, to-read, </t>
  </si>
  <si>
    <t>to-read (#2164), biblio-noonday-demon (#70), nonfiction (#201), history (#68), foucault (#13)</t>
  </si>
  <si>
    <t>The History of Sexuality, Volume 1: An Introduction</t>
  </si>
  <si>
    <t>to-read (#1975), foucault (#9), philosophy (#69)</t>
  </si>
  <si>
    <t>Discipline and Punish: The Birth of the Prison</t>
  </si>
  <si>
    <t>to-read (#208), philosophy (#7), 0 (#377), foucault (#6)</t>
  </si>
  <si>
    <t>The Order of Things: An Archaeology of the Human Sciences</t>
  </si>
  <si>
    <t>to-read (#1850), philosophy (#67), foucault (#1)</t>
  </si>
  <si>
    <t>H.P. Lovecraft: Against the World, Against Life</t>
  </si>
  <si>
    <t>Michel Houellebecq</t>
  </si>
  <si>
    <t>Houellebecq, Michel</t>
  </si>
  <si>
    <t>Stephen King</t>
  </si>
  <si>
    <t>McSweeney's, Believer Books</t>
  </si>
  <si>
    <t>to-read (#1627)</t>
  </si>
  <si>
    <t>Atomised</t>
  </si>
  <si>
    <t>Frank Wynne</t>
  </si>
  <si>
    <t>to-read (#213)</t>
  </si>
  <si>
    <t>Symbology: Decoding Classic Images</t>
  </si>
  <si>
    <t>Michelle Snyder</t>
  </si>
  <si>
    <t>Snyder, Michelle</t>
  </si>
  <si>
    <t>White Knight Studio</t>
  </si>
  <si>
    <t>to-read (#961), mythology (#14)</t>
  </si>
  <si>
    <t>The Diva Rules</t>
  </si>
  <si>
    <t>Michelle Visage</t>
  </si>
  <si>
    <t>Visage, Michelle</t>
  </si>
  <si>
    <t>RuPaul</t>
  </si>
  <si>
    <t>to-read (#1370), 0 (#118)</t>
  </si>
  <si>
    <t>Parallel Worlds: A Journey through Creation, Higher Dimensions, and the Future of the Cosmos</t>
  </si>
  <si>
    <t>Michio Kaku</t>
  </si>
  <si>
    <t>Kaku, Michio</t>
  </si>
  <si>
    <t>to-read (#1013), 0 (#170)</t>
  </si>
  <si>
    <t>Parallel Worlds: A Journey Through Creation, Higher Dimensions, and the Future of the Cosmos</t>
  </si>
  <si>
    <t>to-read (#1386)</t>
  </si>
  <si>
    <t>The Complete Book of Spells, Ceremonies, and Magic</t>
  </si>
  <si>
    <t>Migene González-Wippler</t>
  </si>
  <si>
    <t>González-Wippler, Migene</t>
  </si>
  <si>
    <t>to-read (#997), 0 (#168)</t>
  </si>
  <si>
    <t>El Señor Presidente</t>
  </si>
  <si>
    <t>Miguel Ángel Asturias</t>
  </si>
  <si>
    <t>Asturias, Miguel Ángel</t>
  </si>
  <si>
    <t>Alejandro Lanoël-d'Aussenac</t>
  </si>
  <si>
    <t>to-read (#558)</t>
  </si>
  <si>
    <t>Tragic Sense of Life</t>
  </si>
  <si>
    <t>Miguel de Unamuno</t>
  </si>
  <si>
    <t>Unamuno, Miguel de</t>
  </si>
  <si>
    <t>John Ernest Crawford Flitch</t>
  </si>
  <si>
    <t>to-read (#1895), philosophy (#29), 0 (#448)</t>
  </si>
  <si>
    <t>Abel Sánchez and Other Stories</t>
  </si>
  <si>
    <t xml:space="preserve">authors-german-authors, to-read, </t>
  </si>
  <si>
    <t>to-read (#1767)</t>
  </si>
  <si>
    <t>Niebla</t>
  </si>
  <si>
    <t>Espasa Calpe</t>
  </si>
  <si>
    <t>to-read (#479)</t>
  </si>
  <si>
    <t>Magical Urbanism: Latinos Reinvent the U.S. Big City</t>
  </si>
  <si>
    <t>Mike  Davis</t>
  </si>
  <si>
    <t>Davis, Mike</t>
  </si>
  <si>
    <t>Román de la Campa</t>
  </si>
  <si>
    <t>to-read (#378)</t>
  </si>
  <si>
    <t>Rabelais and His World</t>
  </si>
  <si>
    <t>Mikhail Bakhtin</t>
  </si>
  <si>
    <t>Bakhtin, Mikhail</t>
  </si>
  <si>
    <t>Hélène Iswolsky</t>
  </si>
  <si>
    <t>to-read (#2251)</t>
  </si>
  <si>
    <t>The White Guard</t>
  </si>
  <si>
    <t>Mikhail Bulgakov</t>
  </si>
  <si>
    <t>Bulgakov, Mikhail</t>
  </si>
  <si>
    <t>to-read (#2122), biblio-noonday-demon (#42)</t>
  </si>
  <si>
    <t>The Unbearable Lightness of Being</t>
  </si>
  <si>
    <t>Milan Kundera</t>
  </si>
  <si>
    <t>Kundera, Milan</t>
  </si>
  <si>
    <t>Michael Henry Heim, Richmond Hoxie</t>
  </si>
  <si>
    <t>to-read (#56), novels (#104)</t>
  </si>
  <si>
    <t>Kin</t>
  </si>
  <si>
    <t>Miljenko Jergović</t>
  </si>
  <si>
    <t>Jergović, Miljenko</t>
  </si>
  <si>
    <t>Russell Scott Valentino</t>
  </si>
  <si>
    <t>Archipelago Books</t>
  </si>
  <si>
    <t>to-read (#1588), books-from-twitter (#5)</t>
  </si>
  <si>
    <t>Last Love in Constantinople: A Tarot Novel for Divination</t>
  </si>
  <si>
    <t>Milorad Pavić</t>
  </si>
  <si>
    <t>Pavić, Milorad</t>
  </si>
  <si>
    <t>Christina Pribićević-Zorić</t>
  </si>
  <si>
    <t>Dufour Editions</t>
  </si>
  <si>
    <t>to-read (#1536), novels (#212)</t>
  </si>
  <si>
    <t>Dictionary of the Khazars</t>
  </si>
  <si>
    <t>to-read (#1537)</t>
  </si>
  <si>
    <t>What We Owe Each Other: A New Social Contract for a Better Society</t>
  </si>
  <si>
    <t>Minouche Shafik</t>
  </si>
  <si>
    <t>Shafik, Minouche</t>
  </si>
  <si>
    <t>to-read (#927)</t>
  </si>
  <si>
    <t>The Garden of Seven Twilights</t>
  </si>
  <si>
    <t>Miquel de Palol i Muntanyola</t>
  </si>
  <si>
    <t>Muntanyola, Miquel de Palol i</t>
  </si>
  <si>
    <t>to-read (#1112), books-from-twitter (#8)</t>
  </si>
  <si>
    <t>The First Bad Man</t>
  </si>
  <si>
    <t>Miranda July</t>
  </si>
  <si>
    <t>July, Miranda</t>
  </si>
  <si>
    <t>to-read (#978), novels (#8), 0 (#484)</t>
  </si>
  <si>
    <t>No One Belongs Here More Than You</t>
  </si>
  <si>
    <t>short-stories (#25), 0 (#378)</t>
  </si>
  <si>
    <t>Solenoid</t>
  </si>
  <si>
    <t>Mircea Cărtărescu</t>
  </si>
  <si>
    <t>Cărtărescu, Mircea</t>
  </si>
  <si>
    <t>Humanitas</t>
  </si>
  <si>
    <t>to-read (#1054)</t>
  </si>
  <si>
    <t>The Myth of the Eternal Return or, Cosmos and History</t>
  </si>
  <si>
    <t>Mircea Eliade</t>
  </si>
  <si>
    <t>Eliade, Mircea</t>
  </si>
  <si>
    <t>Willard R. Trask</t>
  </si>
  <si>
    <t>PRINCETON UNIVERSITY PRESS</t>
  </si>
  <si>
    <t>to-read (#1987), history (#80)</t>
  </si>
  <si>
    <t>With Love, The Argentina Family: Memories of Tango and Kugel; Mate with Knishes</t>
  </si>
  <si>
    <t>Mirta Ines Trupp</t>
  </si>
  <si>
    <t>Trupp, Mirta Ines</t>
  </si>
  <si>
    <t>to-read (#2205), nonfiction (#218)</t>
  </si>
  <si>
    <t>The Thief, the Cross and the Wheel: Pain and the Spectacle of Punishment in Medieval and Renaissance Europe</t>
  </si>
  <si>
    <t>Mitchell B. Merback</t>
  </si>
  <si>
    <t>Merback, Mitchell B.</t>
  </si>
  <si>
    <t>The University Of Chicago Press</t>
  </si>
  <si>
    <t xml:space="preserve">bib-torture, history, nonfiction, pain, to-read, </t>
  </si>
  <si>
    <t>to-read (#2087), bib-torture (#4), pain (#8), history (#81), nonfiction (#286)</t>
  </si>
  <si>
    <t>Ghetto: The Invention of a Place, the History of an Idea</t>
  </si>
  <si>
    <t>Mitchell Duneier</t>
  </si>
  <si>
    <t>Duneier, Mitchell</t>
  </si>
  <si>
    <t>to-read (#155), history (#54), nonfiction (#87)</t>
  </si>
  <si>
    <t>Sidewalk</t>
  </si>
  <si>
    <t>Hakim Hasan, Ovie Carter</t>
  </si>
  <si>
    <t>to-read (#296)</t>
  </si>
  <si>
    <t>Moth Smoke</t>
  </si>
  <si>
    <t>Mohsin Hamid</t>
  </si>
  <si>
    <t>Hamid, Mohsin</t>
  </si>
  <si>
    <t>to-read (#74)</t>
  </si>
  <si>
    <t>Good Behaviour (New York Review Books Classics)</t>
  </si>
  <si>
    <t>Molly Keane</t>
  </si>
  <si>
    <t>Keane, Molly</t>
  </si>
  <si>
    <t>to-read (#1244)</t>
  </si>
  <si>
    <t>The Straight Mind: And Other Essays</t>
  </si>
  <si>
    <t>Monique Wittig</t>
  </si>
  <si>
    <t>Wittig, Monique</t>
  </si>
  <si>
    <t>to-read (#587), nonfiction (#198), essays (#25), queer-gender-etc (#57)</t>
  </si>
  <si>
    <t>The History of Witchcraft and Demonology</t>
  </si>
  <si>
    <t>Montague Summers</t>
  </si>
  <si>
    <t>Summers, Montague</t>
  </si>
  <si>
    <t>Castle/ Book Sales</t>
  </si>
  <si>
    <t>to-read (#450), history (#45), nonfiction (#98)</t>
  </si>
  <si>
    <t>Other People's Comfort Keeps Me up at Night</t>
  </si>
  <si>
    <t>Morgan  Parker</t>
  </si>
  <si>
    <t>Parker, Morgan</t>
  </si>
  <si>
    <t>Switchback Books</t>
  </si>
  <si>
    <t>to-read (#199)</t>
  </si>
  <si>
    <t>How to Read a Book: The Classic Guide to Intelligent Reading</t>
  </si>
  <si>
    <t>Mortimer J. Adler</t>
  </si>
  <si>
    <t>Adler, Mortimer J.</t>
  </si>
  <si>
    <t>Charles van Doren</t>
  </si>
  <si>
    <t>Simon &amp; Schuster, Inc</t>
  </si>
  <si>
    <t>to-read (#368), books-about-books (#4)</t>
  </si>
  <si>
    <t>The World of Odysseus</t>
  </si>
  <si>
    <t>Moses I. Finley</t>
  </si>
  <si>
    <t>Finley, Moses I.</t>
  </si>
  <si>
    <t>Bernard Knox</t>
  </si>
  <si>
    <t>to-read (#1172)</t>
  </si>
  <si>
    <t>The Tarot: A Contemporary Course of the Quintessence of Hermetic Occultism</t>
  </si>
  <si>
    <t>Mouni Sadhu</t>
  </si>
  <si>
    <t>Sadhu, Mouni</t>
  </si>
  <si>
    <t>Sophia Perennis</t>
  </si>
  <si>
    <t>to-read (#1528)</t>
  </si>
  <si>
    <t>I Saw Ramallah</t>
  </si>
  <si>
    <t>Mourid Barghouti</t>
  </si>
  <si>
    <t>Barghouti, Mourid</t>
  </si>
  <si>
    <t>مريد البرغوثي</t>
  </si>
  <si>
    <t>to-read (#2246)</t>
  </si>
  <si>
    <t>The Conservationist</t>
  </si>
  <si>
    <t>Nadine Gordimer</t>
  </si>
  <si>
    <t>Gordimer, Nadine</t>
  </si>
  <si>
    <t>to-read (#1284), awards-man-booker-prize-winners (#7)</t>
  </si>
  <si>
    <t>Willow Weep for Me: A Black Woman's Journey Through Depression</t>
  </si>
  <si>
    <t>Nana-Ama Danquah</t>
  </si>
  <si>
    <t>Danquah, Nana-Ama</t>
  </si>
  <si>
    <t xml:space="preserve">biblio-noonday-demon, nonfiction, psychology, to-read, </t>
  </si>
  <si>
    <t>to-read (#2141), nonfiction (#186), psychology (#15), biblio-noonday-demon (#53)</t>
  </si>
  <si>
    <t>Two Minutes of Light</t>
  </si>
  <si>
    <t>Nancy K. Pearson</t>
  </si>
  <si>
    <t>Pearson, Nancy K.</t>
  </si>
  <si>
    <t>Perugia Press</t>
  </si>
  <si>
    <t>to-read (#1735), poetry (#25), 0 (#524)</t>
  </si>
  <si>
    <t>Savage Beauty: The Life of Edna St. Vincent Millay</t>
  </si>
  <si>
    <t>Nancy Milford</t>
  </si>
  <si>
    <t>Milford, Nancy</t>
  </si>
  <si>
    <t>to-read (#755), nonfiction (#127)</t>
  </si>
  <si>
    <t>Doppelganger: A Trip into the Mirror World</t>
  </si>
  <si>
    <t>Naomi Klein</t>
  </si>
  <si>
    <t>Klein, Naomi</t>
  </si>
  <si>
    <t>to-read (#1896), nonfiction (#265)</t>
  </si>
  <si>
    <t>La doctrina del shock</t>
  </si>
  <si>
    <t>The Beauty Myth</t>
  </si>
  <si>
    <t>Naomi Wolf</t>
  </si>
  <si>
    <t>Wolf, Naomi</t>
  </si>
  <si>
    <t>to-read (#2049), biblio-noonday-demon (#4)</t>
  </si>
  <si>
    <t>Yanomamo - The Last Days Of Eden</t>
  </si>
  <si>
    <t>Napoleon A. Chagnon</t>
  </si>
  <si>
    <t>Chagnon, Napoleon A.</t>
  </si>
  <si>
    <t>to-read (#2126), biblio-noonday-demon (#47)</t>
  </si>
  <si>
    <t>The Dry Heart</t>
  </si>
  <si>
    <t>Natalia Ginzburg</t>
  </si>
  <si>
    <t>Ginzburg, Natalia</t>
  </si>
  <si>
    <t>Frances Frenaye</t>
  </si>
  <si>
    <t>to-read (#607)</t>
  </si>
  <si>
    <t>Writing Down the Bones: Freeing the Writer Within</t>
  </si>
  <si>
    <t>Natalie Goldberg</t>
  </si>
  <si>
    <t>Goldberg, Natalie</t>
  </si>
  <si>
    <t>Shambhala Publications</t>
  </si>
  <si>
    <t>to-read (#844), nonfiction (#9), 0 (#383)</t>
  </si>
  <si>
    <t>The Needle and the Lens: Pop Goes to the Movies from Rock 'n' Roll to Synthwave</t>
  </si>
  <si>
    <t>Nate Patrin</t>
  </si>
  <si>
    <t>Patrin, Nate</t>
  </si>
  <si>
    <t>to-read (#2244), books-from-twitter (#55), nonfiction (#267)</t>
  </si>
  <si>
    <t>The Ministry of Special Cases</t>
  </si>
  <si>
    <t>Nathan Englander</t>
  </si>
  <si>
    <t>Englander, Nathan</t>
  </si>
  <si>
    <t>to-read (#803)</t>
  </si>
  <si>
    <t>The Teleportation Accident</t>
  </si>
  <si>
    <t>Ned Beauman</t>
  </si>
  <si>
    <t>Beauman, Ned</t>
  </si>
  <si>
    <t>Sceptre</t>
  </si>
  <si>
    <t>to-read (#66)</t>
  </si>
  <si>
    <t>The Nature of Consciousness: Philosophical Debates</t>
  </si>
  <si>
    <t>Ned Block</t>
  </si>
  <si>
    <t>Block, Ned</t>
  </si>
  <si>
    <t>Owen J. Flanagan, Güven Güzeldere</t>
  </si>
  <si>
    <t>to-read (#1563)</t>
  </si>
  <si>
    <t>It's Kind of a Funny Story</t>
  </si>
  <si>
    <t>Ned Vizzini</t>
  </si>
  <si>
    <t>Vizzini, Ned</t>
  </si>
  <si>
    <t>Disney Hyperion</t>
  </si>
  <si>
    <t>novels (#20), 0 (#277)</t>
  </si>
  <si>
    <t>The Lives of Others</t>
  </si>
  <si>
    <t>Neel Mukherjee</t>
  </si>
  <si>
    <t>Mukherjee, Neel</t>
  </si>
  <si>
    <t>novels (#19), to-read (#1883), 0 (#465)</t>
  </si>
  <si>
    <t>The Future of Assisted Suicide and Euthanasia (New Forum Books, 55)</t>
  </si>
  <si>
    <t>Neil Gorsuch</t>
  </si>
  <si>
    <t>Gorsuch, Neil</t>
  </si>
  <si>
    <t>to-read (#195)</t>
  </si>
  <si>
    <t>Technopoly: The Surrender of Culture to Technology</t>
  </si>
  <si>
    <t>Neil Postman</t>
  </si>
  <si>
    <t>Postman, Neil</t>
  </si>
  <si>
    <t>to-read (#1544)</t>
  </si>
  <si>
    <t>The Man with the Golden Arm</t>
  </si>
  <si>
    <t>Nelson Algren</t>
  </si>
  <si>
    <t>Algren, Nelson</t>
  </si>
  <si>
    <t>Kurt Vonnegut Jr., Studs Terkel, William J. Savage Jr., Daniel Simon</t>
  </si>
  <si>
    <t>to-read (#14), novels (#91)</t>
  </si>
  <si>
    <t>A Long Walk to Freedom: The Autobiography of Nelson Mandela</t>
  </si>
  <si>
    <t>Nelson Mandela</t>
  </si>
  <si>
    <t>Mandela, Nelson</t>
  </si>
  <si>
    <t>Little Brown and Co</t>
  </si>
  <si>
    <t>to-read (#2329), biblio-shock-doctrine (#60)</t>
  </si>
  <si>
    <t>The Ascent of Money: A Financial History of the World</t>
  </si>
  <si>
    <t>Niall Ferguson</t>
  </si>
  <si>
    <t>Ferguson, Niall</t>
  </si>
  <si>
    <t>to-read (#1747)</t>
  </si>
  <si>
    <t>Tweak: Growing Up On Methamphetamines</t>
  </si>
  <si>
    <t>Nic Sheff</t>
  </si>
  <si>
    <t>Sheff, Nic</t>
  </si>
  <si>
    <t>Atheneum Books for Young Readers</t>
  </si>
  <si>
    <t>to-read (#13), biographies-etc (#35)</t>
  </si>
  <si>
    <t>The Prince</t>
  </si>
  <si>
    <t>Niccolò Machiavelli</t>
  </si>
  <si>
    <t>Machiavelli, Niccolò</t>
  </si>
  <si>
    <t>George Bull, Anthony Grafton</t>
  </si>
  <si>
    <t xml:space="preserve">0, biblio-shock-doctrine, philosophy, to-read, </t>
  </si>
  <si>
    <t>to-read (#1578), philosophy (#16), 0 (#423), biblio-shock-doctrine (#41)</t>
  </si>
  <si>
    <t>Aldous Huxley: A Biography</t>
  </si>
  <si>
    <t>Nicholas  Murray</t>
  </si>
  <si>
    <t>Murray, Nicholas</t>
  </si>
  <si>
    <t>Thomas Dunne Books</t>
  </si>
  <si>
    <t>to-read (#1371), nonfiction (#26), 0 (#310)</t>
  </si>
  <si>
    <t>A Gentle Madness: Bibliophiles, Bibliomanes, and the Eternal Passion for Books</t>
  </si>
  <si>
    <t>Nicholas A. Basbanes</t>
  </si>
  <si>
    <t>Basbanes, Nicholas A.</t>
  </si>
  <si>
    <t>Holt McDougal</t>
  </si>
  <si>
    <t>to-read (#1564)</t>
  </si>
  <si>
    <t>The Shallows: What the Internet Is Doing to Our Brains</t>
  </si>
  <si>
    <t>Nicholas Carr</t>
  </si>
  <si>
    <t>Carr, Nicholas</t>
  </si>
  <si>
    <t>to-read (#1937)</t>
  </si>
  <si>
    <t>Dark Matters: A Manifesto for the Nocturnal City</t>
  </si>
  <si>
    <t>Nick Dunn</t>
  </si>
  <si>
    <t>Dunn, Nick</t>
  </si>
  <si>
    <t>to-read (#251)</t>
  </si>
  <si>
    <t>Some Ether</t>
  </si>
  <si>
    <t>Nick Flynn</t>
  </si>
  <si>
    <t>Flynn, Nick</t>
  </si>
  <si>
    <t>to-read (#88)</t>
  </si>
  <si>
    <t>Inventing the Future: Postcapitalism and a World Without Work</t>
  </si>
  <si>
    <t>Nick Srnicek</t>
  </si>
  <si>
    <t>Srnicek, Nick</t>
  </si>
  <si>
    <t>Alex Williams</t>
  </si>
  <si>
    <t>to-read (#340)</t>
  </si>
  <si>
    <t>The Good Immigrant: 26 Writers Reflect on America</t>
  </si>
  <si>
    <t>Nikesh Shukla</t>
  </si>
  <si>
    <t>Shukla, Nikesh</t>
  </si>
  <si>
    <t>Chimene Suleyman</t>
  </si>
  <si>
    <t>to-read (#322)</t>
  </si>
  <si>
    <t>Land Sickness</t>
  </si>
  <si>
    <t>Nikolaj Schultz</t>
  </si>
  <si>
    <t>Schultz, Nikolaj</t>
  </si>
  <si>
    <t>to-read (#2039)</t>
  </si>
  <si>
    <t>Flowers from Hell: A Satanic Reader</t>
  </si>
  <si>
    <t>Nikolas Schreck</t>
  </si>
  <si>
    <t>Schreck, Nikolas</t>
  </si>
  <si>
    <t>Creation Books</t>
  </si>
  <si>
    <t>to-read (#1163), mythology (#27)</t>
  </si>
  <si>
    <t>The Satanic Screen: An Illustrated Guide to the Devil in Cinema</t>
  </si>
  <si>
    <t>to-read (#440)</t>
  </si>
  <si>
    <t>The Last Temptation of Christ</t>
  </si>
  <si>
    <t>Nikos Kazantzakis</t>
  </si>
  <si>
    <t>Kazantzakis, Nikos</t>
  </si>
  <si>
    <t>Peter A. Bien</t>
  </si>
  <si>
    <t xml:space="preserve">to-read, z-2023, </t>
  </si>
  <si>
    <t>to-read (#1785), z-2023 (#2)</t>
  </si>
  <si>
    <t>Zorba the Greek</t>
  </si>
  <si>
    <t>Faber &amp; Faber Ltd</t>
  </si>
  <si>
    <t>to-read (#901)</t>
  </si>
  <si>
    <t>Bibliostyle: How We Live at Home with Books</t>
  </si>
  <si>
    <t>Nina Freudenberger</t>
  </si>
  <si>
    <t>Freudenberger, Nina</t>
  </si>
  <si>
    <t>Sadie Stein, Shade Degges</t>
  </si>
  <si>
    <t>Clarkson Potter</t>
  </si>
  <si>
    <t>to-read (#2090)</t>
  </si>
  <si>
    <t>A Dash of Style: The Art and Mastery of Punctuation</t>
  </si>
  <si>
    <t>Noah Lukeman</t>
  </si>
  <si>
    <t>Lukeman, Noah</t>
  </si>
  <si>
    <t>to-read (#603)</t>
  </si>
  <si>
    <t>On Palestine</t>
  </si>
  <si>
    <t>Noam Chomsky</t>
  </si>
  <si>
    <t>Chomsky, Noam</t>
  </si>
  <si>
    <t>Ilan Pappé, Frank Barat</t>
  </si>
  <si>
    <t>nonfiction (#241)</t>
  </si>
  <si>
    <t>Gaza in Crisis: Reflections on Israel's War Against the Palestinians</t>
  </si>
  <si>
    <t>to-read (#2242), nonfiction (#243)</t>
  </si>
  <si>
    <t>Acts of Aggression: Policing Rogue States</t>
  </si>
  <si>
    <t>to-read (#2247)</t>
  </si>
  <si>
    <t>Masters of Mankind: Essays and Lectures, 1969-2013</t>
  </si>
  <si>
    <t>Marcus Raskin</t>
  </si>
  <si>
    <t>to-read (#653)</t>
  </si>
  <si>
    <t>Understanding Power: The Indispensable Chomsky</t>
  </si>
  <si>
    <t>John Schoeffel, R. Mitchell</t>
  </si>
  <si>
    <t>to-read (#254)</t>
  </si>
  <si>
    <t>Tales of Dionysus: The Dionysiaca of Nonnus of Panopolis</t>
  </si>
  <si>
    <t>Nonnus of Panopolis</t>
  </si>
  <si>
    <t>Panopolis, Nonnus of</t>
  </si>
  <si>
    <t>William Levitan, Stanley Lombardo</t>
  </si>
  <si>
    <t>to-read (#1657)</t>
  </si>
  <si>
    <t>De la Banca Baring al FMI: Historia de la deuda externa argentina</t>
  </si>
  <si>
    <t>Norberto Galasso</t>
  </si>
  <si>
    <t>Galasso, Norberto</t>
  </si>
  <si>
    <t>Ediciones Colihue</t>
  </si>
  <si>
    <t>to-read (#2321), biblio-shock-doctrine (#56), books-about-argentina (#19)</t>
  </si>
  <si>
    <t>Gaza: An Inquest into Its Martyrdom</t>
  </si>
  <si>
    <t>Norman G. Finkelstein</t>
  </si>
  <si>
    <t>Finkelstein, Norman G.</t>
  </si>
  <si>
    <t>The Great Conversation: A Historical Introduction to Philosophy</t>
  </si>
  <si>
    <t>Norman Melchert</t>
  </si>
  <si>
    <t>Melchert, Norman</t>
  </si>
  <si>
    <t>to-read (#921), philosophy (#52), history (#83)</t>
  </si>
  <si>
    <t>On Earth We're Briefly Gorgeous</t>
  </si>
  <si>
    <t>Ocean Vuong</t>
  </si>
  <si>
    <t>Vuong, Ocean</t>
  </si>
  <si>
    <t>to-read (#586), poetry (#57)</t>
  </si>
  <si>
    <t>Parable of the Talents (Earthseed, #2)</t>
  </si>
  <si>
    <t>Octavia E. Butler</t>
  </si>
  <si>
    <t>Butler, Octavia E.</t>
  </si>
  <si>
    <t>to-read (#1713), novels (#46), 0 (#342)</t>
  </si>
  <si>
    <t>The Labyrinth of Solitude and Other Writings</t>
  </si>
  <si>
    <t>Octavio Paz</t>
  </si>
  <si>
    <t>Paz, Octavio</t>
  </si>
  <si>
    <t>Lysander Kemp, 옥타비오 파스, Yara Milos</t>
  </si>
  <si>
    <t>to-read (#1768), nonfiction (#221)</t>
  </si>
  <si>
    <t>And Her Soul Out Of Nothing</t>
  </si>
  <si>
    <t>Olena Kalytiak Davis</t>
  </si>
  <si>
    <t>Davis, Olena Kalytiak</t>
  </si>
  <si>
    <t>to-read (#87)</t>
  </si>
  <si>
    <t>The Employees: A Workplace Novel of the 22nd Century</t>
  </si>
  <si>
    <t>Olga Ravn</t>
  </si>
  <si>
    <t>Ravn, Olga</t>
  </si>
  <si>
    <t>Lolli Editions</t>
  </si>
  <si>
    <t>to-read (#838)</t>
  </si>
  <si>
    <t>The Man Who Mistook His Wife for a Hat and Other Clinical Tales</t>
  </si>
  <si>
    <t>Oliver Sacks</t>
  </si>
  <si>
    <t>Sacks, Oliver</t>
  </si>
  <si>
    <t>to-read (#1488), 0 (#69), nonfiction (#83)</t>
  </si>
  <si>
    <t>Funny Weather: Art in an Emergency</t>
  </si>
  <si>
    <t>Olivia Laing</t>
  </si>
  <si>
    <t>Laing, Olivia</t>
  </si>
  <si>
    <t>to-read (#363)</t>
  </si>
  <si>
    <t>Albert Camus: A Life</t>
  </si>
  <si>
    <t>Olivier Todd</t>
  </si>
  <si>
    <t>Todd, Olivier</t>
  </si>
  <si>
    <t>to-read (#41), biographies-etc (#8)</t>
  </si>
  <si>
    <t>The Museum of Innocence</t>
  </si>
  <si>
    <t>Orhan Pamuk</t>
  </si>
  <si>
    <t>Pamuk, Orhan</t>
  </si>
  <si>
    <t>Maureen Freely</t>
  </si>
  <si>
    <t>to-read (#1115)</t>
  </si>
  <si>
    <t>Nights of Plague</t>
  </si>
  <si>
    <t>Ekin Oklap</t>
  </si>
  <si>
    <t>to-read (#1056)</t>
  </si>
  <si>
    <t>No Longer Human</t>
  </si>
  <si>
    <t>Osamu Dazai</t>
  </si>
  <si>
    <t>Dazai, Osamu</t>
  </si>
  <si>
    <t>Donald Keene</t>
  </si>
  <si>
    <t>to-read (#1979), novels (#200)</t>
  </si>
  <si>
    <t>Los migrantes que no importan (Spanish Edition)</t>
  </si>
  <si>
    <t>Óscar Martínez</t>
  </si>
  <si>
    <t>Martínez, Óscar</t>
  </si>
  <si>
    <t>to-read (#2191), books-from-twitter (#35)</t>
  </si>
  <si>
    <t>The Fisherman &amp; His Soul &amp; Other Fairy Tales</t>
  </si>
  <si>
    <t>Oscar Wilde</t>
  </si>
  <si>
    <t>Wilde, Oscar</t>
  </si>
  <si>
    <t>Giles Gordon</t>
  </si>
  <si>
    <t>Y un día Nico se fue</t>
  </si>
  <si>
    <t>Osvaldo Bazán</t>
  </si>
  <si>
    <t>Bazán, Osvaldo</t>
  </si>
  <si>
    <t>Marea</t>
  </si>
  <si>
    <t>to-read (#512)</t>
  </si>
  <si>
    <t>Historia de la homosexualidad en la Argentina. De la Conquista de America al siglo XXI (Spanish Edition)</t>
  </si>
  <si>
    <t>to-read (#511)</t>
  </si>
  <si>
    <t>Metamorphoses</t>
  </si>
  <si>
    <t>Ovid</t>
  </si>
  <si>
    <t>Ovid, Ovid</t>
  </si>
  <si>
    <t>Mary M. Innes</t>
  </si>
  <si>
    <t>to-read (#1419), greeks-romans-etc (#12), 0 (#417)</t>
  </si>
  <si>
    <t>Grimoires: A History of Magic Books</t>
  </si>
  <si>
    <t>Owen  Davies</t>
  </si>
  <si>
    <t>Davies, Owen</t>
  </si>
  <si>
    <t>to-read (#1160), history (#47), nonfiction (#144)</t>
  </si>
  <si>
    <t>Orpheus: A Poetic Drama</t>
  </si>
  <si>
    <t>Owen Barfield</t>
  </si>
  <si>
    <t>Barfield, Owen</t>
  </si>
  <si>
    <t>Lindisfarne Pr</t>
  </si>
  <si>
    <t>to-read (#912), greeks-romans-etc (#21)</t>
  </si>
  <si>
    <t>The History of Animals: A Philosophy</t>
  </si>
  <si>
    <t>Oxana Timofeeva</t>
  </si>
  <si>
    <t>Timofeeva, Oxana</t>
  </si>
  <si>
    <t>Slavoj Žižek</t>
  </si>
  <si>
    <t>to-read (#888), history (#25), philosophy (#48)</t>
  </si>
  <si>
    <t>The Children of Men</t>
  </si>
  <si>
    <t>P.D. James</t>
  </si>
  <si>
    <t>James, P.D.</t>
  </si>
  <si>
    <t>to-read (#1788)</t>
  </si>
  <si>
    <t>The Symbolism of the Tarot: Philosophy of Occultism in Pictures and Numbers</t>
  </si>
  <si>
    <t>P.D. Ouspensky</t>
  </si>
  <si>
    <t>Ouspensky, P.D.</t>
  </si>
  <si>
    <t>A.L. Pogossky</t>
  </si>
  <si>
    <t>to-read (#1522), tarot (#8)</t>
  </si>
  <si>
    <t>Something to Answer For</t>
  </si>
  <si>
    <t>P.H. Newby</t>
  </si>
  <si>
    <t>Newby, P.H.</t>
  </si>
  <si>
    <t>to-read (#1279), awards-man-booker-prize-winners (#1), novels (#175)</t>
  </si>
  <si>
    <t>Un año sin amor</t>
  </si>
  <si>
    <t>Pablo  Pérez</t>
  </si>
  <si>
    <t>Pérez, Pablo</t>
  </si>
  <si>
    <t>Blatt &amp; Ríos</t>
  </si>
  <si>
    <t>to-read (#455)</t>
  </si>
  <si>
    <t>El sentido olvidado: Ensayos sobre el tacto</t>
  </si>
  <si>
    <t>Pablo Maurette</t>
  </si>
  <si>
    <t>Maurette, Pablo</t>
  </si>
  <si>
    <t>Mardulce</t>
  </si>
  <si>
    <t>to-read (#456)</t>
  </si>
  <si>
    <t>Veinte poemas de amor y una canción desesperada</t>
  </si>
  <si>
    <t>Pablo Neruda</t>
  </si>
  <si>
    <t>Neruda, Pablo</t>
  </si>
  <si>
    <t>to-read (#1424), poetry (#16), 0 (#418)</t>
  </si>
  <si>
    <t>The Shadow of the Shadow</t>
  </si>
  <si>
    <t>Paco Ignacio Taibo II</t>
  </si>
  <si>
    <t>II, Paco Ignacio Taibo</t>
  </si>
  <si>
    <t>William I. Neuman</t>
  </si>
  <si>
    <t>to-read (#1448)</t>
  </si>
  <si>
    <t>Altered States</t>
  </si>
  <si>
    <t>Paddy Chayefsky</t>
  </si>
  <si>
    <t>Chayefsky, Paddy</t>
  </si>
  <si>
    <t>to-read (#27), nonfiction (#86)</t>
  </si>
  <si>
    <t>My Love Is A Dead Arctic Explorer</t>
  </si>
  <si>
    <t>Paige Ackerson-Kiely</t>
  </si>
  <si>
    <t>Ackerson-Kiely, Paige</t>
  </si>
  <si>
    <t>to-read (#1725), poetry (#33), 0 (#518)</t>
  </si>
  <si>
    <t>Vivian Maier: A Photographer’s Life and Afterlife</t>
  </si>
  <si>
    <t>Pamela Bannos</t>
  </si>
  <si>
    <t>Bannos, Pamela</t>
  </si>
  <si>
    <t xml:space="preserve">biographies-etc, nonfiction, photography, to-read, </t>
  </si>
  <si>
    <t>to-read (#542), biographies-etc (#3), photography (#5), nonfiction (#101)</t>
  </si>
  <si>
    <t>A Nation of Enemies: Chile under Pinochet</t>
  </si>
  <si>
    <t>Pamela Constable</t>
  </si>
  <si>
    <t>Constable, Pamela</t>
  </si>
  <si>
    <t>Arturo Valenzuela</t>
  </si>
  <si>
    <t>to-read (#2275), biblio-shock-doctrine (#5)</t>
  </si>
  <si>
    <t>Tarot of the Bohemians</t>
  </si>
  <si>
    <t>Papus</t>
  </si>
  <si>
    <t>Papus, Papus</t>
  </si>
  <si>
    <t>Wilshire Book Co</t>
  </si>
  <si>
    <t>to-read (#1189)</t>
  </si>
  <si>
    <t>Perpetual Euphoria: On the Duty to Be Happy</t>
  </si>
  <si>
    <t>Pascal Bruckner</t>
  </si>
  <si>
    <t>Bruckner, Pascal</t>
  </si>
  <si>
    <t>Steven Rendall</t>
  </si>
  <si>
    <t>to-read (#2082)</t>
  </si>
  <si>
    <t>The Front Seat Passenger</t>
  </si>
  <si>
    <t>Pascal Garnier</t>
  </si>
  <si>
    <t>Garnier, Pascal</t>
  </si>
  <si>
    <t>Jane Aitken</t>
  </si>
  <si>
    <t>to-read (#2379), books-from-twitter (#78)</t>
  </si>
  <si>
    <t>The Ghost Road (Regeneration, #3)</t>
  </si>
  <si>
    <t>Pat Barker</t>
  </si>
  <si>
    <t>Barker, Pat</t>
  </si>
  <si>
    <t>A William Abrahams Book/Plume</t>
  </si>
  <si>
    <t>to-read (#1302), awards-man-booker-prize-winners (#29)</t>
  </si>
  <si>
    <t>The Cultural Construction of Sexuality</t>
  </si>
  <si>
    <t>Pat Caplan</t>
  </si>
  <si>
    <t>Caplan, Pat</t>
  </si>
  <si>
    <t>to-read (#259)</t>
  </si>
  <si>
    <t>The Hungry Girls and Other Stories</t>
  </si>
  <si>
    <t>Patricia Eakins</t>
  </si>
  <si>
    <t>Eakins, Patricia</t>
  </si>
  <si>
    <t>Judy Sohigan</t>
  </si>
  <si>
    <t>UNKNO</t>
  </si>
  <si>
    <t>to-read (#2224), books-from-twitter (#51)</t>
  </si>
  <si>
    <t>Infinite Country</t>
  </si>
  <si>
    <t>Patricia Engel</t>
  </si>
  <si>
    <t>Engel, Patricia</t>
  </si>
  <si>
    <t>Avid Reader Press</t>
  </si>
  <si>
    <t>to-read (#724), novels (#139)</t>
  </si>
  <si>
    <t>God's Assassins: State Terrorism in Argentina in the 1970s</t>
  </si>
  <si>
    <t>Patricia Marchak</t>
  </si>
  <si>
    <t>Marchak, Patricia</t>
  </si>
  <si>
    <t>William Marchak</t>
  </si>
  <si>
    <t>to-read (#2280), biblio-shock-doctrine (#11), books-about-argentina (#14)</t>
  </si>
  <si>
    <t>My Fathers' Ghost is Climbing in the Rain</t>
  </si>
  <si>
    <t>Patricio Pron</t>
  </si>
  <si>
    <t>Pron, Patricio</t>
  </si>
  <si>
    <t>to-read (#177), novels (#32), 0 (#463)</t>
  </si>
  <si>
    <t>Beyond Shame: Reclaiming the Abandoned History of Radical Gay Sexuality</t>
  </si>
  <si>
    <t>Patrick    Moore</t>
  </si>
  <si>
    <t>Moore, Patrick</t>
  </si>
  <si>
    <t>to-read (#236), queer-gender-etc (#24)</t>
  </si>
  <si>
    <t>Nineteen Ways of Looking at Consciousness</t>
  </si>
  <si>
    <t>Patrick  House</t>
  </si>
  <si>
    <t>House, Patrick</t>
  </si>
  <si>
    <t>to-read (#1952), nonfiction (#255)</t>
  </si>
  <si>
    <t>Mercurius: The Marriage of Heaven and Earth</t>
  </si>
  <si>
    <t>Patrick Harpur</t>
  </si>
  <si>
    <t>Harpur, Patrick</t>
  </si>
  <si>
    <t>Blue Angel Gallery</t>
  </si>
  <si>
    <t>to-read (#2215), novels (#204)</t>
  </si>
  <si>
    <t>A Queer Reader</t>
  </si>
  <si>
    <t>Patrick Higgins</t>
  </si>
  <si>
    <t>Higgins, Patrick</t>
  </si>
  <si>
    <t>to-read (#1380), 0 (#199), queer-gender-etc (#4)</t>
  </si>
  <si>
    <t>Riders in the Chariot</t>
  </si>
  <si>
    <t>Patrick White</t>
  </si>
  <si>
    <t>White, Patrick</t>
  </si>
  <si>
    <t>to-read (#1245), novels (#171)</t>
  </si>
  <si>
    <t>Hackers and Painters</t>
  </si>
  <si>
    <t>Paul    Graham</t>
  </si>
  <si>
    <t>Graham, Paul</t>
  </si>
  <si>
    <t>Oreilly &amp; Associates Inc</t>
  </si>
  <si>
    <t>to-read (#551)</t>
  </si>
  <si>
    <t>The Serpent Column: A Cultural Biography (Onassis Series in Hellenic Culture)</t>
  </si>
  <si>
    <t>Paul  Stephenson</t>
  </si>
  <si>
    <t>Stephenson, Paul</t>
  </si>
  <si>
    <t>to-read (#2166), nonfiction (#204)</t>
  </si>
  <si>
    <t>The Battle of the Casbah: Terrorism and Counterterrorism in Algeria 1955-1957</t>
  </si>
  <si>
    <t>Paul Aussaresses</t>
  </si>
  <si>
    <t>Aussaresses, Paul</t>
  </si>
  <si>
    <t>Enigma Books</t>
  </si>
  <si>
    <t>to-read (#2400), bib-torture (#10)</t>
  </si>
  <si>
    <t>4 3 2 1</t>
  </si>
  <si>
    <t>Paul Auster</t>
  </si>
  <si>
    <t>Auster, Paul</t>
  </si>
  <si>
    <t>Henry Holt and Co.</t>
  </si>
  <si>
    <t>to-read (#214), novels (#121)</t>
  </si>
  <si>
    <t>Can the Monster Speak? A Report to an Academy of Psychoanalysts</t>
  </si>
  <si>
    <t>Paul B. Preciado</t>
  </si>
  <si>
    <t>Preciado, Paul B.</t>
  </si>
  <si>
    <t>to-read (#2138), nonfiction (#182), psychology (#11)</t>
  </si>
  <si>
    <t>Un apartamento en Urano</t>
  </si>
  <si>
    <t>Virginie Despentes</t>
  </si>
  <si>
    <t>to-read (#397)</t>
  </si>
  <si>
    <t>The Sellout</t>
  </si>
  <si>
    <t>Paul Beatty</t>
  </si>
  <si>
    <t>Beatty, Paul</t>
  </si>
  <si>
    <t>to-read (#1321), awards-man-booker-prize-winners (#50)</t>
  </si>
  <si>
    <t>The Chastening: Inside The Crisis That Rocked The Global Financial System And Humbled The IMF</t>
  </si>
  <si>
    <t>Paul Blustein</t>
  </si>
  <si>
    <t>Blustein, Paul</t>
  </si>
  <si>
    <t>to-read (#2371), biblio-shock-doctrine (#94)</t>
  </si>
  <si>
    <t>And the Money Kept Rolling In (and Out) Wall Street, the IMF, and the Bankrupting of Argentina</t>
  </si>
  <si>
    <t>to-read (#2284), biblio-shock-doctrine (#16), books-about-argentina (#16)</t>
  </si>
  <si>
    <t>The Stories of Paul Bowles</t>
  </si>
  <si>
    <t>Paul Bowles</t>
  </si>
  <si>
    <t>Bowles, Paul</t>
  </si>
  <si>
    <t>Robert Stone</t>
  </si>
  <si>
    <t xml:space="preserve">0, short-stories, to-read, z-2023, </t>
  </si>
  <si>
    <t>to-read (#80), short-stories (#4), 0 (#281), z-2023 (#11)</t>
  </si>
  <si>
    <t>Race: A Philosophical Introduction</t>
  </si>
  <si>
    <t>Paul C. Taylor</t>
  </si>
  <si>
    <t>Taylor, Paul C.</t>
  </si>
  <si>
    <t>to-read (#1390), philosophy (#12), 0 (#411)</t>
  </si>
  <si>
    <t>The History of the Devil and the Idea of Evil</t>
  </si>
  <si>
    <t>Paul Carus</t>
  </si>
  <si>
    <t>Carus, Paul</t>
  </si>
  <si>
    <t>Gramercy</t>
  </si>
  <si>
    <t>to-read (#1091)</t>
  </si>
  <si>
    <t>The Soul of Man: An Investigation of the Facts of Physiological and Experimental Psychology (Classic Reprint)</t>
  </si>
  <si>
    <t>to-read (#1090)</t>
  </si>
  <si>
    <t>The Tarot: A Key to the Wisdom of the Ages</t>
  </si>
  <si>
    <t>Paul Foster Case</t>
  </si>
  <si>
    <t>Case, Paul Foster</t>
  </si>
  <si>
    <t>to-read (#934), tarot (#10)</t>
  </si>
  <si>
    <t>Postmodern American Poetry: A Norton Anthology</t>
  </si>
  <si>
    <t>Paul Hoover</t>
  </si>
  <si>
    <t>Hoover, Paul</t>
  </si>
  <si>
    <t>to-read (#48), poetry (#47)</t>
  </si>
  <si>
    <t>When Breath Becomes Air</t>
  </si>
  <si>
    <t>Paul Kalanithi</t>
  </si>
  <si>
    <t>Kalanithi, Paul</t>
  </si>
  <si>
    <t>Abraham   Verghese</t>
  </si>
  <si>
    <t>to-read (#2229), nonfiction (#229)</t>
  </si>
  <si>
    <t>Left Americana</t>
  </si>
  <si>
    <t>Paul Le Blanc</t>
  </si>
  <si>
    <t>Blanc, Paul Le</t>
  </si>
  <si>
    <t>to-read (#651)</t>
  </si>
  <si>
    <t>From Marx to Gramsci: A Reader in Revolutionary Marxist Politics</t>
  </si>
  <si>
    <t>to-read (#270)</t>
  </si>
  <si>
    <t>Tarot de Marseille</t>
  </si>
  <si>
    <t>Paul Marteau</t>
  </si>
  <si>
    <t>Marteau, Paul</t>
  </si>
  <si>
    <t>https://www.circleandtriangle.com</t>
  </si>
  <si>
    <t>to-read (#936)</t>
  </si>
  <si>
    <t>The Explanation For Everything: Essays on Sexual Subjectivity (Sexual Cultures, 31)</t>
  </si>
  <si>
    <t>Paul Morrison</t>
  </si>
  <si>
    <t>Morrison, Paul</t>
  </si>
  <si>
    <t xml:space="preserve">nonfiction, queer-gender-etc, to-read, </t>
  </si>
  <si>
    <t>to-read (#525), nonfiction (#100), queer-gender-etc (#37)</t>
  </si>
  <si>
    <t>The Foucault Reader: An Introduction to Foucault's Thought</t>
  </si>
  <si>
    <t>Paul Rabinow</t>
  </si>
  <si>
    <t>Rabinow, Paul</t>
  </si>
  <si>
    <t>to-read (#1625), philosophy (#21), 0 (#338), foucault (#4)</t>
  </si>
  <si>
    <t>Dracontius’ Orestes (Routledge Later Latin Poetry)</t>
  </si>
  <si>
    <t>Roche, Paul</t>
  </si>
  <si>
    <t>to-read (#1413)</t>
  </si>
  <si>
    <t>We All Sleep in the Same Room</t>
  </si>
  <si>
    <t>Paul Rome</t>
  </si>
  <si>
    <t>Rome, Paul</t>
  </si>
  <si>
    <t>A Barnacle Book</t>
  </si>
  <si>
    <t>to-read (#447)</t>
  </si>
  <si>
    <t>Staying On</t>
  </si>
  <si>
    <t>Paul Scott</t>
  </si>
  <si>
    <t>Scott, Paul</t>
  </si>
  <si>
    <t>Arrow</t>
  </si>
  <si>
    <t>to-read (#1287), awards-man-booker-prize-winners (#10)</t>
  </si>
  <si>
    <t>They Say You're Crazy: How The World's Most Powerful Psychiatrists Decide Who's Normal</t>
  </si>
  <si>
    <t>Paula J. Caplan</t>
  </si>
  <si>
    <t>Caplan, Paula J.</t>
  </si>
  <si>
    <t>Da Capo Lifelong Books</t>
  </si>
  <si>
    <t>to-read (#2124), biblio-noonday-demon (#45)</t>
  </si>
  <si>
    <t>For Keeps: 30 Years at the Movies</t>
  </si>
  <si>
    <t>Pauline Kael</t>
  </si>
  <si>
    <t>Kael, Pauline</t>
  </si>
  <si>
    <t>to-read (#1546)</t>
  </si>
  <si>
    <t>El alquimista: una fábula para seguir tus sueños</t>
  </si>
  <si>
    <t>Paulo Coelho</t>
  </si>
  <si>
    <t>Coelho, Paulo</t>
  </si>
  <si>
    <t>Juan Godó Costa</t>
  </si>
  <si>
    <t>Rayo</t>
  </si>
  <si>
    <t>to-read (#1875), novels (#63), 0 (#526)</t>
  </si>
  <si>
    <t>Pedagogy of the Oppressed</t>
  </si>
  <si>
    <t>Paulo Freire</t>
  </si>
  <si>
    <t>Freire, Paulo</t>
  </si>
  <si>
    <t>Myra Bergman Ramos, Donaldo Macedo</t>
  </si>
  <si>
    <t>to-read (#223)</t>
  </si>
  <si>
    <t>The Good Earth (House of Earth, #1)</t>
  </si>
  <si>
    <t>Pearl S. Buck</t>
  </si>
  <si>
    <t>Buck, Pearl S.</t>
  </si>
  <si>
    <t>Stephanie Reents, Cynthia Brantley Johnson</t>
  </si>
  <si>
    <t>Howard Publishing Co</t>
  </si>
  <si>
    <t>Poemas encadenados, 1977-1987</t>
  </si>
  <si>
    <t>Pedro Casariego Córdoba</t>
  </si>
  <si>
    <t>Córdoba, Pedro Casariego</t>
  </si>
  <si>
    <t>to-read (#592)</t>
  </si>
  <si>
    <t>Pedro E. Guerrero: A Photographer's Journey with Frank Lloyd Wright, Alexander Calder, and Louise Nevelson</t>
  </si>
  <si>
    <t>Pedro E. Guerrero</t>
  </si>
  <si>
    <t>Guerrero, Pedro E.</t>
  </si>
  <si>
    <t>Princeton Architectural Press</t>
  </si>
  <si>
    <t>to-read (#549)</t>
  </si>
  <si>
    <t>Loco afán: Crónicas del sidario</t>
  </si>
  <si>
    <t>Pedro Lemebel</t>
  </si>
  <si>
    <t>Lemebel, Pedro</t>
  </si>
  <si>
    <t>to-read (#510), queer-gender-etc (#56)</t>
  </si>
  <si>
    <t>Háblame de amores</t>
  </si>
  <si>
    <t>to-read (#507)</t>
  </si>
  <si>
    <t>Tengo miedo torero</t>
  </si>
  <si>
    <t>Seix Barrial</t>
  </si>
  <si>
    <t>to-read (#476)</t>
  </si>
  <si>
    <t>Mythological Atlas of Greece</t>
  </si>
  <si>
    <t>Pedro Olalla</t>
  </si>
  <si>
    <t>Olalla, Pedro</t>
  </si>
  <si>
    <t>Road editions</t>
  </si>
  <si>
    <t>to-read (#1514), greeks-romans-etc (#70)</t>
  </si>
  <si>
    <t>Offshore</t>
  </si>
  <si>
    <t>Penelope Fitzgerald</t>
  </si>
  <si>
    <t>Fitzgerald, Penelope</t>
  </si>
  <si>
    <t>to-read (#1289), awards-man-booker-prize-winners (#12)</t>
  </si>
  <si>
    <t>Moon Tiger</t>
  </si>
  <si>
    <t>Penelope Lively</t>
  </si>
  <si>
    <t>Lively, Penelope</t>
  </si>
  <si>
    <t>to-read (#1297), awards-man-booker-prize-winners (#20)</t>
  </si>
  <si>
    <t>The Idea of the Labyrinth: from Classical Antiquity through the Middle Ages</t>
  </si>
  <si>
    <t>Penelope Reed Doob</t>
  </si>
  <si>
    <t>Doob, Penelope Reed</t>
  </si>
  <si>
    <t>to-read (#1470)</t>
  </si>
  <si>
    <t>Dedicated: The Case for Commitment in an Age of Infinite Browsing</t>
  </si>
  <si>
    <t>Pete      Davis</t>
  </si>
  <si>
    <t>Davis, Pete</t>
  </si>
  <si>
    <t>Avid Reader Press / Simon &amp; Schuster</t>
  </si>
  <si>
    <t>to-read (#1829)</t>
  </si>
  <si>
    <t>What Happens at Night</t>
  </si>
  <si>
    <t>Peter    Cameron</t>
  </si>
  <si>
    <t>Cameron, Peter</t>
  </si>
  <si>
    <t>to-read (#552)</t>
  </si>
  <si>
    <t>Ancient Mysteries</t>
  </si>
  <si>
    <t>Peter  James</t>
  </si>
  <si>
    <t>James, Peter</t>
  </si>
  <si>
    <t>Nick Thorpe</t>
  </si>
  <si>
    <t>to-read (#1853)</t>
  </si>
  <si>
    <t>I Know You Know Who I Am</t>
  </si>
  <si>
    <t>Peter  Kispert</t>
  </si>
  <si>
    <t>Kispert, Peter</t>
  </si>
  <si>
    <t>to-read (#333), short-stories (#19), 0 (#531)</t>
  </si>
  <si>
    <t>The Soul of Medicine</t>
  </si>
  <si>
    <t>Peter Adams</t>
  </si>
  <si>
    <t>Adams, Peter</t>
  </si>
  <si>
    <t>Arkana</t>
  </si>
  <si>
    <t>to-read (#2103), biblio-noonday-demon (#22)</t>
  </si>
  <si>
    <t>Augustine of Hippo: A Biography</t>
  </si>
  <si>
    <t>Peter Brown</t>
  </si>
  <si>
    <t>Brown, Peter</t>
  </si>
  <si>
    <t>to-read (#750), biographies-etc (#22), nonfiction (#123)</t>
  </si>
  <si>
    <t>A Mood Apart: Depression, Mania, and Other Afflictions of the Self</t>
  </si>
  <si>
    <t>Peter C. Whybrow</t>
  </si>
  <si>
    <t>Whybrow, Peter C.</t>
  </si>
  <si>
    <t>to-read (#2056), biblio-noonday-demon (#13)</t>
  </si>
  <si>
    <t>A Mood Apart: The Thinker's Guide to Emotion and Its Disorders</t>
  </si>
  <si>
    <t>to-read (#2051), biblio-noonday-demon (#7)</t>
  </si>
  <si>
    <t>True History of the Kelly Gang</t>
  </si>
  <si>
    <t>Peter Carey</t>
  </si>
  <si>
    <t>Carey, Peter</t>
  </si>
  <si>
    <t>to-read (#1307), awards-man-booker-prize-winners (#35)</t>
  </si>
  <si>
    <t>Oscar and Lucinda</t>
  </si>
  <si>
    <t>University of Queensland Press</t>
  </si>
  <si>
    <t>to-read (#116), awards-man-booker-prize-winners (#21)</t>
  </si>
  <si>
    <t>Modern Ethics in 77 Arguments: A Stone Reader</t>
  </si>
  <si>
    <t>Peter Catapano</t>
  </si>
  <si>
    <t>Catapano, Peter</t>
  </si>
  <si>
    <t>Simon Critchley</t>
  </si>
  <si>
    <t>to-read (#1412), 0 (#120)</t>
  </si>
  <si>
    <t>What Editors Do: The Art, Craft, and Business of Book Editing (Chicago Guides to Writing, Editing, and Publishing)</t>
  </si>
  <si>
    <t>Peter Ginna</t>
  </si>
  <si>
    <t>Ginna, Peter</t>
  </si>
  <si>
    <t>Jonathan Karp, Gregory M. Britton, Peter Coveney, Nancy S. Miller, Betsy Lerner, Susan Rabiner, Scott Norton, George Witte, Carol Fisher Saller, Michael Pietsch, Calvert D. Morgan Jr., Jeff Shotts, Erika Goldman, Diana Gill, Matt Weiland, Nancy Siscoe, Wendy Wolf, Susan Ferber, Anne Savarese, Deb Aaronson, Chris  Jackson, Katie Henderson Adams, Katharine O’Moore-Klopf, Arielle Eckstut, David Henry Sterry, Jane    Friedman</t>
  </si>
  <si>
    <t>to-read (#385)</t>
  </si>
  <si>
    <t>Metazoa: Animal Life and the Birth of the Mind</t>
  </si>
  <si>
    <t>Peter Godfrey-Smith</t>
  </si>
  <si>
    <t>Godfrey-Smith, Peter</t>
  </si>
  <si>
    <t>to-read (#674), nonfiction (#109)</t>
  </si>
  <si>
    <t>Other Minds: The Octopus, the Sea, and the Deep Origins of Consciousness</t>
  </si>
  <si>
    <t>to-read (#1751)</t>
  </si>
  <si>
    <t>Last Train to Memphis: The Rise of Elvis Presley</t>
  </si>
  <si>
    <t>Peter Guralnick</t>
  </si>
  <si>
    <t>Guralnick, Peter</t>
  </si>
  <si>
    <t>to-read (#35), biographies-etc (#62)</t>
  </si>
  <si>
    <t>A Sorrow Beyond Dreams</t>
  </si>
  <si>
    <t>Peter Handke</t>
  </si>
  <si>
    <t>Handke, Peter</t>
  </si>
  <si>
    <t>Ralph Manheim, Jeffrey Eugenides</t>
  </si>
  <si>
    <t>to-read (#987), 0 (#243)</t>
  </si>
  <si>
    <t>The Pinochet File: A Declassified Dossier on Atrocity and Accountability</t>
  </si>
  <si>
    <t>Peter Kornbluh</t>
  </si>
  <si>
    <t>Kornbluh, Peter</t>
  </si>
  <si>
    <t>to-read (#2273), biblio-shock-doctrine (#2)</t>
  </si>
  <si>
    <t>The Social Construction of Reality: A Treatise in the Sociology of Knowledge</t>
  </si>
  <si>
    <t>Peter L. Berger</t>
  </si>
  <si>
    <t>Berger, Peter L.</t>
  </si>
  <si>
    <t>Thomas Luckmann</t>
  </si>
  <si>
    <t>to-read (#521)</t>
  </si>
  <si>
    <t>The Homeless Mind: Modernization and Consciousness</t>
  </si>
  <si>
    <t>to-read (#1252)</t>
  </si>
  <si>
    <t>The Paraguay Reader: History, Culture, Politics (The Latin America Readers)</t>
  </si>
  <si>
    <t>Peter Lambert</t>
  </si>
  <si>
    <t>Lambert, Peter</t>
  </si>
  <si>
    <t>Andrew Nickson</t>
  </si>
  <si>
    <t>to-read (#1774), nonfiction (#225)</t>
  </si>
  <si>
    <t>The Game of Saturn</t>
  </si>
  <si>
    <t>Peter Mark Adams</t>
  </si>
  <si>
    <t>Adams, Peter Mark</t>
  </si>
  <si>
    <t>Scarlet Imprint</t>
  </si>
  <si>
    <t>to-read (#1759)</t>
  </si>
  <si>
    <t>The Deep Whatsis</t>
  </si>
  <si>
    <t>Peter Mattei</t>
  </si>
  <si>
    <t>Mattei, Peter</t>
  </si>
  <si>
    <t>Other Press</t>
  </si>
  <si>
    <t>to-read (#92)</t>
  </si>
  <si>
    <t>Far Tortuga</t>
  </si>
  <si>
    <t>Peter Matthiessen</t>
  </si>
  <si>
    <t>Matthiessen, Peter</t>
  </si>
  <si>
    <t>Europäische Verlagsanstalt (eva)</t>
  </si>
  <si>
    <t>to-read (#1602), books-from-twitter (#22), novels (#191)</t>
  </si>
  <si>
    <t>Aristotle to Zoos: A Philosophical Dictionary of Biology</t>
  </si>
  <si>
    <t>Peter Medawar</t>
  </si>
  <si>
    <t>Medawar, Peter</t>
  </si>
  <si>
    <t>Jean Medawar</t>
  </si>
  <si>
    <t>to-read (#872), dictionaries-and-encyclopedias (#2), philosophy (#41)</t>
  </si>
  <si>
    <t>How to Kill a City: Gentrification, Inequality, and the Fight for the Neighborhood</t>
  </si>
  <si>
    <t>Peter Moskowitz</t>
  </si>
  <si>
    <t>Moskowitz, Peter</t>
  </si>
  <si>
    <t>P.E. Moskowitz</t>
  </si>
  <si>
    <t>to-read (#216)</t>
  </si>
  <si>
    <t>Parallel Stories</t>
  </si>
  <si>
    <t>Péter Nádas</t>
  </si>
  <si>
    <t>Nádas, Péter</t>
  </si>
  <si>
    <t>Imre Goldstein</t>
  </si>
  <si>
    <t>to-read (#1590), books-from-twitter (#9)</t>
  </si>
  <si>
    <t>Clean Asshole Poems &amp; Smiling Vegetable Songs</t>
  </si>
  <si>
    <t>Peter Orlovsky</t>
  </si>
  <si>
    <t>Orlovsky, Peter</t>
  </si>
  <si>
    <t>City Lights Books</t>
  </si>
  <si>
    <t>to-read (#73)</t>
  </si>
  <si>
    <t>Tragedy of Russia's Reforms: Market Bolshevism Against Democracy</t>
  </si>
  <si>
    <t>Peter Reddaway</t>
  </si>
  <si>
    <t>Reddaway, Peter</t>
  </si>
  <si>
    <t>United States Inst of Peace Pr</t>
  </si>
  <si>
    <t>to-read (#2346), biblio-shock-doctrine (#70)</t>
  </si>
  <si>
    <t>Equus (Penguin Plays)</t>
  </si>
  <si>
    <t>Peter Shaffer</t>
  </si>
  <si>
    <t>Shaffer, Peter</t>
  </si>
  <si>
    <t>to-read (#131), plays (#10)</t>
  </si>
  <si>
    <t>Crítica de la razón cínica</t>
  </si>
  <si>
    <t>Peter Sloterdijk</t>
  </si>
  <si>
    <t>Sloterdijk, Peter</t>
  </si>
  <si>
    <t>Miguel Ángel Vega</t>
  </si>
  <si>
    <t>to-read (#492)</t>
  </si>
  <si>
    <t>El sol y la muerte (Biblioteca de Ensayo / Serie mayor nº 30) (Spanish Edition)</t>
  </si>
  <si>
    <t>Hans-Jürgen Heinrichs, Germán Cano</t>
  </si>
  <si>
    <t>to-read (#491)</t>
  </si>
  <si>
    <t>La herencia del Dios perdido (Biblioteca de Ensayo / Serie mayor nº 109) (Spanish Edition)</t>
  </si>
  <si>
    <t>Isidoro Reguera</t>
  </si>
  <si>
    <t>to-read (#493)</t>
  </si>
  <si>
    <t>An Introduction to Formal Logic</t>
  </si>
  <si>
    <t>Peter Smith</t>
  </si>
  <si>
    <t>Smith, Peter</t>
  </si>
  <si>
    <t>to-read (#1815)</t>
  </si>
  <si>
    <t>The Magic of Obelisks</t>
  </si>
  <si>
    <t>Peter Tompkins</t>
  </si>
  <si>
    <t>Tompkins, Peter</t>
  </si>
  <si>
    <t>to-read (#2216), mythology (#58)</t>
  </si>
  <si>
    <t>Boredom: A Lively History</t>
  </si>
  <si>
    <t>Peter Toohey</t>
  </si>
  <si>
    <t>Toohey, Peter</t>
  </si>
  <si>
    <t>to-read (#2016)</t>
  </si>
  <si>
    <t>In the Zone: The Twilight World of Rod Serling</t>
  </si>
  <si>
    <t>Peter Wolfe</t>
  </si>
  <si>
    <t>Wolfe, Peter</t>
  </si>
  <si>
    <t>Popular Press 1</t>
  </si>
  <si>
    <t>to-read (#2133), nonfiction (#175), biographies-etc (#50)</t>
  </si>
  <si>
    <t>Horror (The Overlook Film Encyclopedia Series)</t>
  </si>
  <si>
    <t>Phil Hardy</t>
  </si>
  <si>
    <t>Hardy, Phil</t>
  </si>
  <si>
    <t>Overlook Books</t>
  </si>
  <si>
    <t>to-read (#439)</t>
  </si>
  <si>
    <t>American Youth</t>
  </si>
  <si>
    <t>Phil Lamarche</t>
  </si>
  <si>
    <t>Lamarche, Phil</t>
  </si>
  <si>
    <t>The Devil: A New Biography</t>
  </si>
  <si>
    <t>Philip C. Almond</t>
  </si>
  <si>
    <t>Almond, Philip C.</t>
  </si>
  <si>
    <t>to-read (#2173)</t>
  </si>
  <si>
    <t>Constructing the Self, Constructing America: A Cultural History Of Psychotherapy</t>
  </si>
  <si>
    <t>Philip Cushman</t>
  </si>
  <si>
    <t>Cushman, Philip</t>
  </si>
  <si>
    <t>to-read (#2096), psychology (#3)</t>
  </si>
  <si>
    <t>The Measure of Madness: Philosophy of Mind, Cognitive Neuroscience, and Delusional Thought (Life and Mind: Philosophical Issues in Biology and Psychology)</t>
  </si>
  <si>
    <t>Philip Gerrans</t>
  </si>
  <si>
    <t>Gerrans, Philip</t>
  </si>
  <si>
    <t>to-read (#217)</t>
  </si>
  <si>
    <t>Flow My Tears, the Policeman Said</t>
  </si>
  <si>
    <t>Philip K. Dick</t>
  </si>
  <si>
    <t>Dick, Philip K.</t>
  </si>
  <si>
    <t>Chris     Moore</t>
  </si>
  <si>
    <t>to-read (#1636), novels (#199)</t>
  </si>
  <si>
    <t>DAW Books</t>
  </si>
  <si>
    <t>to-read (#90)</t>
  </si>
  <si>
    <t>The Greek and Roman Myths: A Guide to the Classical Stories</t>
  </si>
  <si>
    <t>Philip Matyszak</t>
  </si>
  <si>
    <t>Matyszak, Philip</t>
  </si>
  <si>
    <t>to-read (#1443), greeks-romans-etc (#50), mythology (#48)</t>
  </si>
  <si>
    <t>Republicanism: A Theory of Freedom and Government [Oxford Political Theory Series]</t>
  </si>
  <si>
    <t>Philip Pettit</t>
  </si>
  <si>
    <t>Pettit, Philip</t>
  </si>
  <si>
    <t>to-read (#224)</t>
  </si>
  <si>
    <t>Portnoy’s Complaint</t>
  </si>
  <si>
    <t>Philip Roth</t>
  </si>
  <si>
    <t>Roth, Philip</t>
  </si>
  <si>
    <t>to-read (#101)</t>
  </si>
  <si>
    <t>A History of Private Life: From Pagan Rome to Byzantium</t>
  </si>
  <si>
    <t>Philippe Ariès</t>
  </si>
  <si>
    <t>Ariès, Philippe</t>
  </si>
  <si>
    <t>Paul Veyne, Georges Duby, Arthur Goldhammer, Yvon Thébert, Michel Rouche, Évelyne Patlagean, Peter Brown</t>
  </si>
  <si>
    <t>Belknap Press/Harvard University Press</t>
  </si>
  <si>
    <t>to-read (#630), history (#43), nonfiction (#105)</t>
  </si>
  <si>
    <t>The Art of the Personal Essay: An Anthology from the Classical Era to the Present</t>
  </si>
  <si>
    <t>Phillip Lopate</t>
  </si>
  <si>
    <t>Lopate, Phillip</t>
  </si>
  <si>
    <t>to-read (#1842), essays (#29)</t>
  </si>
  <si>
    <t>The Contemporary American Essay</t>
  </si>
  <si>
    <t>to-read (#1804), nonfiction (#29), 0 (#546), essays (#28)</t>
  </si>
  <si>
    <t>You Can't Touch My Hair: And other things I still have to explain</t>
  </si>
  <si>
    <t>Phoebe Robinson</t>
  </si>
  <si>
    <t>Robinson, Phoebe</t>
  </si>
  <si>
    <t>Jacaranda Books</t>
  </si>
  <si>
    <t>to-read (#1367), nonfiction (#21), 0 (#545)</t>
  </si>
  <si>
    <t>Roman Poems</t>
  </si>
  <si>
    <t>Pier Paolo Pasolini</t>
  </si>
  <si>
    <t>Pasolini, Pier Paolo</t>
  </si>
  <si>
    <t>Lawrence Ferlinghetti, Francesca Valente</t>
  </si>
  <si>
    <t>to-read (#280), poetry (#72)</t>
  </si>
  <si>
    <t>The Letters of Abélard and Héloïse</t>
  </si>
  <si>
    <t>Pierre Abélard</t>
  </si>
  <si>
    <t>Abélard, Pierre</t>
  </si>
  <si>
    <t>Héloïse d'Argenteuil, Betty Radice, M.T. Clanchy</t>
  </si>
  <si>
    <t>to-read (#956), nonfiction (#140), biographies-etc (#46)</t>
  </si>
  <si>
    <t>The Phenomenon of Man</t>
  </si>
  <si>
    <t>Pierre Teilhard de Chardin</t>
  </si>
  <si>
    <t>Chardin, Pierre Teilhard de</t>
  </si>
  <si>
    <t>to-read (#1677)</t>
  </si>
  <si>
    <t>The New Animals</t>
  </si>
  <si>
    <t>Pip Adam</t>
  </si>
  <si>
    <t>Adam, Pip</t>
  </si>
  <si>
    <t>Victoria University Press</t>
  </si>
  <si>
    <t>to-read (#2337), books-from-twitter (#70)</t>
  </si>
  <si>
    <t>The Republic of Plato</t>
  </si>
  <si>
    <t>Plato</t>
  </si>
  <si>
    <t>Plato, Plato</t>
  </si>
  <si>
    <t>Francis Macdonald Cornford</t>
  </si>
  <si>
    <t>to-read (#896), greeks-romans-etc (#5), 0 (#386)</t>
  </si>
  <si>
    <t>Porn: An Oral History</t>
  </si>
  <si>
    <t>Barton, Polly</t>
  </si>
  <si>
    <t>to-read (#1127), nonfiction (#264)</t>
  </si>
  <si>
    <t>Fifty Sounds</t>
  </si>
  <si>
    <t>to-read (#1128)</t>
  </si>
  <si>
    <t>The Weiser Concise Guide to Practical Astrology (The Weiser Concise Guide Series)</t>
  </si>
  <si>
    <t>Priscilla Costello</t>
  </si>
  <si>
    <t>Costello, Priscilla</t>
  </si>
  <si>
    <t>James Wasserman</t>
  </si>
  <si>
    <t>to-read (#1704)</t>
  </si>
  <si>
    <t>The Divine Names and The Mystical Theology</t>
  </si>
  <si>
    <t>Pseudo-Dionysius the Areopagite</t>
  </si>
  <si>
    <t>Areopagite, Pseudo-Dionysius the</t>
  </si>
  <si>
    <t>John D. Jones</t>
  </si>
  <si>
    <t>Marquette University Press</t>
  </si>
  <si>
    <t>to-read (#1097)</t>
  </si>
  <si>
    <t>The Celestial Hierarchy</t>
  </si>
  <si>
    <t>to-read (#1096)</t>
  </si>
  <si>
    <t>Tetrabiblos</t>
  </si>
  <si>
    <t>Ptolemy</t>
  </si>
  <si>
    <t>Ptolemy, Ptolemy</t>
  </si>
  <si>
    <t>J.M. Ashmand</t>
  </si>
  <si>
    <t>to-read (#1701)</t>
  </si>
  <si>
    <t>¡Qué mala es la gente!</t>
  </si>
  <si>
    <t>Quino</t>
  </si>
  <si>
    <t>Quino, Quino</t>
  </si>
  <si>
    <t>De la Flor</t>
  </si>
  <si>
    <t>to-read (#2388)</t>
  </si>
  <si>
    <t>The Oxford Handbook of Greek and Roman Mythography (Oxford Handbooks)</t>
  </si>
  <si>
    <t>R Scott Smith</t>
  </si>
  <si>
    <t>Smith, R Scott</t>
  </si>
  <si>
    <t>Stephen M. Trzaskoma</t>
  </si>
  <si>
    <t>to-read (#1650)</t>
  </si>
  <si>
    <t>The Other Brain: From Dementia to Schizophrenia, How New Discoveries About the Brain Are Revolutionizing Medicine and Science</t>
  </si>
  <si>
    <t>R. Douglas Fields</t>
  </si>
  <si>
    <t>Fields, R. Douglas</t>
  </si>
  <si>
    <t>to-read (#165)</t>
  </si>
  <si>
    <t>The Divided Self: An Existential Study in Sanity and Madness</t>
  </si>
  <si>
    <t>R.D. Laing</t>
  </si>
  <si>
    <t>Laing, R.D.</t>
  </si>
  <si>
    <t>to-read (#398), nonfiction (#179), psychology (#8)</t>
  </si>
  <si>
    <t>Sanity, Madness and the Family: Families of Schizophrenics</t>
  </si>
  <si>
    <t>Aaron Esterson</t>
  </si>
  <si>
    <t>to-read (#2043)</t>
  </si>
  <si>
    <t>The Book of Enoch the Prophet</t>
  </si>
  <si>
    <t>R.H. Charles</t>
  </si>
  <si>
    <t>Charles, R.H.</t>
  </si>
  <si>
    <t>R.A. Gilbert</t>
  </si>
  <si>
    <t>Red Wheel/Weiser</t>
  </si>
  <si>
    <t>to-read (#1156)</t>
  </si>
  <si>
    <t>Nietzsche: The Man and his Philosophy</t>
  </si>
  <si>
    <t>Hollingdale, R.J.</t>
  </si>
  <si>
    <t>to-read (#817)</t>
  </si>
  <si>
    <t>Paradoxes</t>
  </si>
  <si>
    <t>R.M. Sainsbury</t>
  </si>
  <si>
    <t>Sainsbury, R.M.</t>
  </si>
  <si>
    <t>to-read (#1817)</t>
  </si>
  <si>
    <t>Kink: Stories</t>
  </si>
  <si>
    <t>R.O. Kwon</t>
  </si>
  <si>
    <t>Kwon, R.O.</t>
  </si>
  <si>
    <t>Garth Greenwell, Melissa Febos, Alexander Chee, Larissa Pham, Callum Angus, Brandon  Taylor, Peter   Mountford, Vanessa Clark, Roxane Gay, Kim Fu, Carmen Maria Machado, Zeyn Joukhadar, Cara Hoffman, Chris Kraus</t>
  </si>
  <si>
    <t>to-read (#725)</t>
  </si>
  <si>
    <t>The Perv: Stories</t>
  </si>
  <si>
    <t>Rabih Alameddine</t>
  </si>
  <si>
    <t>Alameddine, Rabih</t>
  </si>
  <si>
    <t>to-read (#375), short-stories (#33)</t>
  </si>
  <si>
    <t>Unchecked: The Untold Story Behind Congress's Botched Impeachments of Donald Trump</t>
  </si>
  <si>
    <t>Rachael Bade</t>
  </si>
  <si>
    <t>Bade, Rachael</t>
  </si>
  <si>
    <t>Karoun Demirjian</t>
  </si>
  <si>
    <t>to-read (#2431), nonfiction (#259)</t>
  </si>
  <si>
    <t>Being America: Essays on Art, Literature, and Identity from Latin America</t>
  </si>
  <si>
    <t>Rachel  Weiss</t>
  </si>
  <si>
    <t>Weiss, Rachel</t>
  </si>
  <si>
    <t>White Pine Press</t>
  </si>
  <si>
    <t>to-read (#1378), nonfiction (#69), 0 (#314), essays (#26)</t>
  </si>
  <si>
    <t>Strangers to Ourselves: Unsettled Minds and the Stories That Make Us</t>
  </si>
  <si>
    <t>Rachel Aviv</t>
  </si>
  <si>
    <t>Aviv, Rachel</t>
  </si>
  <si>
    <t>to-read (#2092), psychology (#6), nonfiction (#274)</t>
  </si>
  <si>
    <t>The Best American Nonrequired Reading 2016</t>
  </si>
  <si>
    <t>Rachel Kushner</t>
  </si>
  <si>
    <t>Kushner, Rachel</t>
  </si>
  <si>
    <t>826 National, Kyle Boelte, N.R. Kleinfield, Anna Kovatcheva, Dan Hoy, Anthony Marra, Michael Pollan, Marilynne Robinson, Dana Spiotta, Adrian Tomine, Inara Verzemnieks, Mateo Hoke, Cate Malek, John Clegg, Robert Lucas, Mark Hitz, Molly Brodak, Gary Indiana, Ariana Reines, Yuko Sakata, Kendra Fortmeyer, Xuan Juliana Wang</t>
  </si>
  <si>
    <t>to-read (#1429), 0 (#268)</t>
  </si>
  <si>
    <t>A Walk through the Forest of Souls: A Tarot Journey to Spiritual Awakening</t>
  </si>
  <si>
    <t>Rachel Pollack</t>
  </si>
  <si>
    <t>Pollack, Rachel</t>
  </si>
  <si>
    <t>to-read (#1525)</t>
  </si>
  <si>
    <t>Seventy-Eight Degrees of Wisdom: A Tarot Journey to Self-Awareness (A New Edition of the Tarot Classic)</t>
  </si>
  <si>
    <t>to-read (#790)</t>
  </si>
  <si>
    <t>The Well of Loneliness</t>
  </si>
  <si>
    <t>Radclyffe Hall</t>
  </si>
  <si>
    <t>Hall, Radclyffe</t>
  </si>
  <si>
    <t>Wordsworth Editions Ltd</t>
  </si>
  <si>
    <t>to-read (#1465)</t>
  </si>
  <si>
    <t>Duino Elegies and the Sonnets of Orpheus (German Edition) by Rainer Maria Rilke (2005-04-20)</t>
  </si>
  <si>
    <t>Rainer Maria Rilke</t>
  </si>
  <si>
    <t>Rilke, Rainer Maria</t>
  </si>
  <si>
    <t>Mariner Books; Bilingual edition (2005-04-20)</t>
  </si>
  <si>
    <t>to-read (#1728), poetry (#37), 0 (#347)</t>
  </si>
  <si>
    <t>The Notebooks of Malte Laurids Brigge</t>
  </si>
  <si>
    <t>Mary Dows Herter Norton</t>
  </si>
  <si>
    <t xml:space="preserve">authors-egyptian-authors, authors-french-authors, to-read, </t>
  </si>
  <si>
    <t>to-read (#641)</t>
  </si>
  <si>
    <t>Rilke's Book of Hours: Love Poems to God</t>
  </si>
  <si>
    <t>Anita Barrows, Joanna Macy</t>
  </si>
  <si>
    <t>to-read (#103)</t>
  </si>
  <si>
    <t>Letters to a Young Poet</t>
  </si>
  <si>
    <t>Franz Xaver Kappus, Reginald Snell</t>
  </si>
  <si>
    <t>to-read (#91)</t>
  </si>
  <si>
    <t>Imperial Life in the Emerald City: Inside Iraq's Green Zone</t>
  </si>
  <si>
    <t>Rajiv Chandrasekaran</t>
  </si>
  <si>
    <t>Chandrasekaran, Rajiv</t>
  </si>
  <si>
    <t>to-read (#2361), biblio-shock-doctrine (#84)</t>
  </si>
  <si>
    <t>Blue Boy</t>
  </si>
  <si>
    <t>Rakesh Satyal</t>
  </si>
  <si>
    <t>Satyal, Rakesh</t>
  </si>
  <si>
    <t>Kensington Trade</t>
  </si>
  <si>
    <t>to-read (#120)</t>
  </si>
  <si>
    <t>I Will Teach You To Be Rich: No guilt, no excuses - just a 6-week programme that works</t>
  </si>
  <si>
    <t>Ramit Sethi</t>
  </si>
  <si>
    <t>Sethi, Ramit</t>
  </si>
  <si>
    <t>Yellow Kite</t>
  </si>
  <si>
    <t>to-read (#1360), tech (#11), 0 (#491)</t>
  </si>
  <si>
    <t>The Mayor of Castro Street: The Life and Times of Harvey Milk</t>
  </si>
  <si>
    <t>Randy Shilts</t>
  </si>
  <si>
    <t>Shilts, Randy</t>
  </si>
  <si>
    <t>to-read (#1786)</t>
  </si>
  <si>
    <t>Modern Java in Action</t>
  </si>
  <si>
    <t>Raoul-Gabriel Urma</t>
  </si>
  <si>
    <t>Urma, Raoul-Gabriel</t>
  </si>
  <si>
    <t>Mario Fusco, Alan Mycroft</t>
  </si>
  <si>
    <t>Manning Publications Co.</t>
  </si>
  <si>
    <t>to-read (#1662), tech (#2), 0 (#514)</t>
  </si>
  <si>
    <t>The Hundred Years' War on Palestine: A History of Settler-Colonial Conquest and Resistance, 1917-2017</t>
  </si>
  <si>
    <t>Rashid Khalidi</t>
  </si>
  <si>
    <t>Khalidi, Rashid</t>
  </si>
  <si>
    <t>to-read (#2240), nonfiction (#240)</t>
  </si>
  <si>
    <t>El día más blanco</t>
  </si>
  <si>
    <t>Raúl Zurita</t>
  </si>
  <si>
    <t>Zurita, Raúl</t>
  </si>
  <si>
    <t>to-read (#590)</t>
  </si>
  <si>
    <t>The Mountain in the Sea</t>
  </si>
  <si>
    <t>Ray Nayler</t>
  </si>
  <si>
    <t>Nayler, Ray</t>
  </si>
  <si>
    <t>to-read (#1039)</t>
  </si>
  <si>
    <t>The Lady or the Tiger?: and Other Logic Puzzles (Dover Recreational Math)</t>
  </si>
  <si>
    <t>Raymond M. Smullyan</t>
  </si>
  <si>
    <t>Smullyan, Raymond M.</t>
  </si>
  <si>
    <t>to-read (#1808)</t>
  </si>
  <si>
    <t>What Is the Name of This Book?: The Riddle of Dracula and Other Logical Puzzles (Dover Math Games &amp; Puzzles)</t>
  </si>
  <si>
    <t>to-read (#1806)</t>
  </si>
  <si>
    <t>The Left Hemisphere: Mapping Critical Theory Today</t>
  </si>
  <si>
    <t>Razmig Keucheyan</t>
  </si>
  <si>
    <t>Keucheyan, Razmig</t>
  </si>
  <si>
    <t>Gregory Elliott</t>
  </si>
  <si>
    <t>to-read (#239)</t>
  </si>
  <si>
    <t>The Philosopher Queens: The lives and legacies of philosophy's unsung women</t>
  </si>
  <si>
    <t>Rebecca Buxton</t>
  </si>
  <si>
    <t>Buxton, Rebecca</t>
  </si>
  <si>
    <t>Lisa  Whiting</t>
  </si>
  <si>
    <t>Unbound</t>
  </si>
  <si>
    <t>to-read (#673)</t>
  </si>
  <si>
    <t>Violent Borders: Refugees and the Right to Move</t>
  </si>
  <si>
    <t>Reece  Jones</t>
  </si>
  <si>
    <t>Jones, Reece</t>
  </si>
  <si>
    <t>to-read (#226)</t>
  </si>
  <si>
    <t>Joan of Arc: Her Story</t>
  </si>
  <si>
    <t>Régine Pernoud</t>
  </si>
  <si>
    <t>Pernoud, Régine</t>
  </si>
  <si>
    <t>Marie-Véronique Clin, Jeremy duQuesnay Adams</t>
  </si>
  <si>
    <t>to-read (#731), history (#27), nonfiction (#115)</t>
  </si>
  <si>
    <t>The Irony of American History (Scribner Library of Contemporary Classics)</t>
  </si>
  <si>
    <t>Reinhold Niebuhr</t>
  </si>
  <si>
    <t>Niebuhr, Reinhold</t>
  </si>
  <si>
    <t>to-read (#1074)</t>
  </si>
  <si>
    <t>Cartas, sueños y otros textos de Remedios Varo</t>
  </si>
  <si>
    <t>Remedios Varo</t>
  </si>
  <si>
    <t>Varo, Remedios</t>
  </si>
  <si>
    <t>Ediciones Era</t>
  </si>
  <si>
    <t>to-read (#2437), nonfiction (#276), biographies-etc (#59)</t>
  </si>
  <si>
    <t>Asfalto</t>
  </si>
  <si>
    <t>Renato Pellegrini</t>
  </si>
  <si>
    <t>Pellegrini, Renato</t>
  </si>
  <si>
    <t>Tirso</t>
  </si>
  <si>
    <t>to-read (#506)</t>
  </si>
  <si>
    <t>A Night of Serious Drinking</t>
  </si>
  <si>
    <t>René Daumal</t>
  </si>
  <si>
    <t>Daumal, René</t>
  </si>
  <si>
    <t>Gerald Duckworth &amp; Company, Ltd.</t>
  </si>
  <si>
    <t>to-read (#110)</t>
  </si>
  <si>
    <t>Violence and the Sacred</t>
  </si>
  <si>
    <t>René Girard</t>
  </si>
  <si>
    <t>Girard, René</t>
  </si>
  <si>
    <t>to-read (#415)</t>
  </si>
  <si>
    <t>Symbols of Sacred Science</t>
  </si>
  <si>
    <t>René Guénon</t>
  </si>
  <si>
    <t>Guénon, René</t>
  </si>
  <si>
    <t>Henry Fohr, James Richard Wetmore</t>
  </si>
  <si>
    <t>Sophia Perennis et Universalis</t>
  </si>
  <si>
    <t>to-read (#1991)</t>
  </si>
  <si>
    <t>The Symbolism of the Cross</t>
  </si>
  <si>
    <t>Angus Macnab</t>
  </si>
  <si>
    <t>to-read (#1990)</t>
  </si>
  <si>
    <t>The Crisis of the Modern World</t>
  </si>
  <si>
    <t>Marco Pallis, Arthur Osborne, Richard C. Nicholson</t>
  </si>
  <si>
    <t>to-read (#1988)</t>
  </si>
  <si>
    <t>The Emotional Extremist's Guide to Handling Cartoon Elephants: How to Solve Elephantine Emotional Problems Without Getting Run Over, Chased, Flattened</t>
  </si>
  <si>
    <t>Renee Hoekstra</t>
  </si>
  <si>
    <t>Hoekstra, Renee</t>
  </si>
  <si>
    <t>Renee Hoekstra, Psy.D., LLC</t>
  </si>
  <si>
    <t>to-read (#2098)</t>
  </si>
  <si>
    <t>Don Segundo Sombra</t>
  </si>
  <si>
    <t>Ricardo Güiraldes</t>
  </si>
  <si>
    <t>Güiraldes, Ricardo</t>
  </si>
  <si>
    <t>Stockcero</t>
  </si>
  <si>
    <t>to-read (#499), novels (#201)</t>
  </si>
  <si>
    <t>Cuentos completos</t>
  </si>
  <si>
    <t>Ricardo Piglia</t>
  </si>
  <si>
    <t>Piglia, Ricardo</t>
  </si>
  <si>
    <t>to-read (#1019), short-stories (#3), 0 (#536)</t>
  </si>
  <si>
    <t>Plata quemada</t>
  </si>
  <si>
    <t>to-read (#2210)</t>
  </si>
  <si>
    <t>Nombre falso</t>
  </si>
  <si>
    <t>to-read (#577)</t>
  </si>
  <si>
    <t>Respiración artificial</t>
  </si>
  <si>
    <t>to-read (#489)</t>
  </si>
  <si>
    <t>The Demon in the Freezer: A True Story</t>
  </si>
  <si>
    <t>Richard   Preston</t>
  </si>
  <si>
    <t>Preston, Richard</t>
  </si>
  <si>
    <t>Fawcett</t>
  </si>
  <si>
    <t>to-read (#302)</t>
  </si>
  <si>
    <t>Electroconvulsive Therapy</t>
  </si>
  <si>
    <t>Richard Abrams</t>
  </si>
  <si>
    <t>Abrams, Richard</t>
  </si>
  <si>
    <t>to-read (#2102), biblio-noonday-demon (#21)</t>
  </si>
  <si>
    <t>In Watermelon Sugar</t>
  </si>
  <si>
    <t>Richard Brautigan</t>
  </si>
  <si>
    <t>Brautigan, Richard</t>
  </si>
  <si>
    <t>VINTAGE</t>
  </si>
  <si>
    <t>to-read (#72)</t>
  </si>
  <si>
    <t>The Greek Myths That Shape the Way We Think (Myths That Shape the Way We Think, 1)</t>
  </si>
  <si>
    <t>Richard Buxton</t>
  </si>
  <si>
    <t>Buxton, Richard</t>
  </si>
  <si>
    <t>to-read (#2427), greeks-romans-etc (#79), mythology (#60)</t>
  </si>
  <si>
    <t>The Complete World of Greek Mythology</t>
  </si>
  <si>
    <t>to-read (#1502), greeks-romans-etc (#60)</t>
  </si>
  <si>
    <t>50 Gay and Lesbian Books Everybody Must Read</t>
  </si>
  <si>
    <t>Richard Canning</t>
  </si>
  <si>
    <t>Canning, Richard</t>
  </si>
  <si>
    <t>Alyson Pubns</t>
  </si>
  <si>
    <t>to-read (#708), queer-gender-etc (#45)</t>
  </si>
  <si>
    <t>The Most Dangerous Game</t>
  </si>
  <si>
    <t>Richard Connell</t>
  </si>
  <si>
    <t>Connell, Richard</t>
  </si>
  <si>
    <t>Dennis Lyall</t>
  </si>
  <si>
    <t>Filiquarian Publishing, LLC.</t>
  </si>
  <si>
    <t>to-read (#1780)</t>
  </si>
  <si>
    <t>The Culture of Queers</t>
  </si>
  <si>
    <t>Richard Dyer</t>
  </si>
  <si>
    <t>Dyer, Richard</t>
  </si>
  <si>
    <t>to-read (#353), queer-gender-etc (#32)</t>
  </si>
  <si>
    <t>Homo emoticus: La historia de la Humanidad contada a través de las emociones</t>
  </si>
  <si>
    <t>Richard Firth-Godbehere</t>
  </si>
  <si>
    <t>Firth-Godbehere, Richard</t>
  </si>
  <si>
    <t>SALAMANDRA</t>
  </si>
  <si>
    <t xml:space="preserve">history, nonfiction, philosophy, to-read, </t>
  </si>
  <si>
    <t>to-read (#1362), history (#62), nonfiction (#34), philosophy (#54)</t>
  </si>
  <si>
    <t>The Narrow Road to the Deep North</t>
  </si>
  <si>
    <t>Richard Flanagan</t>
  </si>
  <si>
    <t>Flanagan, Richard</t>
  </si>
  <si>
    <t>Vintage Australia</t>
  </si>
  <si>
    <t>to-read (#1319), awards-man-booker-prize-winners (#48)</t>
  </si>
  <si>
    <t>Grossman's Glossary of Every Humorous Word in the English Language</t>
  </si>
  <si>
    <t>Richard Grossman</t>
  </si>
  <si>
    <t>Grossman, Richard</t>
  </si>
  <si>
    <t>Pierre Le-Tan</t>
  </si>
  <si>
    <t>American Letters Press</t>
  </si>
  <si>
    <t>to-read (#698)</t>
  </si>
  <si>
    <t>OSS: The Secret History of America's First Central Intelligence Agency</t>
  </si>
  <si>
    <t>Richard Harris Smith</t>
  </si>
  <si>
    <t>Smith, Richard Harris</t>
  </si>
  <si>
    <t>University of California</t>
  </si>
  <si>
    <t>to-read (#2408), bib-torture (#17)</t>
  </si>
  <si>
    <t>Star Names: Their Lore and Meaning</t>
  </si>
  <si>
    <t>Richard Hinckley Allen</t>
  </si>
  <si>
    <t>Allen, Richard Hinckley</t>
  </si>
  <si>
    <t>to-read (#1706)</t>
  </si>
  <si>
    <t>The Paranoid Style in American Politics and Other Essays</t>
  </si>
  <si>
    <t>Richard Hofstadter</t>
  </si>
  <si>
    <t>Hofstadter, Richard</t>
  </si>
  <si>
    <t>to-read (#2031), essays (#34)</t>
  </si>
  <si>
    <t>Anti-Intellectualism in American Life</t>
  </si>
  <si>
    <t>to-read (#588)</t>
  </si>
  <si>
    <t>On Forgiveness</t>
  </si>
  <si>
    <t>Richard Holloway</t>
  </si>
  <si>
    <t>Holloway, Richard</t>
  </si>
  <si>
    <t>Cannongate Canons</t>
  </si>
  <si>
    <t>to-read (#319)</t>
  </si>
  <si>
    <t>Drugged: The Science and Culture Behind Psychotropic Drugs</t>
  </si>
  <si>
    <t>Richard J. Miller</t>
  </si>
  <si>
    <t>Miller, Richard J.</t>
  </si>
  <si>
    <t>to-read (#85)</t>
  </si>
  <si>
    <t>The Ethiopians: A History (The Peoples of Africa)</t>
  </si>
  <si>
    <t>Richard Keir Pethick Pankhurst</t>
  </si>
  <si>
    <t>Pankhurst, Richard Keir Pethick</t>
  </si>
  <si>
    <t>to-read (#2185)</t>
  </si>
  <si>
    <t>People Who Eat Darkness: The True Story of a Young Woman Who Vanished from the Streets of Tokyo--and the Evil That Swallowed Her Up</t>
  </si>
  <si>
    <t>Richard Lloyd Parry</t>
  </si>
  <si>
    <t>Parry, Richard Lloyd</t>
  </si>
  <si>
    <t>to-read (#414)</t>
  </si>
  <si>
    <t>The Making of the Atomic Bomb</t>
  </si>
  <si>
    <t>Richard Rhodes</t>
  </si>
  <si>
    <t>Rhodes, Richard</t>
  </si>
  <si>
    <t>to-read (#626)</t>
  </si>
  <si>
    <t>Dionysos</t>
  </si>
  <si>
    <t>Richard Seaford</t>
  </si>
  <si>
    <t>Seaford, Richard</t>
  </si>
  <si>
    <t>to-read (#1490), greeks-romans-etc (#51)</t>
  </si>
  <si>
    <t>The Fall of Public Man</t>
  </si>
  <si>
    <t>Richard Sennett</t>
  </si>
  <si>
    <t>Sennett, Richard</t>
  </si>
  <si>
    <t>to-read (#2134), nonfiction (#205)</t>
  </si>
  <si>
    <t>The Twittering Machine</t>
  </si>
  <si>
    <t>Richard Seymour</t>
  </si>
  <si>
    <t>Seymour, Richard</t>
  </si>
  <si>
    <t>The Indigo Press</t>
  </si>
  <si>
    <t>to-read (#2439)</t>
  </si>
  <si>
    <t>War of the Foxes</t>
  </si>
  <si>
    <t>Richard Siken</t>
  </si>
  <si>
    <t>Siken, Richard</t>
  </si>
  <si>
    <t>poetry (#55), z-favorites-shelf (#38)</t>
  </si>
  <si>
    <t>Crush</t>
  </si>
  <si>
    <t>Louise Glück</t>
  </si>
  <si>
    <t>to-read (#578), poetry (#56)</t>
  </si>
  <si>
    <t>Black Boy</t>
  </si>
  <si>
    <t>Richard Wright</t>
  </si>
  <si>
    <t>Wright, Richard</t>
  </si>
  <si>
    <t>Jerry W. Ward Jr.</t>
  </si>
  <si>
    <t>Eleven Kinds of Loneliness</t>
  </si>
  <si>
    <t>Richard Yates</t>
  </si>
  <si>
    <t>Yates, Richard</t>
  </si>
  <si>
    <t>Vintage Contemporaries</t>
  </si>
  <si>
    <t>to-read (#798), short-stories (#43)</t>
  </si>
  <si>
    <t>A Hundred Lovers: Poems</t>
  </si>
  <si>
    <t>Richie Hofmann</t>
  </si>
  <si>
    <t>Hofmann, Richie</t>
  </si>
  <si>
    <t>to-read (#1077), poetry (#64)</t>
  </si>
  <si>
    <t>Unmask Alice: LSD, Satanic Panic, and the Imposter Behind the World's Most Notorious Diaries</t>
  </si>
  <si>
    <t>Rick Emerson</t>
  </si>
  <si>
    <t>Emerson, Rick</t>
  </si>
  <si>
    <t>BenBella Books</t>
  </si>
  <si>
    <t>to-read (#2430), nonfiction (#258)</t>
  </si>
  <si>
    <t>Rick Steves' French, Italian and German Phrase Book</t>
  </si>
  <si>
    <t>Rick Steves</t>
  </si>
  <si>
    <t>Steves, Rick</t>
  </si>
  <si>
    <t>to-read (#1485), tech (#14), 0 (#327)</t>
  </si>
  <si>
    <t>The First Time I Met Frank O'Hara: Reading Gay American Writers</t>
  </si>
  <si>
    <t>Rick Whitaker</t>
  </si>
  <si>
    <t>Whitaker, Rick</t>
  </si>
  <si>
    <t>Four Walls Eight Windows</t>
  </si>
  <si>
    <t>to-read (#351), queer-gender-etc (#59)</t>
  </si>
  <si>
    <t>Assuming the Position: A Memoir of Hustling</t>
  </si>
  <si>
    <t>to-read (#352)</t>
  </si>
  <si>
    <t>The Stain</t>
  </si>
  <si>
    <t>Rikki Ducornet</t>
  </si>
  <si>
    <t>Ducornet, Rikki</t>
  </si>
  <si>
    <t>to-read (#258)</t>
  </si>
  <si>
    <t>Everyone Knows Your Mother Is a Witch</t>
  </si>
  <si>
    <t>Rivka Galchen</t>
  </si>
  <si>
    <t>Galchen, Rivka</t>
  </si>
  <si>
    <t>to-read (#718), novels (#136)</t>
  </si>
  <si>
    <t>Atmospheric Disturbances</t>
  </si>
  <si>
    <t>to-read (#381)</t>
  </si>
  <si>
    <t>Pain and Emotion in Modern History (Palgrave Studies in the History of Emotions)</t>
  </si>
  <si>
    <t>Rob Boddice</t>
  </si>
  <si>
    <t>Boddice, Rob</t>
  </si>
  <si>
    <t>to-read (#1619), pain (#4)</t>
  </si>
  <si>
    <t>Music for Porn</t>
  </si>
  <si>
    <t>Rob Halpern</t>
  </si>
  <si>
    <t>Halpern, Rob</t>
  </si>
  <si>
    <t>to-read (#553)</t>
  </si>
  <si>
    <t>The Anatomy of Melancholy</t>
  </si>
  <si>
    <t>Robert  Burton</t>
  </si>
  <si>
    <t>Burton, Robert</t>
  </si>
  <si>
    <t>Angus Gowland</t>
  </si>
  <si>
    <t>to-read (#917), biblio-noonday-demon (#43)</t>
  </si>
  <si>
    <t>Personal Effects: What Recovering the Dead Teaches Me About Caring for the Living</t>
  </si>
  <si>
    <t>Robert A.  Jensen</t>
  </si>
  <si>
    <t>Jensen, Robert A.</t>
  </si>
  <si>
    <t>to-read (#1967), nonfiction (#272)</t>
  </si>
  <si>
    <t>Double Star</t>
  </si>
  <si>
    <t>Robert A. Heinlein</t>
  </si>
  <si>
    <t>Heinlein, Robert A.</t>
  </si>
  <si>
    <t>Del Rey</t>
  </si>
  <si>
    <t>to-read (#2392), novels (#207)</t>
  </si>
  <si>
    <t>The Moon Is a Harsh Mistress</t>
  </si>
  <si>
    <t>Hodder &amp; Stoughton</t>
  </si>
  <si>
    <t>to-read (#1117)</t>
  </si>
  <si>
    <t>Stranger in a Strange Land</t>
  </si>
  <si>
    <t>James Warhola</t>
  </si>
  <si>
    <t>to-read (#580)</t>
  </si>
  <si>
    <t>Prejudices: A Philosophical Dictionary</t>
  </si>
  <si>
    <t>Robert A. Nisbet</t>
  </si>
  <si>
    <t>Nisbet, Robert A.</t>
  </si>
  <si>
    <t xml:space="preserve">essays, philosophy, to-read, </t>
  </si>
  <si>
    <t>to-read (#859), philosophy (#70), essays (#40)</t>
  </si>
  <si>
    <t>The Wine-Dark Sea</t>
  </si>
  <si>
    <t>Robert Aickman</t>
  </si>
  <si>
    <t>Aickman, Robert</t>
  </si>
  <si>
    <t>Mandarin</t>
  </si>
  <si>
    <t>to-read (#1277), short-stories (#52)</t>
  </si>
  <si>
    <t>Cold Hand in Mine: Strange Stories</t>
  </si>
  <si>
    <t>Charles Scribner's Sons, New York</t>
  </si>
  <si>
    <t>to-read (#1453), short-stories (#50)</t>
  </si>
  <si>
    <t>Gay Life &amp; Culture: A World History</t>
  </si>
  <si>
    <t>Robert Aldrich</t>
  </si>
  <si>
    <t>Aldrich, Robert</t>
  </si>
  <si>
    <t>Universe</t>
  </si>
  <si>
    <t>to-read (#2001), history (#82), queer-gender-etc (#62)</t>
  </si>
  <si>
    <t>The Literary Guide to the Bible</t>
  </si>
  <si>
    <t>Robert Alter</t>
  </si>
  <si>
    <t>Alter, Robert</t>
  </si>
  <si>
    <t>Frank Kermode</t>
  </si>
  <si>
    <t>to-read (#1560), books-about-books (#6)</t>
  </si>
  <si>
    <t>Genesis</t>
  </si>
  <si>
    <t>to-read (#1561)</t>
  </si>
  <si>
    <t>Critical Thinking: An Introduction to Reasoning Well</t>
  </si>
  <si>
    <t>Robert Arp</t>
  </si>
  <si>
    <t>Arp, Robert</t>
  </si>
  <si>
    <t>Jamie Carlin Watson</t>
  </si>
  <si>
    <t>to-read (#1639), 0 (#121)</t>
  </si>
  <si>
    <t>The Best American Essays 2019</t>
  </si>
  <si>
    <t>Robert Atwan</t>
  </si>
  <si>
    <t>Atwan, Robert</t>
  </si>
  <si>
    <t>essays</t>
  </si>
  <si>
    <t>essays (#43)</t>
  </si>
  <si>
    <t>The Cambridge Dictionary of Philosophy</t>
  </si>
  <si>
    <t>Robert Audi</t>
  </si>
  <si>
    <t>Audi, Robert</t>
  </si>
  <si>
    <t xml:space="preserve">0, dictionaries-and-encyclopedias, philosophy, to-read, </t>
  </si>
  <si>
    <t>to-read (#850), philosophy (#9), 0 (#295), dictionaries-and-encyclopedias (#39)</t>
  </si>
  <si>
    <t>The Medieval World Complete</t>
  </si>
  <si>
    <t>Robert Bartlett</t>
  </si>
  <si>
    <t>Bartlett, Robert</t>
  </si>
  <si>
    <t>to-read (#2078), history (#65)</t>
  </si>
  <si>
    <t>The Hanged Man: A Story of Miracle, Memory, and Colonialism in the Middle Ages</t>
  </si>
  <si>
    <t>to-read (#2086)</t>
  </si>
  <si>
    <t>The Idea of Race (Hackett Publishing Co.)</t>
  </si>
  <si>
    <t>Robert Bernasconi</t>
  </si>
  <si>
    <t>Bernasconi, Robert</t>
  </si>
  <si>
    <t>Tommy L. Lott</t>
  </si>
  <si>
    <t>to-read (#1719), philosophy (#23), 0 (#431)</t>
  </si>
  <si>
    <t>Psycho (Psycho, #1)</t>
  </si>
  <si>
    <t>Robert Bloch</t>
  </si>
  <si>
    <t>Bloch, Robert</t>
  </si>
  <si>
    <t>to-read (#39)</t>
  </si>
  <si>
    <t>Clean Code: A Handbook of Agile Software Craftsmanship</t>
  </si>
  <si>
    <t>Robert C. Martin</t>
  </si>
  <si>
    <t>Martin, Robert C.</t>
  </si>
  <si>
    <t>to-read (#537)</t>
  </si>
  <si>
    <t>A Short History of Philosophy</t>
  </si>
  <si>
    <t>Robert C. Solomon</t>
  </si>
  <si>
    <t>Solomon, Robert C.</t>
  </si>
  <si>
    <t>Kathleen M. Higgins</t>
  </si>
  <si>
    <t>to-read (#884), history (#39), philosophy (#44)</t>
  </si>
  <si>
    <t>The Public Burning</t>
  </si>
  <si>
    <t>Robert Coover</t>
  </si>
  <si>
    <t>Coover, Robert</t>
  </si>
  <si>
    <t>to-read (#1601), books-from-twitter (#21), novels (#192)</t>
  </si>
  <si>
    <t>Spanking the Maid (Coover, Robert)</t>
  </si>
  <si>
    <t>to-read (#1541)</t>
  </si>
  <si>
    <t>Bowling Alone: The Collapse and Revival of American Community</t>
  </si>
  <si>
    <t>Robert D. Putnam</t>
  </si>
  <si>
    <t>Putnam, Robert D.</t>
  </si>
  <si>
    <t>Touchstone Books by Simon &amp; Schuster</t>
  </si>
  <si>
    <t>to-read (#644), nonfiction (#106)</t>
  </si>
  <si>
    <t>Weapons of Mass Delusion: When the Republican Party Lost Its Mind</t>
  </si>
  <si>
    <t>Robert Draper</t>
  </si>
  <si>
    <t>Draper, Robert</t>
  </si>
  <si>
    <t>to-read (#2432), nonfiction (#260)</t>
  </si>
  <si>
    <t>Black Gay Man: Essays</t>
  </si>
  <si>
    <t>Robert F. Reid-Pharr</t>
  </si>
  <si>
    <t>Reid-Pharr, Robert F.</t>
  </si>
  <si>
    <t>to-read (#524), essays (#37)</t>
  </si>
  <si>
    <t>Tango: The Art History of Love (With a Foreword by David Byrne)</t>
  </si>
  <si>
    <t>Robert Farris Thompson</t>
  </si>
  <si>
    <t>Thompson, Robert Farris</t>
  </si>
  <si>
    <t>to-read (#2266), books-about-argentina (#10)</t>
  </si>
  <si>
    <t>Tractatus</t>
  </si>
  <si>
    <t>Róbert Gál</t>
  </si>
  <si>
    <t>Gál, Róbert</t>
  </si>
  <si>
    <t>David Short</t>
  </si>
  <si>
    <t>Schism Press</t>
  </si>
  <si>
    <t>to-read (#2218), books-from-twitter (#45)</t>
  </si>
  <si>
    <t>Elements of a Coffee Service</t>
  </si>
  <si>
    <t>Robert Glück</t>
  </si>
  <si>
    <t>Glück, Robert</t>
  </si>
  <si>
    <t>Grey Fox Press</t>
  </si>
  <si>
    <t>to-read (#357)</t>
  </si>
  <si>
    <t>Claudius the God and His Wife Messalina (Claudius, #2)</t>
  </si>
  <si>
    <t>Robert Graves</t>
  </si>
  <si>
    <t>Graves, Robert</t>
  </si>
  <si>
    <t>Seneca, Suetonius</t>
  </si>
  <si>
    <t>to-read (#1352), 0 (#45), greeks-romans-etc (#87)</t>
  </si>
  <si>
    <t>The White Goddess: A Historical Grammar of Poetic Myth</t>
  </si>
  <si>
    <t>to-read (#1153), history (#1), mythology (#25)</t>
  </si>
  <si>
    <t>The Greek Myths: Complete Edition</t>
  </si>
  <si>
    <t>to-read (#1110), greeks-romans-etc (#23), mythology (#20)</t>
  </si>
  <si>
    <t>I, Claudius (Claudius, #1)</t>
  </si>
  <si>
    <t>to-read (#1607), greeks-romans-etc (#3), 0 (#457)</t>
  </si>
  <si>
    <t>Horoscope Symbols</t>
  </si>
  <si>
    <t>Robert Hand</t>
  </si>
  <si>
    <t>Hand, Robert</t>
  </si>
  <si>
    <t>Schiffer Publishing</t>
  </si>
  <si>
    <t xml:space="preserve">mythology, tarot, to-read, </t>
  </si>
  <si>
    <t>to-read (#1698), mythology (#54), tarot (#9)</t>
  </si>
  <si>
    <t>Eccentric Spaces (Mit Press)</t>
  </si>
  <si>
    <t>Robert Harbison</t>
  </si>
  <si>
    <t>Harbison, Robert</t>
  </si>
  <si>
    <t>to-read (#1454)</t>
  </si>
  <si>
    <t>Organized Crime: A Global Perspective</t>
  </si>
  <si>
    <t>Robert J. Kelly</t>
  </si>
  <si>
    <t>Kelly, Robert J.</t>
  </si>
  <si>
    <t>to-read (#2413)</t>
  </si>
  <si>
    <t>Thought Reform and the Psychology of Totalism: A Study of 'Brainwashing' in China</t>
  </si>
  <si>
    <t>Robert Jay Lifton</t>
  </si>
  <si>
    <t>Lifton, Robert Jay</t>
  </si>
  <si>
    <t>The University of North Carolina Press</t>
  </si>
  <si>
    <t>to-read (#2409), bib-torture (#18)</t>
  </si>
  <si>
    <t>The Nazi Doctors: Medical Killing and the Psychology of Genocide</t>
  </si>
  <si>
    <t>to-read (#2313), biblio-shock-doctrine (#48)</t>
  </si>
  <si>
    <t>Robert Jones Jr.</t>
  </si>
  <si>
    <t>Jr., Robert Jones</t>
  </si>
  <si>
    <t>G.P. Putnam's Sons</t>
  </si>
  <si>
    <t>to-read (#681), novels (#132), queer-gender-etc (#44)</t>
  </si>
  <si>
    <t>Chambers Dictionary of Etymology</t>
  </si>
  <si>
    <t>Robert K. Barnhart</t>
  </si>
  <si>
    <t>Barnhart, Robert K.</t>
  </si>
  <si>
    <t>Sol Steinmetz</t>
  </si>
  <si>
    <t>Chambers</t>
  </si>
  <si>
    <t>to-read (#866), dictionaries-and-encyclopedias (#15)</t>
  </si>
  <si>
    <t>Hidden Valley Road: Inside the Mind of an American Family</t>
  </si>
  <si>
    <t>Robert Kolker</t>
  </si>
  <si>
    <t>Kolker, Robert</t>
  </si>
  <si>
    <t>to-read (#348)</t>
  </si>
  <si>
    <t>King, Warrior, Magician, Lover: Rediscovering the Archetypes of the Mature Masculine</t>
  </si>
  <si>
    <t>Robert L. Moore</t>
  </si>
  <si>
    <t>Moore, Robert L.</t>
  </si>
  <si>
    <t>Douglas Gillette</t>
  </si>
  <si>
    <t xml:space="preserve">mythology, symbolism, to-read, </t>
  </si>
  <si>
    <t>to-read (#2014), symbolism (#1), mythology (#61)</t>
  </si>
  <si>
    <t>A Critique of Pure Tolerance</t>
  </si>
  <si>
    <t>Robert Paul Wolff</t>
  </si>
  <si>
    <t>Wolff, Robert Paul</t>
  </si>
  <si>
    <t>Barrington Moore Jr., Herbert Marcuse</t>
  </si>
  <si>
    <t>to-read (#400)</t>
  </si>
  <si>
    <t>The Inquisitory</t>
  </si>
  <si>
    <t>Robert Pinget</t>
  </si>
  <si>
    <t>Pinget, Robert</t>
  </si>
  <si>
    <t>Grove Press Inc.</t>
  </si>
  <si>
    <t>to-read (#1587), books-from-twitter (#3)</t>
  </si>
  <si>
    <t>Singing School: Learning to Write (and Read) Poetry by Studying with the Masters</t>
  </si>
  <si>
    <t>Robert Pinsky</t>
  </si>
  <si>
    <t>Pinsky, Robert</t>
  </si>
  <si>
    <t>to-read (#1405), poetry (#39), 0 (#497)</t>
  </si>
  <si>
    <t>You Will Die: The Burden of Modern Taboos</t>
  </si>
  <si>
    <t>Robert R. Arthur</t>
  </si>
  <si>
    <t>Arthur, Robert R.</t>
  </si>
  <si>
    <t>Suburra Publishing</t>
  </si>
  <si>
    <t>to-read (#69)</t>
  </si>
  <si>
    <t>The King in Yellow</t>
  </si>
  <si>
    <t>Robert W. Chambers</t>
  </si>
  <si>
    <t>Chambers, Robert W.</t>
  </si>
  <si>
    <t>Createspace Independent Publishing Platform</t>
  </si>
  <si>
    <t>to-read (#1266), horror (#1), short-stories (#53)</t>
  </si>
  <si>
    <t>The Jungian Tarot and Its Archetypal Imagery</t>
  </si>
  <si>
    <t>Robert Wang</t>
  </si>
  <si>
    <t>Wang, Robert</t>
  </si>
  <si>
    <t>Marcus Aurelius Press</t>
  </si>
  <si>
    <t>to-read (#1524)</t>
  </si>
  <si>
    <t>Roberto Bolaño</t>
  </si>
  <si>
    <t>Bolaño, Roberto</t>
  </si>
  <si>
    <t>to-read (#475), novels (#130)</t>
  </si>
  <si>
    <t>Nazi Literature in the Americas</t>
  </si>
  <si>
    <t xml:space="preserve">authors-jewish-authors, authors-usa-authors, to-read, </t>
  </si>
  <si>
    <t>to-read (#2180)</t>
  </si>
  <si>
    <t>Llamadas telefónicas</t>
  </si>
  <si>
    <t>to-read (#474)</t>
  </si>
  <si>
    <t>By Night in Chile</t>
  </si>
  <si>
    <t>to-read (#272)</t>
  </si>
  <si>
    <t>The Book of All Books</t>
  </si>
  <si>
    <t>Roberto Calasso</t>
  </si>
  <si>
    <t>Calasso, Roberto</t>
  </si>
  <si>
    <t>to-read (#1209), history (#33), mythology (#35)</t>
  </si>
  <si>
    <t>The Celestial Hunter</t>
  </si>
  <si>
    <t>Richard Dixon</t>
  </si>
  <si>
    <t>to-read (#1207), history (#32), mythology (#34)</t>
  </si>
  <si>
    <t>Literature and the Gods</t>
  </si>
  <si>
    <t>to-read (#1205), mythology (#33)</t>
  </si>
  <si>
    <t>Ka: Stories of the Mind and Gods of India</t>
  </si>
  <si>
    <t>to-read (#1204), history (#30), mythology (#32)</t>
  </si>
  <si>
    <t>The Forty-Nine Steps</t>
  </si>
  <si>
    <t>John Shepley</t>
  </si>
  <si>
    <t>to-read (#1210), essays (#13), nonfiction (#169)</t>
  </si>
  <si>
    <t>The Marriage of Cadmus and Harmony</t>
  </si>
  <si>
    <t>to-read (#1131), mythology (#2), greeks-romans-etc (#1), 0 (#304)</t>
  </si>
  <si>
    <t>K.</t>
  </si>
  <si>
    <t>Geoffrey Brock</t>
  </si>
  <si>
    <t>to-read (#1102), biographies-etc (#21)</t>
  </si>
  <si>
    <t>Tiepolo Pink</t>
  </si>
  <si>
    <t>Bodley Head</t>
  </si>
  <si>
    <t>to-read (#1208)</t>
  </si>
  <si>
    <t>The Ruin of Kasch</t>
  </si>
  <si>
    <t>William Weaver, Stephen Sartorelli</t>
  </si>
  <si>
    <t>to-read (#1206)</t>
  </si>
  <si>
    <t>Cómo ordenar una biblioteca</t>
  </si>
  <si>
    <t>Edgardo Dobry</t>
  </si>
  <si>
    <t>to-read (#760)</t>
  </si>
  <si>
    <t>A Voice from the Attic: Essays on the Art of Reading</t>
  </si>
  <si>
    <t>Robertson Davis</t>
  </si>
  <si>
    <t>Davis, Robertson</t>
  </si>
  <si>
    <t>Penguin Group USA</t>
  </si>
  <si>
    <t>to-read (#1944)</t>
  </si>
  <si>
    <t>The Routledge Handbook of Greek Mythology</t>
  </si>
  <si>
    <t>Hard, Robin</t>
  </si>
  <si>
    <t>to-read (#1510), greeks-romans-etc (#67)</t>
  </si>
  <si>
    <t>As Timeless as Infinity: The Complete Twilight Zone Scripts of Rod Serling, Volume 1</t>
  </si>
  <si>
    <t>Rod Serling</t>
  </si>
  <si>
    <t>Serling, Rod</t>
  </si>
  <si>
    <t>Tony Albarella</t>
  </si>
  <si>
    <t>Gauntlet Pr</t>
  </si>
  <si>
    <t>to-read (#2132)</t>
  </si>
  <si>
    <t>The Twilight Zone: Complete Stories</t>
  </si>
  <si>
    <t>TV Books</t>
  </si>
  <si>
    <t>to-read (#2131)</t>
  </si>
  <si>
    <t>Paddy Clarke Ha Ha Ha</t>
  </si>
  <si>
    <t>Roddy Doyle</t>
  </si>
  <si>
    <t>Doyle, Roddy</t>
  </si>
  <si>
    <t>to-read (#1301), awards-man-booker-prize-winners (#27)</t>
  </si>
  <si>
    <t>Greece</t>
  </si>
  <si>
    <t>Roderick Beaton</t>
  </si>
  <si>
    <t>Beaton, Roderick</t>
  </si>
  <si>
    <t>Allen Lane (an imprint of Penguin Books)</t>
  </si>
  <si>
    <t>to-read (#2258), nonfiction (#245), history (#72)</t>
  </si>
  <si>
    <t>Operación Masacre</t>
  </si>
  <si>
    <t>Rodolfo Walsh</t>
  </si>
  <si>
    <t>Walsh, Rodolfo</t>
  </si>
  <si>
    <t>Ediciones de la Flor</t>
  </si>
  <si>
    <t>to-read (#609)</t>
  </si>
  <si>
    <t>El material humano</t>
  </si>
  <si>
    <t>Rodrigo Rey Rosa</t>
  </si>
  <si>
    <t>Rosa, Rodrigo Rey</t>
  </si>
  <si>
    <t>to-read (#2194), books-from-twitter (#40)</t>
  </si>
  <si>
    <t>Modern Philosophy: An Anthology of Primary Sources, 2nd Edition</t>
  </si>
  <si>
    <t>Roger Ariew</t>
  </si>
  <si>
    <t>Ariew, Roger</t>
  </si>
  <si>
    <t>Eric Watkins</t>
  </si>
  <si>
    <t>Hackett Publishing</t>
  </si>
  <si>
    <t>to-read (#1644), philosophy (#22), 0 (#339)</t>
  </si>
  <si>
    <t>A Brief History of Ancient Astrology (Wiley Brief Histories of the Ancient World)</t>
  </si>
  <si>
    <t>Roger B. Beck</t>
  </si>
  <si>
    <t>Beck, Roger B.</t>
  </si>
  <si>
    <t>to-read (#1705)</t>
  </si>
  <si>
    <t>The Cambridge Companion to Greek Mythology (Cambridge Companions to Literature)</t>
  </si>
  <si>
    <t>Roger D. Woodard</t>
  </si>
  <si>
    <t>Woodard, Roger D.</t>
  </si>
  <si>
    <t xml:space="preserve">cambridge-companions, greeks-romans-etc, mythology, to-read, </t>
  </si>
  <si>
    <t>to-read (#1652), cambridge-companions (#4), greeks-romans-etc (#86), mythology (#63)</t>
  </si>
  <si>
    <t>The Emperor's New Mind</t>
  </si>
  <si>
    <t>Penrose, Roger</t>
  </si>
  <si>
    <t>to-read (#738)</t>
  </si>
  <si>
    <t>At War's End: Building Peace after Civil Conflict</t>
  </si>
  <si>
    <t>Roland  Paris</t>
  </si>
  <si>
    <t>Paris, Roland</t>
  </si>
  <si>
    <t>to-read (#2353), biblio-shock-doctrine (#76)</t>
  </si>
  <si>
    <t>A Short History of Africa</t>
  </si>
  <si>
    <t>Roland Anthony Oliver</t>
  </si>
  <si>
    <t>Oliver, Roland Anthony</t>
  </si>
  <si>
    <t>J.D. Fage</t>
  </si>
  <si>
    <t>Penguin Books Ltd.</t>
  </si>
  <si>
    <t>to-read (#2187)</t>
  </si>
  <si>
    <t>Mythologies</t>
  </si>
  <si>
    <t>Roland Barthes</t>
  </si>
  <si>
    <t>Barthes, Roland</t>
  </si>
  <si>
    <t>Annette Lavers</t>
  </si>
  <si>
    <t>to-read (#1580), 0 (#23)</t>
  </si>
  <si>
    <t>A Lover's Discourse: Fragments</t>
  </si>
  <si>
    <t>to-read (#206)</t>
  </si>
  <si>
    <t>The Tenant</t>
  </si>
  <si>
    <t>Roland Topor</t>
  </si>
  <si>
    <t>Topor, Roland</t>
  </si>
  <si>
    <t>Francis K. Price, Thomas Ligotti</t>
  </si>
  <si>
    <t>Centipede Press</t>
  </si>
  <si>
    <t>to-read (#1452)</t>
  </si>
  <si>
    <t>Man's Search for Himself</t>
  </si>
  <si>
    <t>Rollo May</t>
  </si>
  <si>
    <t>May, Rollo</t>
  </si>
  <si>
    <t>Souvenir Press Ltd</t>
  </si>
  <si>
    <t>to-read (#1709)</t>
  </si>
  <si>
    <t>The One Percent Doctrine: Deep Inside America's Pursuit of Its Enemies Since 9/11</t>
  </si>
  <si>
    <t>Ron Suskind</t>
  </si>
  <si>
    <t>Suskind, Ron</t>
  </si>
  <si>
    <t>to-read (#2363), biblio-shock-doctrine (#86)</t>
  </si>
  <si>
    <t>A History of the Occult Tarot</t>
  </si>
  <si>
    <t>Ronald Decker</t>
  </si>
  <si>
    <t>Decker, Ronald</t>
  </si>
  <si>
    <t>Michael Dummett</t>
  </si>
  <si>
    <t>to-read (#950), history (#52)</t>
  </si>
  <si>
    <t>A Wicked Pack of Cards: The Origins of the Occult Tarot</t>
  </si>
  <si>
    <t>Thierry Depaulis, Michael Dummett</t>
  </si>
  <si>
    <t>to-read (#949)</t>
  </si>
  <si>
    <t>Life's Dominion</t>
  </si>
  <si>
    <t>Ronald Dworkin</t>
  </si>
  <si>
    <t>Dworkin, Ronald</t>
  </si>
  <si>
    <t>to-read (#2156), biblio-noonday-demon (#62)</t>
  </si>
  <si>
    <t>Marquis de Sade: The Genius of Passion (Tauris Parke Paperbacks)</t>
  </si>
  <si>
    <t>Ronald Hayman</t>
  </si>
  <si>
    <t>Hayman, Ronald</t>
  </si>
  <si>
    <t>Tauris Parke Paperbacks</t>
  </si>
  <si>
    <t>to-read (#816), nonfiction (#130)</t>
  </si>
  <si>
    <t>Nietzsche: A Critical Life</t>
  </si>
  <si>
    <t>to-read (#815)</t>
  </si>
  <si>
    <t>The Witch: A History of Fear, from Ancient Times to the Present</t>
  </si>
  <si>
    <t>Ronald Hutton</t>
  </si>
  <si>
    <t>Hutton, Ronald</t>
  </si>
  <si>
    <t xml:space="preserve">history, mythology, nonfiction, to-read, </t>
  </si>
  <si>
    <t>to-read (#1173), history (#8), nonfiction (#145), mythology (#28)</t>
  </si>
  <si>
    <t>Biology of Suicide</t>
  </si>
  <si>
    <t>Ronald W. Maris</t>
  </si>
  <si>
    <t>Maris, Ronald W.</t>
  </si>
  <si>
    <t>The Guilford Press</t>
  </si>
  <si>
    <t>to-read (#2171)</t>
  </si>
  <si>
    <t>Leonard and Hungry Paul</t>
  </si>
  <si>
    <t>Ronan Hession</t>
  </si>
  <si>
    <t>Hession, Ronan</t>
  </si>
  <si>
    <t>to-read (#835), novels (#149)</t>
  </si>
  <si>
    <t>The History of Pain</t>
  </si>
  <si>
    <t>Roselyne Rey</t>
  </si>
  <si>
    <t>Rey, Roselyne</t>
  </si>
  <si>
    <t>Louise Elliott Wallace, J.A. Cadden, S.W. Cadden</t>
  </si>
  <si>
    <t>to-read (#1617), pain (#2)</t>
  </si>
  <si>
    <t>The Encyclopedia of Witches and Witchcraft</t>
  </si>
  <si>
    <t>Rosemary Ellen Guiley</t>
  </si>
  <si>
    <t>Guiley, Rosemary Ellen</t>
  </si>
  <si>
    <t>to-read (#930), dictionaries-and-encyclopedias (#34)</t>
  </si>
  <si>
    <t>Point Made: How to Write Like the Nation's Top Advocates</t>
  </si>
  <si>
    <t>Ross Guberman</t>
  </si>
  <si>
    <t>Guberman, Ross</t>
  </si>
  <si>
    <t>to-read (#2099)</t>
  </si>
  <si>
    <t>Nietzsche -- The Key Ideas: A Teach Yourself Guide (Teach Yourself: Reference)</t>
  </si>
  <si>
    <t>Roy Jackson</t>
  </si>
  <si>
    <t>Jackson, Roy</t>
  </si>
  <si>
    <t>McGraw-Hill</t>
  </si>
  <si>
    <t>to-read (#1398), 0 (#106)</t>
  </si>
  <si>
    <t>The Art of X-Ray Reading</t>
  </si>
  <si>
    <t>Roy Peter Clark</t>
  </si>
  <si>
    <t>Clark, Roy Peter</t>
  </si>
  <si>
    <t>to-read (#2231), nonfiction (#231)</t>
  </si>
  <si>
    <t>The Greatest Benefit to Mankind: A Medical History of Humanity</t>
  </si>
  <si>
    <t>Roy Porter</t>
  </si>
  <si>
    <t>Porter, Roy</t>
  </si>
  <si>
    <t>to-read (#1946)</t>
  </si>
  <si>
    <t>Madness: A Brief History</t>
  </si>
  <si>
    <t>to-read (#1921)</t>
  </si>
  <si>
    <t>Thought Experiments</t>
  </si>
  <si>
    <t>Roy Sorensen</t>
  </si>
  <si>
    <t>Sorensen, Roy</t>
  </si>
  <si>
    <t>to-read (#1932)</t>
  </si>
  <si>
    <t>A Brief History of the Paradox: Philosophy and the Labyrinths of the Mind</t>
  </si>
  <si>
    <t>to-read (#1924)</t>
  </si>
  <si>
    <t>Cuentos</t>
  </si>
  <si>
    <t>Rubén Darío</t>
  </si>
  <si>
    <t>Darío, Rubén</t>
  </si>
  <si>
    <t>José María Martínez</t>
  </si>
  <si>
    <t>to-read (#1427), short-stories (#26), 0 (#505)</t>
  </si>
  <si>
    <t>Nietzsche: A Philosophical Biography</t>
  </si>
  <si>
    <t>Rüdiger Safranski</t>
  </si>
  <si>
    <t>Safranski, Rüdiger</t>
  </si>
  <si>
    <t>Shelley Frisch</t>
  </si>
  <si>
    <t>to-read (#819), biographies-etc (#24), nonfiction (#131)</t>
  </si>
  <si>
    <t>Martin Heidegger: Between Good and Evil</t>
  </si>
  <si>
    <t>Ewald Osers</t>
  </si>
  <si>
    <t>to-read (#1792), biographies-etc (#29)</t>
  </si>
  <si>
    <t>Introduction to Symbolic Logic and its Applications</t>
  </si>
  <si>
    <t>Rudolf Carnap</t>
  </si>
  <si>
    <t>Carnap, Rudolf</t>
  </si>
  <si>
    <t>Dover Publications, Inc. (NY)</t>
  </si>
  <si>
    <t>to-read (#1809)</t>
  </si>
  <si>
    <t>The Idea of the Holy</t>
  </si>
  <si>
    <t>Rudolf Otto</t>
  </si>
  <si>
    <t>Otto, Rudolf</t>
  </si>
  <si>
    <t>John Wilfred Harvey</t>
  </si>
  <si>
    <t>to-read (#908), philosophy (#71)</t>
  </si>
  <si>
    <t>Geometry, Relativity and the Fourth Dimension (Dover Books on Mathematics)</t>
  </si>
  <si>
    <t>Rudolf Rucker</t>
  </si>
  <si>
    <t>Rucker, Rudolf</t>
  </si>
  <si>
    <t>to-read (#1807)</t>
  </si>
  <si>
    <t>Bless Me, Ultima</t>
  </si>
  <si>
    <t>Rudolfo Anaya</t>
  </si>
  <si>
    <t>Anaya, Rudolfo</t>
  </si>
  <si>
    <t>to-read (#540)</t>
  </si>
  <si>
    <t>Fear Itself: The Origin and Nature of the Powerful Emotion that Shapes Our Lives and Our World</t>
  </si>
  <si>
    <t>Rush W. Dozier Jr.</t>
  </si>
  <si>
    <t>Jr., Rush W. Dozier</t>
  </si>
  <si>
    <t>to-read (#2155), biblio-noonday-demon (#61)</t>
  </si>
  <si>
    <t>The Encyclopedia of Witchcraft &amp; Demonology</t>
  </si>
  <si>
    <t>Russell Hope Robbins</t>
  </si>
  <si>
    <t>Robbins, Russell Hope</t>
  </si>
  <si>
    <t>Bonanza Books</t>
  </si>
  <si>
    <t>to-read (#448), dictionaries-and-encyclopedias (#20)</t>
  </si>
  <si>
    <t>The Last Intellectuals: American Culture in the Age of Academe</t>
  </si>
  <si>
    <t>Russell Jacoby</t>
  </si>
  <si>
    <t>Jacoby, Russell</t>
  </si>
  <si>
    <t>to-read (#2032)</t>
  </si>
  <si>
    <t>From Drag Queens to Leathermen: Language, Gender, and Gay Male Subcultures (Studies in Language and Gender)</t>
  </si>
  <si>
    <t>Rusty Barrett</t>
  </si>
  <si>
    <t>Barrett, Rusty</t>
  </si>
  <si>
    <t>to-read (#1015), 0 (#40)</t>
  </si>
  <si>
    <t>to-read (#1389)</t>
  </si>
  <si>
    <t>to-read (#218)</t>
  </si>
  <si>
    <t>Kadmos the Phoenician: A study in Greek legends and the Mycenaean age</t>
  </si>
  <si>
    <t>Ruth B. Edwards</t>
  </si>
  <si>
    <t>Edwards, Ruth B.</t>
  </si>
  <si>
    <t>Adolf M. Hakkert</t>
  </si>
  <si>
    <t>to-read (#1508), greeks-romans-etc (#65)</t>
  </si>
  <si>
    <t>A Tale for the Time Being</t>
  </si>
  <si>
    <t>Ruth Ozeki</t>
  </si>
  <si>
    <t>Ozeki, Ruth</t>
  </si>
  <si>
    <t>to-read (#94)</t>
  </si>
  <si>
    <t>Heat and Dust</t>
  </si>
  <si>
    <t>Ruth Prawer Jhabvala</t>
  </si>
  <si>
    <t>Jhabvala, Ruth Prawer</t>
  </si>
  <si>
    <t>to-read (#1285), awards-man-booker-prize-winners (#8)</t>
  </si>
  <si>
    <t>The Shadow of the Sun</t>
  </si>
  <si>
    <t>Ryszard Kapuściński</t>
  </si>
  <si>
    <t>Kapuściński, Ryszard</t>
  </si>
  <si>
    <t>to-read (#2188)</t>
  </si>
  <si>
    <t>Almost Transparent Blue</t>
  </si>
  <si>
    <t>Ryū Murakami</t>
  </si>
  <si>
    <t>Murakami, Ryū</t>
  </si>
  <si>
    <t>Nancy Andrew</t>
  </si>
  <si>
    <t>Kodansha USA</t>
  </si>
  <si>
    <t>to-read (#161), novels (#118)</t>
  </si>
  <si>
    <t>The Art of the Occult: A Visual Sourcebook for the Modern Mystic</t>
  </si>
  <si>
    <t>S.  Elizabeth</t>
  </si>
  <si>
    <t>Elizabeth, S.</t>
  </si>
  <si>
    <t>Frances Lincoln</t>
  </si>
  <si>
    <t>to-read (#1119)</t>
  </si>
  <si>
    <t>The Mystery-Religions</t>
  </si>
  <si>
    <t>S. Angus</t>
  </si>
  <si>
    <t>Angus, S.</t>
  </si>
  <si>
    <t>to-read (#1821)</t>
  </si>
  <si>
    <t>A Blake Dictionary: The Ideas and Symbols of William Blake</t>
  </si>
  <si>
    <t>S. Foster Damon</t>
  </si>
  <si>
    <t>Damon, S. Foster</t>
  </si>
  <si>
    <t>Morris Eaves</t>
  </si>
  <si>
    <t>Brown Univ Pr</t>
  </si>
  <si>
    <t>to-read (#2066), dictionaries-and-encyclopedias (#31)</t>
  </si>
  <si>
    <t>Jung y el Tarot. Un viaje arquetípico</t>
  </si>
  <si>
    <t>Sallie Nichols</t>
  </si>
  <si>
    <t>Nichols, Sallie</t>
  </si>
  <si>
    <t>Pilar Basté, Enrique Eskenazi</t>
  </si>
  <si>
    <t>Kairós</t>
  </si>
  <si>
    <t>to-read (#1042)</t>
  </si>
  <si>
    <t>Sallustius: Concerning the Gods and the Universe (English and Ancient Greek Edition)</t>
  </si>
  <si>
    <t>Sallust</t>
  </si>
  <si>
    <t>Sallust, Sallust</t>
  </si>
  <si>
    <t>Arthur Darby Nock</t>
  </si>
  <si>
    <t>to-read (#1103), greeks-romans-etc (#22)</t>
  </si>
  <si>
    <t>Los versos satánicos</t>
  </si>
  <si>
    <t>Salman Rushdie</t>
  </si>
  <si>
    <t>Rushdie, Salman</t>
  </si>
  <si>
    <t>to-read (#118), novels (#102), 0 (#558)</t>
  </si>
  <si>
    <t>Midnight's Children</t>
  </si>
  <si>
    <t>to-read (#1291), awards-man-booker-prize-winners (#14)</t>
  </si>
  <si>
    <t>Madness (Penguin Poets)</t>
  </si>
  <si>
    <t>Sax, Sam</t>
  </si>
  <si>
    <t xml:space="preserve">0, poetry, </t>
  </si>
  <si>
    <t>poetry (#28), 0 (#530)</t>
  </si>
  <si>
    <t>All the Rage</t>
  </si>
  <si>
    <t>Sibling Rivalry Press, LLC</t>
  </si>
  <si>
    <t>poetry (#29), 0 (#529)</t>
  </si>
  <si>
    <t>A Guide to Undressing Your Monsters</t>
  </si>
  <si>
    <t>Button Poetry</t>
  </si>
  <si>
    <t>poetry (#30), 0 (#464)</t>
  </si>
  <si>
    <t>Pig: Poems</t>
  </si>
  <si>
    <t>to-read (#1148)</t>
  </si>
  <si>
    <t>Fever Dream</t>
  </si>
  <si>
    <t>Samanta Schweblin</t>
  </si>
  <si>
    <t>Schweblin, Samanta</t>
  </si>
  <si>
    <t>Megan McDowell, Ruth Sepp</t>
  </si>
  <si>
    <t>to-read (#284), novels (#123)</t>
  </si>
  <si>
    <t>Mr. Splitfoot</t>
  </si>
  <si>
    <t>Samantha Hunt</t>
  </si>
  <si>
    <t>Hunt, Samantha</t>
  </si>
  <si>
    <t>to-read (#135)</t>
  </si>
  <si>
    <t>The Best American Food Writing 2019 (The Best American Series)</t>
  </si>
  <si>
    <t>Samin Nosrat</t>
  </si>
  <si>
    <t>Nosrat, Samin</t>
  </si>
  <si>
    <t>to-read (#341)</t>
  </si>
  <si>
    <t>The Complete Dramatic Works of Samuel Beckett</t>
  </si>
  <si>
    <t>Samuel Beckett</t>
  </si>
  <si>
    <t>Beckett, Samuel</t>
  </si>
  <si>
    <t>to-read (#2116), biblio-noonday-demon (#37)</t>
  </si>
  <si>
    <t>Molloy / Malone Dies / The Unnamable</t>
  </si>
  <si>
    <t>Gabriel Josipovici</t>
  </si>
  <si>
    <t>Everyman's Library</t>
  </si>
  <si>
    <t>to-read (#2117), biblio-noonday-demon (#36)</t>
  </si>
  <si>
    <t>Elvis Presley Calls His Mother After The Ed Sullivan Show</t>
  </si>
  <si>
    <t>Samuel Charters</t>
  </si>
  <si>
    <t>Charters, Samuel</t>
  </si>
  <si>
    <t>to-read (#1907), novels (#84), 0 (#359)</t>
  </si>
  <si>
    <t>Mood Genes: Hunting for Origins of Mania and Depression (Oxford Paperbacks)</t>
  </si>
  <si>
    <t>Samuel H. Barondes</t>
  </si>
  <si>
    <t>Barondes, Samuel H.</t>
  </si>
  <si>
    <t>to-read (#2113), biblio-noonday-demon (#40)</t>
  </si>
  <si>
    <t>Sumerian Mythology: A Study of Spiritual and Literary Achievement in the Third Millennium B.C.</t>
  </si>
  <si>
    <t>Samuel Noah Kramer</t>
  </si>
  <si>
    <t>Kramer, Samuel Noah</t>
  </si>
  <si>
    <t>Harper and Brothers</t>
  </si>
  <si>
    <t>to-read (#1872), mythology (#8), 0 (#353)</t>
  </si>
  <si>
    <t>The Third Wave: Democratization in the Late Twentieth Century</t>
  </si>
  <si>
    <t>Samuel P. Huntington</t>
  </si>
  <si>
    <t>Huntington, Samuel P.</t>
  </si>
  <si>
    <t>University of Oklahoma Press</t>
  </si>
  <si>
    <t>to-read (#2316), biblio-shock-doctrine (#51)</t>
  </si>
  <si>
    <t>Times Square Red, Times Square Blue</t>
  </si>
  <si>
    <t>Delany, Samuel R.</t>
  </si>
  <si>
    <t>New York University Press</t>
  </si>
  <si>
    <t>to-read (#722), queer-gender-etc (#48)</t>
  </si>
  <si>
    <t>Capital City: Gentrification and the Real Estate State</t>
  </si>
  <si>
    <t>Samuel Stein</t>
  </si>
  <si>
    <t>Stein, Samuel</t>
  </si>
  <si>
    <t>to-read (#686)</t>
  </si>
  <si>
    <t>Homosexuality: A Political and Historical Analysis</t>
  </si>
  <si>
    <t>San Diego Research Group</t>
  </si>
  <si>
    <t>Group, San Diego Research</t>
  </si>
  <si>
    <t>to-read (#1519)</t>
  </si>
  <si>
    <t>Conversations with Nietzsche: A Life in the Words of His Contemporaries</t>
  </si>
  <si>
    <t>Sander L. Gilman</t>
  </si>
  <si>
    <t>Gilman, Sander L.</t>
  </si>
  <si>
    <t>David J. Parent</t>
  </si>
  <si>
    <t>to-read (#809)</t>
  </si>
  <si>
    <t>Pictures from the Heart: A Tarot Dictionary</t>
  </si>
  <si>
    <t>Sandra A. Thomson</t>
  </si>
  <si>
    <t>Thomson, Sandra A.</t>
  </si>
  <si>
    <t>to-read (#1526), dictionaries-and-encyclopedias (#27)</t>
  </si>
  <si>
    <t>Woman Hollering Creek: And Other Stories (Vintage Contemporaries)</t>
  </si>
  <si>
    <t>Sandra Cisneros</t>
  </si>
  <si>
    <t>Cisneros, Sandra</t>
  </si>
  <si>
    <t>short-stories</t>
  </si>
  <si>
    <t>short-stories (#31)</t>
  </si>
  <si>
    <t>Torture: A Collection</t>
  </si>
  <si>
    <t>Sanford Levinson</t>
  </si>
  <si>
    <t>Levinson, Sanford</t>
  </si>
  <si>
    <t>to-read (#2396), bib-torture (#5)</t>
  </si>
  <si>
    <t>Los asquerosos</t>
  </si>
  <si>
    <t>Santiago Lorenzo</t>
  </si>
  <si>
    <t>Lorenzo, Santiago</t>
  </si>
  <si>
    <t>Guim Tió</t>
  </si>
  <si>
    <t>to-read (#568)</t>
  </si>
  <si>
    <t>A Dictionary Of Color Combinations</t>
  </si>
  <si>
    <t>Sanzo Wada</t>
  </si>
  <si>
    <t>Wada, Sanzo</t>
  </si>
  <si>
    <t>Seigensha</t>
  </si>
  <si>
    <t>to-read (#851), dictionaries-and-encyclopedias (#11)</t>
  </si>
  <si>
    <t>If Not, Winter: Fragments of Sappho</t>
  </si>
  <si>
    <t>Sappho</t>
  </si>
  <si>
    <t>Sappho, Sappho</t>
  </si>
  <si>
    <t>Virago</t>
  </si>
  <si>
    <t xml:space="preserve">greeks-romans-etc, poetry, to-read, </t>
  </si>
  <si>
    <t>to-read (#1275), greeks-romans-etc (#42), poetry (#65)</t>
  </si>
  <si>
    <t>Pantalones azules</t>
  </si>
  <si>
    <t>Sara Gallardo</t>
  </si>
  <si>
    <t>Gallardo, Sara</t>
  </si>
  <si>
    <t>Fiordo</t>
  </si>
  <si>
    <t>to-read (#579)</t>
  </si>
  <si>
    <t>Drinking, Smoking and Screwing: Great Writers on Good Times</t>
  </si>
  <si>
    <t>Sara Nickles</t>
  </si>
  <si>
    <t>Nickles, Sara</t>
  </si>
  <si>
    <t>Bob Shacochis</t>
  </si>
  <si>
    <t>to-read (#1720), nonfiction (#10), 0 (#345)</t>
  </si>
  <si>
    <t>Iconic Tarot Decks: The History, Symbolism and Design of over 50 Decks</t>
  </si>
  <si>
    <t>Sarah Bartlett</t>
  </si>
  <si>
    <t>Bartlett, Sarah</t>
  </si>
  <si>
    <t>to-read (#1531)</t>
  </si>
  <si>
    <t>Vita &amp; Virginia: A Double Life</t>
  </si>
  <si>
    <t>Sarah Gristwood</t>
  </si>
  <si>
    <t>Gristwood, Sarah</t>
  </si>
  <si>
    <t>National Trust Books</t>
  </si>
  <si>
    <t>to-read (#1041)</t>
  </si>
  <si>
    <t>Hotel Almighty</t>
  </si>
  <si>
    <t>Sarah J. Sloat</t>
  </si>
  <si>
    <t>Sloat, Sarah J.</t>
  </si>
  <si>
    <t>to-read (#610)</t>
  </si>
  <si>
    <t>The Norton Anthology of World Literature: 100 to 1500 (The Norton Anthology of World Literature, #B)</t>
  </si>
  <si>
    <t>Sarah N. Lawall</t>
  </si>
  <si>
    <t>Lawall, Sarah N.</t>
  </si>
  <si>
    <t>Maynard Mack, Jerome W. Clinton, Robert Lyons Danly, Kenneth Douglas, Howard E. Hugo, Francis Abiola Irele, Heather James, Bernard Knox, John C. McGalliard, Stephen Owen Ph.D., P.M. Pasinetti, Lee Patterson Ph.D., Indira Viswanathan Peterson Ph.D., Patricia Meyer Spacks, William G. Thalmann Ph.D., René Wellek</t>
  </si>
  <si>
    <t>to-read (#1908), 0 (#272)</t>
  </si>
  <si>
    <t>Naming and Necessity</t>
  </si>
  <si>
    <t>Saul A. Kripke</t>
  </si>
  <si>
    <t>Kripke, Saul A.</t>
  </si>
  <si>
    <t>to-read (#1674)</t>
  </si>
  <si>
    <t>Convenience Store Woman</t>
  </si>
  <si>
    <t>Sayaka Murata</t>
  </si>
  <si>
    <t>Murata, Sayaka</t>
  </si>
  <si>
    <t>Ginny Tapley Takemori</t>
  </si>
  <si>
    <t>Portobello Books</t>
  </si>
  <si>
    <t>to-read (#602)</t>
  </si>
  <si>
    <t>Cunningham's Encyclopedia of Magical Herbs (Llewellyn's Sourcebook Series)</t>
  </si>
  <si>
    <t>Scott Cunningham</t>
  </si>
  <si>
    <t>Cunningham, Scott</t>
  </si>
  <si>
    <t>to-read (#963), dictionaries-and-encyclopedias (#33)</t>
  </si>
  <si>
    <t>The Penguin Book of Hell (Penguin Classics)</t>
  </si>
  <si>
    <t>Scott G. Bruce</t>
  </si>
  <si>
    <t>Bruce, Scott G.</t>
  </si>
  <si>
    <t>to-read (#1446)</t>
  </si>
  <si>
    <t>Mysterious Skin</t>
  </si>
  <si>
    <t>Scott Heim</t>
  </si>
  <si>
    <t>Heim, Scott</t>
  </si>
  <si>
    <t>to-read (#43)</t>
  </si>
  <si>
    <t>The Good Life: Helen and Scott Nearing's Sixty Years of Self-Sufficient Living</t>
  </si>
  <si>
    <t>Scott Nearing</t>
  </si>
  <si>
    <t>Nearing, Scott</t>
  </si>
  <si>
    <t>Helen Nearing</t>
  </si>
  <si>
    <t>to-read (#778), nonfiction (#19), 0 (#291)</t>
  </si>
  <si>
    <t>OCP Oracle Certified Professional Java SE 11 Developer Practice Tests: Exam 1Z0-819 and Upgrade Exam 1Z0-817</t>
  </si>
  <si>
    <t>Scott Selikoff</t>
  </si>
  <si>
    <t>Selikoff, Scott</t>
  </si>
  <si>
    <t>Jeanne Boyarsky</t>
  </si>
  <si>
    <t>Sybex</t>
  </si>
  <si>
    <t>to-read (#1641), tech (#3), 0 (#550)</t>
  </si>
  <si>
    <t>My Age of Anxiety: Fear, Hope, Dread, and the Search for Peace of Mind</t>
  </si>
  <si>
    <t>Scott Stossel</t>
  </si>
  <si>
    <t>Stossel, Scott</t>
  </si>
  <si>
    <t>to-read (#1926)</t>
  </si>
  <si>
    <t>The Burial at Thebes: A Version of Sophocles' Antigone</t>
  </si>
  <si>
    <t>Seamus Heaney</t>
  </si>
  <si>
    <t>Heaney, Seamus</t>
  </si>
  <si>
    <t>Sophocles</t>
  </si>
  <si>
    <t>to-read (#1333)</t>
  </si>
  <si>
    <t>The Cure at Troy: A Version of Sophocles' Philoctetes</t>
  </si>
  <si>
    <t>to-read (#1332)</t>
  </si>
  <si>
    <t>Brave Genius: A Scientist, a Philosopher, and Their Daring Adventures from the French Resistance to the Nobel Prize</t>
  </si>
  <si>
    <t>Sean B. Carroll</t>
  </si>
  <si>
    <t>Carroll, Sean B.</t>
  </si>
  <si>
    <t>to-read (#915)</t>
  </si>
  <si>
    <t>Body Counts: A Memoir of Politics, Sex, AIDS, and Survival</t>
  </si>
  <si>
    <t>Sean Strub</t>
  </si>
  <si>
    <t>Strub, Sean</t>
  </si>
  <si>
    <t>to-read (#102), queer-gender-etc (#12)</t>
  </si>
  <si>
    <t>Chicas muertas</t>
  </si>
  <si>
    <t>Selva Almada</t>
  </si>
  <si>
    <t>Almada, Selva</t>
  </si>
  <si>
    <t>to-read (#2193), books-from-twitter (#39)</t>
  </si>
  <si>
    <t>Estilo libre: Antología de cuentos argentinos</t>
  </si>
  <si>
    <t>Félix Bruzzone, Gabriela Cabezón Cámara, Inés Garland, Vera Giaconi, Julián  López, Sergio S. Olguín, Patricio Pron, Raquel Robles, Samanta Schweblin</t>
  </si>
  <si>
    <t>Santillana</t>
  </si>
  <si>
    <t>to-read (#463), short-stories (#34)</t>
  </si>
  <si>
    <t>Letters from a Stoic</t>
  </si>
  <si>
    <t>Seneca</t>
  </si>
  <si>
    <t>Seneca, Seneca</t>
  </si>
  <si>
    <t>to-read (#84), greeks-romans-etc (#83)</t>
  </si>
  <si>
    <t>Los vecinos mueren en las novelas</t>
  </si>
  <si>
    <t>Sergio Aguirre</t>
  </si>
  <si>
    <t>Aguirre, Sergio</t>
  </si>
  <si>
    <t>Grupo Editorial Norma</t>
  </si>
  <si>
    <t>to-read (#1052)</t>
  </si>
  <si>
    <t>La piel</t>
  </si>
  <si>
    <t>Sergio del Molino</t>
  </si>
  <si>
    <t>Molino, Sergio del</t>
  </si>
  <si>
    <t>to-read (#567)</t>
  </si>
  <si>
    <t>Everybody Lies: Big Data, New Data, and What the Internet Can Tell Us About Who We Really Are</t>
  </si>
  <si>
    <t>Seth Stephens-Davidowitz</t>
  </si>
  <si>
    <t>Stephens-Davidowitz, Seth</t>
  </si>
  <si>
    <t>to-read (#1359), nonfiction (#79), 0 (#490)</t>
  </si>
  <si>
    <t>The Enemy Within: The Secret War Against the Miners</t>
  </si>
  <si>
    <t>Seumas Milne</t>
  </si>
  <si>
    <t>Milne, Seumas</t>
  </si>
  <si>
    <t>to-read (#2319), biblio-shock-doctrine (#54)</t>
  </si>
  <si>
    <t>Chain of Command: The Road from 9/11 to Abu Ghraib</t>
  </si>
  <si>
    <t>Seymour M. Hersh</t>
  </si>
  <si>
    <t>Hersh, Seymour M.</t>
  </si>
  <si>
    <t>to-read (#2421), bib-torture (#29)</t>
  </si>
  <si>
    <t>The Seven Moons of Maali Almeida</t>
  </si>
  <si>
    <t>Shehan Karunatilaka</t>
  </si>
  <si>
    <t>Karunatilaka, Shehan</t>
  </si>
  <si>
    <t>Sort of Books</t>
  </si>
  <si>
    <t>to-read (#1327), awards-man-booker-prize-winners (#57)</t>
  </si>
  <si>
    <t>The Middle Stories</t>
  </si>
  <si>
    <t>Sheila Heti</t>
  </si>
  <si>
    <t>Heti, Sheila</t>
  </si>
  <si>
    <t>to-read (#336)</t>
  </si>
  <si>
    <t>Where the Sidewalk Ends: The Poems and Drawings of Shel Silverstein</t>
  </si>
  <si>
    <t>Shel Silverstein</t>
  </si>
  <si>
    <t>Silverstein, Shel</t>
  </si>
  <si>
    <t>to-read (#1736), poetry (#38), 0 (#349)</t>
  </si>
  <si>
    <t>How We Die: Reflections of Life's Final Chapter</t>
  </si>
  <si>
    <t>Sherwin B. Nuland</t>
  </si>
  <si>
    <t>Nuland, Sherwin B.</t>
  </si>
  <si>
    <t>to-read (#1938), biblio-noonday-demon (#1)</t>
  </si>
  <si>
    <t>Scars of War, Wounds of Peace: The Israeli-Arab Tragedy</t>
  </si>
  <si>
    <t>Shlomo Ben-Ami</t>
  </si>
  <si>
    <t>Ben-Ami, Shlomo</t>
  </si>
  <si>
    <t>Oxford University Press, U.S.A.</t>
  </si>
  <si>
    <t>to-read (#2352), biblio-shock-doctrine (#75)</t>
  </si>
  <si>
    <t>The Emperor of All Maladies: A Biography of Cancer</t>
  </si>
  <si>
    <t>Siddhartha Mukherjee</t>
  </si>
  <si>
    <t>Mukherjee, Siddhartha</t>
  </si>
  <si>
    <t>to-read (#301)</t>
  </si>
  <si>
    <t>The Forging of the American Empire</t>
  </si>
  <si>
    <t>Sidney Lens</t>
  </si>
  <si>
    <t>Lens, Sidney</t>
  </si>
  <si>
    <t>Howard Zinn</t>
  </si>
  <si>
    <t>to-read (#652)</t>
  </si>
  <si>
    <t>The Transparent Self; Self-disclosure and Well-being</t>
  </si>
  <si>
    <t>Sidney M. Jourard</t>
  </si>
  <si>
    <t>Jourard, Sidney M.</t>
  </si>
  <si>
    <t>D. Van Norstand Company, Inc</t>
  </si>
  <si>
    <t>to-read (#895), philosophy (#49)</t>
  </si>
  <si>
    <t>The Uncanny</t>
  </si>
  <si>
    <t>Sigmund Freud</t>
  </si>
  <si>
    <t>Freud, Sigmund</t>
  </si>
  <si>
    <t>Adam Phillips, David McLintock, Hugh Haughton</t>
  </si>
  <si>
    <t>to-read (#430)</t>
  </si>
  <si>
    <t>A General History of Labyrinths</t>
  </si>
  <si>
    <t>Silas Haslam</t>
  </si>
  <si>
    <t>Haslam, Silas</t>
  </si>
  <si>
    <t xml:space="preserve">labyrinths, nonfiction, to-read, </t>
  </si>
  <si>
    <t>to-read (#490), labyrinths (#5), nonfiction (#202)</t>
  </si>
  <si>
    <t>Autobiografía de Irene</t>
  </si>
  <si>
    <t>Silvina Ocampo</t>
  </si>
  <si>
    <t>Ocampo, Silvina</t>
  </si>
  <si>
    <t>to-read (#473), short-stories (#35)</t>
  </si>
  <si>
    <t>Thus Were Their Faces</t>
  </si>
  <si>
    <t>Daniel Balderston, Jorge Luis Borges, Helen Oyeyemi</t>
  </si>
  <si>
    <t>to-read (#1174)</t>
  </si>
  <si>
    <t>Bernardo and the Virgin: A Novel (Latino Voices)</t>
  </si>
  <si>
    <t>Silvio Sirias</t>
  </si>
  <si>
    <t>Sirias, Silvio</t>
  </si>
  <si>
    <t>to-read (#47), novels (#101)</t>
  </si>
  <si>
    <t>Being Good: A Short Introduction to Ethics</t>
  </si>
  <si>
    <t>Simon Blackburn</t>
  </si>
  <si>
    <t>Blackburn, Simon</t>
  </si>
  <si>
    <t>to-read (#1813)</t>
  </si>
  <si>
    <t>Think: A Compelling Introduction to Philosophy</t>
  </si>
  <si>
    <t>to-read (#699)</t>
  </si>
  <si>
    <t>The Oxford Classical Dictionary</t>
  </si>
  <si>
    <t>Simon Hornblower</t>
  </si>
  <si>
    <t>Hornblower, Simon</t>
  </si>
  <si>
    <t>Antony Spawforth</t>
  </si>
  <si>
    <t>to-read (#1477), dictionaries-and-encyclopedias (#24)</t>
  </si>
  <si>
    <t>Memoirs of a Dutiful Daughter</t>
  </si>
  <si>
    <t>Simone de Beauvoir</t>
  </si>
  <si>
    <t>Beauvoir, Simone de</t>
  </si>
  <si>
    <t>James Kirkup</t>
  </si>
  <si>
    <t>to-read (#743), nonfiction (#118), biographies-etc (#42)</t>
  </si>
  <si>
    <t>The Second Sex</t>
  </si>
  <si>
    <t>Constance Borde, Sheila Malovany-Chevallier</t>
  </si>
  <si>
    <t>to-read (#1357), nonfiction (#45), queer-gender-etc (#9), 0 (#309)</t>
  </si>
  <si>
    <t>The Simone Weil Reader</t>
  </si>
  <si>
    <t>Weil, Simone</t>
  </si>
  <si>
    <t>George A. Panichas</t>
  </si>
  <si>
    <t>Moyer Bell Ltd.</t>
  </si>
  <si>
    <t xml:space="preserve">essays, nonfiction, philosophy, to-read, </t>
  </si>
  <si>
    <t>to-read (#292), essays (#10), philosophy (#33), nonfiction (#158)</t>
  </si>
  <si>
    <t>A Woman Looking at Men Looking at Women: Essays on Art, Sex, and the Mind</t>
  </si>
  <si>
    <t>Siri Hustvedt</t>
  </si>
  <si>
    <t>Hustvedt, Siri</t>
  </si>
  <si>
    <t>to-read (#191)</t>
  </si>
  <si>
    <t>The Blindfold's Eyes: My Journey from Torture to Truth (Guatemala)</t>
  </si>
  <si>
    <t>Sister Dianna Ortiz</t>
  </si>
  <si>
    <t>Ortiz, Sister Dianna</t>
  </si>
  <si>
    <t>Orbis Books</t>
  </si>
  <si>
    <t>to-read (#2292), biblio-shock-doctrine (#26)</t>
  </si>
  <si>
    <t>The Googlization of Everything: (And Why We Should Worry)</t>
  </si>
  <si>
    <t>Siva Vaidhyanathan</t>
  </si>
  <si>
    <t>Vaidhyanathan, Siva</t>
  </si>
  <si>
    <t>to-read (#2176)</t>
  </si>
  <si>
    <t>Violence: Six Sideways Reflections</t>
  </si>
  <si>
    <t>Žižek, Slavoj</t>
  </si>
  <si>
    <t>to-read (#36), philosophy (#5), 0 (#367)</t>
  </si>
  <si>
    <t>The Courage of Hopelessness: Chronicles of a Year of Acting Dangerously</t>
  </si>
  <si>
    <t>to-read (#469)</t>
  </si>
  <si>
    <t>Worn: A People's History of Clothing</t>
  </si>
  <si>
    <t>Sofi Thanhauser</t>
  </si>
  <si>
    <t>Thanhauser, Sofi</t>
  </si>
  <si>
    <t>to-read (#1742), nonfiction (#270)</t>
  </si>
  <si>
    <t>The Address Book</t>
  </si>
  <si>
    <t>Sophie Calle</t>
  </si>
  <si>
    <t>Calle, Sophie</t>
  </si>
  <si>
    <t>Siglio</t>
  </si>
  <si>
    <t>to-read (#2378), books-from-twitter (#77)</t>
  </si>
  <si>
    <t>Ajax (Translations from Greek Drama)</t>
  </si>
  <si>
    <t>Sophocles, Sophocles</t>
  </si>
  <si>
    <t>Shomit Dutta</t>
  </si>
  <si>
    <t>to-read (#446), greeks-romans-etc (#14), plays (#11), mythology (#10)</t>
  </si>
  <si>
    <t>Anne Carson, Michael Shaw</t>
  </si>
  <si>
    <t>to-read (#1221), greeks-romans-etc (#31), plays (#15)</t>
  </si>
  <si>
    <t>Sophocles II: Ajax, Women of Trachis, Electra, Philoctetes (Complete Greek Tragedies, #4)</t>
  </si>
  <si>
    <t>David Grene, Michael Jameson, John Moore, Richmond Lattimore</t>
  </si>
  <si>
    <t>to-read (#1394), greeks-romans-etc (#11), 0 (#494)</t>
  </si>
  <si>
    <t>Women of Trachis</t>
  </si>
  <si>
    <t>C.K. Williams, Gregory W. Dickerson, סופוקלס, אהרון שבתאי</t>
  </si>
  <si>
    <t>to-read (#1496)</t>
  </si>
  <si>
    <t>Fear and Trembling</t>
  </si>
  <si>
    <t>Søren Kierkegaard</t>
  </si>
  <si>
    <t>Kierkegaard, Søren</t>
  </si>
  <si>
    <t>Alastair Hannay</t>
  </si>
  <si>
    <t>to-read (#81)</t>
  </si>
  <si>
    <t>Reading in the Brain: The Science and Evolution of a Human Invention</t>
  </si>
  <si>
    <t>Stanislas Dehaene</t>
  </si>
  <si>
    <t>Dehaene, Stanislas</t>
  </si>
  <si>
    <t>to-read (#2027)</t>
  </si>
  <si>
    <t>The Secret Art of Alchemy</t>
  </si>
  <si>
    <t>Stanislas Klossowski de Rola</t>
  </si>
  <si>
    <t>Rola, Stanislas Klossowski de</t>
  </si>
  <si>
    <t>to-read (#968)</t>
  </si>
  <si>
    <t>The Golden Game: Alchemical Engravings of the Seventeenth Century</t>
  </si>
  <si>
    <t>to-read (#965)</t>
  </si>
  <si>
    <t>Solaris</t>
  </si>
  <si>
    <t>Stanisław Lem</t>
  </si>
  <si>
    <t>Lem, Stanisław</t>
  </si>
  <si>
    <t>Steve Cox, Joanna Kilmartin</t>
  </si>
  <si>
    <t>to-read (#1781)</t>
  </si>
  <si>
    <t>Melancholia and Depression: From Hippocratic Times to Modern Times</t>
  </si>
  <si>
    <t>Stanley Jackson</t>
  </si>
  <si>
    <t>Jackson, Stanley</t>
  </si>
  <si>
    <t>to-read (#1955)</t>
  </si>
  <si>
    <t>The Black Book of Communism: Crimes, Terror, Repression</t>
  </si>
  <si>
    <t>Stéphane Courtois</t>
  </si>
  <si>
    <t>Courtois, Stéphane</t>
  </si>
  <si>
    <t>Andrzej Paczkowski, Karel Bartosek</t>
  </si>
  <si>
    <t>to-read (#2286), biblio-shock-doctrine (#19)</t>
  </si>
  <si>
    <t>Marriage, a History: From Obedience to Intimacy or How Love Conquered Marriage</t>
  </si>
  <si>
    <t>Stephanie Coontz</t>
  </si>
  <si>
    <t>Coontz, Stephanie</t>
  </si>
  <si>
    <t>Viking Books</t>
  </si>
  <si>
    <t>to-read (#278), history (#42), nonfiction (#94)</t>
  </si>
  <si>
    <t>Bitter Fruit: The Story of the American Coup in Guatemala</t>
  </si>
  <si>
    <t>Stephen C. Schlesinger</t>
  </si>
  <si>
    <t>Schlesinger, Stephen C.</t>
  </si>
  <si>
    <t>Stephen Kinzer</t>
  </si>
  <si>
    <t>David Rockefeller Center for Latin American Studies</t>
  </si>
  <si>
    <t>to-read (#2298), biblio-shock-doctrine (#32)</t>
  </si>
  <si>
    <t>The Perks of Being a Wallflower</t>
  </si>
  <si>
    <t>Stephen Chbosky</t>
  </si>
  <si>
    <t>Chbosky, Stephen</t>
  </si>
  <si>
    <t>MTV Books/Pocket Books</t>
  </si>
  <si>
    <t>to-read (#982), novels (#52)</t>
  </si>
  <si>
    <t>Between the Rocks and the Stars: Narratives in Natural History</t>
  </si>
  <si>
    <t>Stephen Daubert</t>
  </si>
  <si>
    <t>Daubert, Stephen</t>
  </si>
  <si>
    <t>Vanderbilt University Press</t>
  </si>
  <si>
    <t>to-read (#426)</t>
  </si>
  <si>
    <t>Undaunted Courage: The Pioneering First Mission to Explore America's Wild Frontier</t>
  </si>
  <si>
    <t>Stephen E. Ambrose</t>
  </si>
  <si>
    <t>Ambrose, Stephen E.</t>
  </si>
  <si>
    <t>to-read (#2107), biblio-noonday-demon (#26)</t>
  </si>
  <si>
    <t>Failed Crusade: America and the Tragedy of Post-Communist Russia</t>
  </si>
  <si>
    <t>Stephen F. Cohen</t>
  </si>
  <si>
    <t>Cohen, Stephen F.</t>
  </si>
  <si>
    <t>to-read (#2340), biblio-shock-doctrine (#64)</t>
  </si>
  <si>
    <t>The Swerve: How the World Became Modern</t>
  </si>
  <si>
    <t>Stephen Greenblatt</t>
  </si>
  <si>
    <t>Greenblatt, Stephen</t>
  </si>
  <si>
    <t>to-read (#26)</t>
  </si>
  <si>
    <t>Ghost Plane: The True Story of the CIA Torture Program</t>
  </si>
  <si>
    <t>Stephen Grey</t>
  </si>
  <si>
    <t>Grey, Stephen</t>
  </si>
  <si>
    <t>to-read (#2365), biblio-shock-doctrine (#88)</t>
  </si>
  <si>
    <t>A Brief History of Time: From the Big Bang to Black Holes</t>
  </si>
  <si>
    <t>Stephen Hawking</t>
  </si>
  <si>
    <t>Hawking, Stephen</t>
  </si>
  <si>
    <t>Bantam Press</t>
  </si>
  <si>
    <t>to-read (#1550), essays (#22), nonfiction (#151)</t>
  </si>
  <si>
    <t>The Mismeasure of Man</t>
  </si>
  <si>
    <t>Stephen Jay Gould</t>
  </si>
  <si>
    <t>Gould, Stephen Jay</t>
  </si>
  <si>
    <t>to-read (#1461)</t>
  </si>
  <si>
    <t>Overthrow: America's Century of Regime Change from Hawaii to Iraq</t>
  </si>
  <si>
    <t>Kinzer, Stephen</t>
  </si>
  <si>
    <t>to-read (#2297), biblio-shock-doctrine (#31)</t>
  </si>
  <si>
    <t>All the Shah's Men: An American Coup and the Roots of Middle East Terror</t>
  </si>
  <si>
    <t>John Wiley &amp; Sons (Hoboken, NJ)</t>
  </si>
  <si>
    <t>to-read (#2296), biblio-shock-doctrine (#30)</t>
  </si>
  <si>
    <t>Classical Mythology: Images and Insights</t>
  </si>
  <si>
    <t>Stephen L.   Harris</t>
  </si>
  <si>
    <t>Harris, Stephen L.</t>
  </si>
  <si>
    <t>Gloria Platzner</t>
  </si>
  <si>
    <t>to-read (#1511), greeks-romans-etc (#68)</t>
  </si>
  <si>
    <t>Descriptions (Bradford Book)</t>
  </si>
  <si>
    <t>Stephen Neale</t>
  </si>
  <si>
    <t>Neale, Stephen</t>
  </si>
  <si>
    <t>to-read (#1820)</t>
  </si>
  <si>
    <t>Homosexualities (Worlds of Desire: The Chicago Series on Sexuality, Gender, and Culture)</t>
  </si>
  <si>
    <t>Stephen O. Murray</t>
  </si>
  <si>
    <t>Murray, Stephen O.</t>
  </si>
  <si>
    <t>to-read (#2002)</t>
  </si>
  <si>
    <t>Grave Desire: A Cultural History of Necrophilia</t>
  </si>
  <si>
    <t>Steve Finbow</t>
  </si>
  <si>
    <t>Finbow, Steve</t>
  </si>
  <si>
    <t>to-read (#253), history (#53), nonfiction (#93)</t>
  </si>
  <si>
    <t>The Raw Shark Texts</t>
  </si>
  <si>
    <t>Steven  Hall</t>
  </si>
  <si>
    <t>Hall, Steven</t>
  </si>
  <si>
    <t>to-read (#97)</t>
  </si>
  <si>
    <t>The Sun, the Moon, &amp; the Stars</t>
  </si>
  <si>
    <t>Steven Brust</t>
  </si>
  <si>
    <t>Brust, Steven</t>
  </si>
  <si>
    <t>to-read (#122), novels (#112)</t>
  </si>
  <si>
    <t>Paraphernalia: The Curious Lives of Magical Things</t>
  </si>
  <si>
    <t>Steven Connor</t>
  </si>
  <si>
    <t>Connor, Steven</t>
  </si>
  <si>
    <t>IPS - Profile Books</t>
  </si>
  <si>
    <t>to-read (#93)</t>
  </si>
  <si>
    <t>Sound and Sentiment: Birds, Weeping, Poetics, and Song in Kaluli Expression (Conduct and Communication)</t>
  </si>
  <si>
    <t>Steven Feld</t>
  </si>
  <si>
    <t>Feld, Steven</t>
  </si>
  <si>
    <t>to-read (#2161), biblio-noonday-demon (#67)</t>
  </si>
  <si>
    <t>100 European Horror Films (Screen Guides)</t>
  </si>
  <si>
    <t>Steven Jay Schneider</t>
  </si>
  <si>
    <t>Schneider, Steven Jay</t>
  </si>
  <si>
    <t>British Film Institute</t>
  </si>
  <si>
    <t>to-read (#437)</t>
  </si>
  <si>
    <t>Van Gogh: The Life</t>
  </si>
  <si>
    <t>Steven Naifeh</t>
  </si>
  <si>
    <t>Naifeh, Steven</t>
  </si>
  <si>
    <t>Gregory White Smith</t>
  </si>
  <si>
    <t>nonfiction (#25), 0 (#460)</t>
  </si>
  <si>
    <t>The Sense of Style: The Thinking Person's Guide to Writing in the 21st Century</t>
  </si>
  <si>
    <t>Steven Pinker</t>
  </si>
  <si>
    <t>Pinker, Steven</t>
  </si>
  <si>
    <t>to-read (#345)</t>
  </si>
  <si>
    <t>Grand Hotel Abyss: The Lives of the Frankfurt School</t>
  </si>
  <si>
    <t>Stuart Jeffries</t>
  </si>
  <si>
    <t>Jeffries, Stuart</t>
  </si>
  <si>
    <t>to-read (#225)</t>
  </si>
  <si>
    <t>Pamela Colman Smith: The Untold Story</t>
  </si>
  <si>
    <t>Stuart R. Kaplan</t>
  </si>
  <si>
    <t>Kaplan, Stuart R.</t>
  </si>
  <si>
    <t>Mary K. Greer, Elizabeth Foley O’Connor, Melinda Boyd Parsons</t>
  </si>
  <si>
    <t>U.S. Games Systems Inc.</t>
  </si>
  <si>
    <t>to-read (#1188), biographies-etc (#17)</t>
  </si>
  <si>
    <t>The Encyclopedia of Tarot, 4 Volume Set (Volumes I, II, III and IV)</t>
  </si>
  <si>
    <t>Jean Huets</t>
  </si>
  <si>
    <t>United States Games Systems</t>
  </si>
  <si>
    <t>to-read (#1065)</t>
  </si>
  <si>
    <t>The Debt Squads: The US, the Banks and Latin America</t>
  </si>
  <si>
    <t>Sue Branford</t>
  </si>
  <si>
    <t>Branford, Sue</t>
  </si>
  <si>
    <t>Bernando Kucinski</t>
  </si>
  <si>
    <t>to-read (#2300), biblio-shock-doctrine (#34)</t>
  </si>
  <si>
    <t>A Mother's Reckoning: Living in the Aftermath of Tragedy</t>
  </si>
  <si>
    <t>Sue Klebold</t>
  </si>
  <si>
    <t>Klebold, Sue</t>
  </si>
  <si>
    <t>to-read (#1928)</t>
  </si>
  <si>
    <t>I Am Dynamite!: A Life of Nietzsche</t>
  </si>
  <si>
    <t>Sue Prideaux</t>
  </si>
  <si>
    <t>Prideaux, Sue</t>
  </si>
  <si>
    <t>to-read (#1646), 0 (#122)</t>
  </si>
  <si>
    <t>Edvard Munch: Behind the Scream</t>
  </si>
  <si>
    <t>to-read (#797)</t>
  </si>
  <si>
    <t>Lives of the Caesars</t>
  </si>
  <si>
    <t>Suetonius</t>
  </si>
  <si>
    <t>Suetonius, Suetonius</t>
  </si>
  <si>
    <t>Catharine Edwards</t>
  </si>
  <si>
    <t>to-read (#1375), greeks-romans-etc (#2), 0 (#312)</t>
  </si>
  <si>
    <t>Howards End Is on the Landing: A Year of Reading from Home</t>
  </si>
  <si>
    <t>Susan         Hill</t>
  </si>
  <si>
    <t>Hill, Susan</t>
  </si>
  <si>
    <t>Profile Books</t>
  </si>
  <si>
    <t>to-read (#1943)</t>
  </si>
  <si>
    <t>The Incarnations</t>
  </si>
  <si>
    <t>Susan  Barker</t>
  </si>
  <si>
    <t>Barker, Susan</t>
  </si>
  <si>
    <t>to-read (#136)</t>
  </si>
  <si>
    <t>Consciousness: A Very Short Introduction</t>
  </si>
  <si>
    <t>Susan Blackmore</t>
  </si>
  <si>
    <t>Blackmore, Susan</t>
  </si>
  <si>
    <t>to-read (#1954)</t>
  </si>
  <si>
    <t>Consciousness - An Introduction</t>
  </si>
  <si>
    <t>Hodder Arnold</t>
  </si>
  <si>
    <t>to-read (#1948)</t>
  </si>
  <si>
    <t>Emotional Blackmail: When the People in Your Life Use Fear, Obligation, and Guilt to Manipulate You</t>
  </si>
  <si>
    <t>Susan Forward</t>
  </si>
  <si>
    <t>Forward, Susan</t>
  </si>
  <si>
    <t>Donna Frazier</t>
  </si>
  <si>
    <t>Harper Paperbacks</t>
  </si>
  <si>
    <t>to-read (#2045)</t>
  </si>
  <si>
    <t>Evil in Modern Thought: An Alternative History of Philosophy</t>
  </si>
  <si>
    <t>Susan Neiman</t>
  </si>
  <si>
    <t>Neiman, Susan</t>
  </si>
  <si>
    <t>to-read (#2080)</t>
  </si>
  <si>
    <t>The Library Book</t>
  </si>
  <si>
    <t>Susan Orlean</t>
  </si>
  <si>
    <t>Orlean, Susan</t>
  </si>
  <si>
    <t>to-read (#1740)</t>
  </si>
  <si>
    <t>Illness as Metaphor and AIDS and Its Metaphors</t>
  </si>
  <si>
    <t>Susan Sontag</t>
  </si>
  <si>
    <t>Sontag, Susan</t>
  </si>
  <si>
    <t>to-read (#1942), biblio-shock-doctrine (#14)</t>
  </si>
  <si>
    <t>Regarding the Pain of Others</t>
  </si>
  <si>
    <t>Penguin Books, Limited (UK)</t>
  </si>
  <si>
    <t xml:space="preserve">essays, nonfiction, pain, photography, to-read, war, </t>
  </si>
  <si>
    <t>to-read (#204), essays (#21), photography (#8), pain (#1), war (#1), nonfiction (#88)</t>
  </si>
  <si>
    <t>As Consciousness is Harnessed to Flesh: Journals and Notebooks, 1964-1980</t>
  </si>
  <si>
    <t>David Rieff</t>
  </si>
  <si>
    <t>to-read (#303), nonfiction (#24), 0 (#478)</t>
  </si>
  <si>
    <t>Against Interpretation and Other Essays</t>
  </si>
  <si>
    <t xml:space="preserve">authors-hungarian-authors, authors-jewish-authors, authors-usa-authors, to-read, </t>
  </si>
  <si>
    <t>to-read (#2033)</t>
  </si>
  <si>
    <t>In America</t>
  </si>
  <si>
    <t>St. Martins Press-3PL</t>
  </si>
  <si>
    <t>to-read (#1834)</t>
  </si>
  <si>
    <t>The Volcano Lover</t>
  </si>
  <si>
    <t>to-read (#1833)</t>
  </si>
  <si>
    <t>Lament for Julia</t>
  </si>
  <si>
    <t>Susan Taubes</t>
  </si>
  <si>
    <t>Taubes, Susan</t>
  </si>
  <si>
    <t>Francesca Wade</t>
  </si>
  <si>
    <t>to-read (#1227), novels (#26), 0 (#544)</t>
  </si>
  <si>
    <t>to-read (#1364)</t>
  </si>
  <si>
    <t>Divorcing</t>
  </si>
  <si>
    <t>to-read (#1228)</t>
  </si>
  <si>
    <t>The Passion of Artemisia</t>
  </si>
  <si>
    <t>Susan Vreeland</t>
  </si>
  <si>
    <t>Vreeland, Susan</t>
  </si>
  <si>
    <t>to-read (#947), novels (#150)</t>
  </si>
  <si>
    <t>Piranesi</t>
  </si>
  <si>
    <t>Susanna Clarke</t>
  </si>
  <si>
    <t>Clarke, Susanna</t>
  </si>
  <si>
    <t>to-read (#1653)</t>
  </si>
  <si>
    <t>Girl, Interrupted</t>
  </si>
  <si>
    <t>Susanna Kaysen</t>
  </si>
  <si>
    <t>Kaysen, Susanna</t>
  </si>
  <si>
    <t>to-read (#4), novels (#88)</t>
  </si>
  <si>
    <t>Brain on Fire: My Month of Madness</t>
  </si>
  <si>
    <t>Susannah Cahalan</t>
  </si>
  <si>
    <t>Cahalan, Susannah</t>
  </si>
  <si>
    <t>to-read (#2)</t>
  </si>
  <si>
    <t>Medieval Underpants and Other Blunders: A Writer's (and Editor's) Guide to Keeping Historical Fiction Free of Common Anachronisms, Errors, and Myths</t>
  </si>
  <si>
    <t>Susanne Alleyn</t>
  </si>
  <si>
    <t>Alleyn, Susanne</t>
  </si>
  <si>
    <t>Spyderwort Press</t>
  </si>
  <si>
    <t>to-read (#1766)</t>
  </si>
  <si>
    <t>The Irrationalist</t>
  </si>
  <si>
    <t>Suzanne Buffam</t>
  </si>
  <si>
    <t>Buffam, Suzanne</t>
  </si>
  <si>
    <t>Canarium Books</t>
  </si>
  <si>
    <t>to-read (#1105)</t>
  </si>
  <si>
    <t>Promising Young Women</t>
  </si>
  <si>
    <t>Suzanne Scanlon</t>
  </si>
  <si>
    <t>Scanlon, Suzanne</t>
  </si>
  <si>
    <t>Dorothy, a publishing project</t>
  </si>
  <si>
    <t>to-read (#140)</t>
  </si>
  <si>
    <t>(ORIGAMI-BOOK adult) graphic origami origami specter of cochae (2008) ISBN: 4062617625 [Japanese Import]</t>
  </si>
  <si>
    <t>suzushiroiori</t>
  </si>
  <si>
    <t>suzushiroiori, suzushiroiori</t>
  </si>
  <si>
    <t>Kodansha</t>
  </si>
  <si>
    <t>Tankobon Softcover</t>
  </si>
  <si>
    <t>to-read (#1671), 0 (#232)</t>
  </si>
  <si>
    <t>The Journals of Sylvia Plath</t>
  </si>
  <si>
    <t>Sylvia Plath</t>
  </si>
  <si>
    <t>Plath, Sylvia</t>
  </si>
  <si>
    <t>Ted Hughes</t>
  </si>
  <si>
    <t>to-read (#1358), nonfiction (#150)</t>
  </si>
  <si>
    <t>nonfiction (#23), 0 (#528)</t>
  </si>
  <si>
    <t>The Bell Jar</t>
  </si>
  <si>
    <t>Frances McCullough, Lois Ames</t>
  </si>
  <si>
    <t>novels (#74), 0 (#360), biblio-noonday-demon (#15)</t>
  </si>
  <si>
    <t>Blood Money: Wasted Billions, Lost Lives, and Corporate Greed in Iraq</t>
  </si>
  <si>
    <t>T. Christian Miller</t>
  </si>
  <si>
    <t>Miller, T. Christian</t>
  </si>
  <si>
    <t>to-read (#2355), biblio-shock-doctrine (#78)</t>
  </si>
  <si>
    <t>The Once and Future King (The Once and Future King, #1-4)</t>
  </si>
  <si>
    <t>T.H. White</t>
  </si>
  <si>
    <t>White, T.H.</t>
  </si>
  <si>
    <t>to-read (#2075)</t>
  </si>
  <si>
    <t>Of Two Minds: An Anthropologist Looks at American Psychiatry</t>
  </si>
  <si>
    <t>T.M. Luhrmann</t>
  </si>
  <si>
    <t>Luhrmann, T.M.</t>
  </si>
  <si>
    <t>to-read (#2073), biblio-noonday-demon (#18)</t>
  </si>
  <si>
    <t>The Apple and the Spectroscope: Being Lectures on Poetry Designed (in the Main) for Science Students</t>
  </si>
  <si>
    <t>T.R. Henn</t>
  </si>
  <si>
    <t>Henn, T.R.</t>
  </si>
  <si>
    <t>Methuen</t>
  </si>
  <si>
    <t>to-read (#1754)</t>
  </si>
  <si>
    <t>The Healing of America: A Global Quest for Better, Cheaper, and Fairer Health Care</t>
  </si>
  <si>
    <t>T.R. Reid</t>
  </si>
  <si>
    <t>Reid, T.R.</t>
  </si>
  <si>
    <t>to-read (#1363), nonfiction (#16), 0 (#492)</t>
  </si>
  <si>
    <t>Collected Poems 1909-1962</t>
  </si>
  <si>
    <t>T.S. Eliot</t>
  </si>
  <si>
    <t>Eliot, T.S.</t>
  </si>
  <si>
    <t>to-read (#1404), poetry (#40), 0 (#322)</t>
  </si>
  <si>
    <t>Between the World and Me</t>
  </si>
  <si>
    <t>Ta-Nehisi Coates</t>
  </si>
  <si>
    <t>Coates, Ta-Nehisi</t>
  </si>
  <si>
    <t>Spiegel &amp; Grau</t>
  </si>
  <si>
    <t>to-read (#1545)</t>
  </si>
  <si>
    <t>The Annals/The Histories</t>
  </si>
  <si>
    <t>Tacitus</t>
  </si>
  <si>
    <t>Tacitus, Tacitus</t>
  </si>
  <si>
    <t>Moses Hadas, Shelby Foote, Alfred J. Church, William Jackson Brodribb</t>
  </si>
  <si>
    <t>to-read (#1254), history (#36), greeks-romans-etc (#77)</t>
  </si>
  <si>
    <t>The Garden of Evening Mists</t>
  </si>
  <si>
    <t>Tan Twan Eng</t>
  </si>
  <si>
    <t>Eng, Tan Twan</t>
  </si>
  <si>
    <t>Myrmidon</t>
  </si>
  <si>
    <t>to-read (#75)</t>
  </si>
  <si>
    <t>Taipei</t>
  </si>
  <si>
    <t>Tao Lin</t>
  </si>
  <si>
    <t>Lin, Tao</t>
  </si>
  <si>
    <t>to-read (#60)</t>
  </si>
  <si>
    <t>The Slynx</t>
  </si>
  <si>
    <t>Tatyana Tolstaya</t>
  </si>
  <si>
    <t>Tolstaya, Tatyana</t>
  </si>
  <si>
    <t>Jamey Gambrell</t>
  </si>
  <si>
    <t>NYRB</t>
  </si>
  <si>
    <t>to-read (#879)</t>
  </si>
  <si>
    <t>The Oxford Companion to Philosophy</t>
  </si>
  <si>
    <t>Ted Honderich</t>
  </si>
  <si>
    <t>Honderich, Ted</t>
  </si>
  <si>
    <t>to-read (#1562), philosophy (#55)</t>
  </si>
  <si>
    <t>Tales from Ovid: 24 Passages from the Metamorphoses</t>
  </si>
  <si>
    <t>Hughes, Ted</t>
  </si>
  <si>
    <t>to-read (#1258), mythology (#36)</t>
  </si>
  <si>
    <t>Selected Translations: Poems</t>
  </si>
  <si>
    <t>Daniel Weissbort</t>
  </si>
  <si>
    <t>to-read (#1276), poetry (#66)</t>
  </si>
  <si>
    <t>Other Worlds: Peasants, Pilgrims, Spirits, Saints (New York Review Books Classics)</t>
  </si>
  <si>
    <t>Teffi</t>
  </si>
  <si>
    <t>Teffi, Teffi</t>
  </si>
  <si>
    <t>Robert Chandler, Elizabeth Chandler</t>
  </si>
  <si>
    <t>to-read (#1977)</t>
  </si>
  <si>
    <t>Known and Strange Things: Essays</t>
  </si>
  <si>
    <t>Teju Cole</t>
  </si>
  <si>
    <t>Cole, Teju</t>
  </si>
  <si>
    <t>to-read (#320)</t>
  </si>
  <si>
    <t>A Streetcar Named Desire</t>
  </si>
  <si>
    <t>Tennessee Williams</t>
  </si>
  <si>
    <t>Williams, Tennessee</t>
  </si>
  <si>
    <t>plays (#3), 0 (#280)</t>
  </si>
  <si>
    <t>Orpheus Descending and Suddenly Last Summer (New Directions Books)</t>
  </si>
  <si>
    <t>Martin Sherman</t>
  </si>
  <si>
    <t>to-read (#1690)</t>
  </si>
  <si>
    <t>The Life of Saint Teresa of Ávila by Herself</t>
  </si>
  <si>
    <t>Teresa of Ávila</t>
  </si>
  <si>
    <t>Ávila, Teresa of</t>
  </si>
  <si>
    <t>to-read (#929), biographies-etc (#53)</t>
  </si>
  <si>
    <t>Interior Castle</t>
  </si>
  <si>
    <t>Image</t>
  </si>
  <si>
    <t>to-read (#1980)</t>
  </si>
  <si>
    <t>Hope without Optimism</t>
  </si>
  <si>
    <t>Terry Eagleton</t>
  </si>
  <si>
    <t>Eagleton, Terry</t>
  </si>
  <si>
    <t>University of Virginia Press</t>
  </si>
  <si>
    <t>to-read (#1885)</t>
  </si>
  <si>
    <t>How to Read Literature</t>
  </si>
  <si>
    <t>to-read (#1547)</t>
  </si>
  <si>
    <t>Hegel: A Biography</t>
  </si>
  <si>
    <t>Terry P. Pinkard</t>
  </si>
  <si>
    <t>Pinkard, Terry P.</t>
  </si>
  <si>
    <t>to-read (#891), biographies-etc (#32)</t>
  </si>
  <si>
    <t>The New Yorker Book of Poems</t>
  </si>
  <si>
    <t>The New Yorker</t>
  </si>
  <si>
    <t>Yorker, The New</t>
  </si>
  <si>
    <t>Morrow</t>
  </si>
  <si>
    <t>to-read (#2026)</t>
  </si>
  <si>
    <t>The 60s: The Story of a Decade (New Yorker: The Story of a Decade)</t>
  </si>
  <si>
    <t>Renata Adler, Hannah Arendt, James Baldwin, Truman Capote, Henry Finder</t>
  </si>
  <si>
    <t>to-read (#2025)</t>
  </si>
  <si>
    <t>The 50s: The Story of a Decade (New Yorker: The Story of a Decade)</t>
  </si>
  <si>
    <t>Henry Finder, David Remnick</t>
  </si>
  <si>
    <t>to-read (#2024)</t>
  </si>
  <si>
    <t>The 40s: The Story of a Decade</t>
  </si>
  <si>
    <t>Henry Finder</t>
  </si>
  <si>
    <t>to-read (#2023)</t>
  </si>
  <si>
    <t>The Culture Industry</t>
  </si>
  <si>
    <t>Theodor W. Adorno</t>
  </si>
  <si>
    <t>Adorno, Theodor W.</t>
  </si>
  <si>
    <t>J.M. Bernstein</t>
  </si>
  <si>
    <t>to-read (#261)</t>
  </si>
  <si>
    <t>Star Myths of the Greeks and Romans: A Sourcebook Containing "The Constellations" of Pseudo-Eratosthenes and the "Poetic Astronomy" of Hyginus</t>
  </si>
  <si>
    <t>Theony Condos</t>
  </si>
  <si>
    <t>Condos, Theony</t>
  </si>
  <si>
    <t>to-read (#1504), greeks-romans-etc (#62)</t>
  </si>
  <si>
    <t>Collected Poems</t>
  </si>
  <si>
    <t>Thom Gunn</t>
  </si>
  <si>
    <t>Gunn, Thom</t>
  </si>
  <si>
    <t>to-read (#598), poetry (#58)</t>
  </si>
  <si>
    <t>Boss Cupid: Poems</t>
  </si>
  <si>
    <t>to-read (#1731), poetry (#21), 0 (#434)</t>
  </si>
  <si>
    <t>The Man With Night Sweats</t>
  </si>
  <si>
    <t>poetry (#22), 0 (#290)</t>
  </si>
  <si>
    <t>We Don't Know What We're Doing</t>
  </si>
  <si>
    <t>Thomas    Morris</t>
  </si>
  <si>
    <t>Morris, Thomas</t>
  </si>
  <si>
    <t>to-read (#452)</t>
  </si>
  <si>
    <t>Listen, Liberal: Or, What Ever Happened to the Party of the People</t>
  </si>
  <si>
    <t>Thomas  Frank</t>
  </si>
  <si>
    <t>Frank, Thomas</t>
  </si>
  <si>
    <t>to-read (#2233), nonfiction (#233)</t>
  </si>
  <si>
    <t>The Silence of the Lambs</t>
  </si>
  <si>
    <t>Thomas  Harris</t>
  </si>
  <si>
    <t>Harris, Thomas</t>
  </si>
  <si>
    <t>St. Martin's Paperbacks</t>
  </si>
  <si>
    <t>to-read (#1337), novels (#11), 0 (#306)</t>
  </si>
  <si>
    <t>Pythagoras: His Life and Teachings</t>
  </si>
  <si>
    <t>Thomas  Stanley</t>
  </si>
  <si>
    <t>Stanley, Thomas</t>
  </si>
  <si>
    <t>James Wasserman, J. Daniel Gunther, Manly P. Hall, Henry L. Drake</t>
  </si>
  <si>
    <t>Ibis Press</t>
  </si>
  <si>
    <t>to-read (#904), greeks-romans-etc (#17)</t>
  </si>
  <si>
    <t>Correction</t>
  </si>
  <si>
    <t>Thomas Bernhard</t>
  </si>
  <si>
    <t>Bernhard, Thomas</t>
  </si>
  <si>
    <t>Sophie Wilkins</t>
  </si>
  <si>
    <t>to-read (#2376), books-from-twitter (#75)</t>
  </si>
  <si>
    <t>The Loser</t>
  </si>
  <si>
    <t>Jack Dawson, Renata Colorni, Mati Sirkel</t>
  </si>
  <si>
    <t>to-read (#689)</t>
  </si>
  <si>
    <t>Bulfinch's Mythology</t>
  </si>
  <si>
    <t>Thomas Bulfinch</t>
  </si>
  <si>
    <t>Bulfinch, Thomas</t>
  </si>
  <si>
    <t>to-read (#1177), mythology (#29)</t>
  </si>
  <si>
    <t>How to Read Literature Like a Professor</t>
  </si>
  <si>
    <t>Thomas C. Foster</t>
  </si>
  <si>
    <t>Foster, Thomas C.</t>
  </si>
  <si>
    <t>to-read (#1860)</t>
  </si>
  <si>
    <t>Sartor Resartus</t>
  </si>
  <si>
    <t>Thomas Carlyle</t>
  </si>
  <si>
    <t>Carlyle, Thomas</t>
  </si>
  <si>
    <t>Kerry McSweeney, Peter Sabor</t>
  </si>
  <si>
    <t>to-read (#2125), biblio-noonday-demon (#46)</t>
  </si>
  <si>
    <t>Fiasco: The American Military Adventure in Iraq</t>
  </si>
  <si>
    <t>Thomas E. Ricks</t>
  </si>
  <si>
    <t>Ricks, Thomas E.</t>
  </si>
  <si>
    <t>The Penguin Press</t>
  </si>
  <si>
    <t>to-read (#2354), biblio-shock-doctrine (#77)</t>
  </si>
  <si>
    <t>Tess of the D’Urbervilles</t>
  </si>
  <si>
    <t>Thomas Hardy</t>
  </si>
  <si>
    <t>Hardy, Thomas</t>
  </si>
  <si>
    <t>Margaret R. Higonnet, Tim Dolin</t>
  </si>
  <si>
    <t>to-read (#1058)</t>
  </si>
  <si>
    <t>Jude el oscuro</t>
  </si>
  <si>
    <t>Francisco Torres Oliver</t>
  </si>
  <si>
    <t>Alba</t>
  </si>
  <si>
    <t>to-read (#471)</t>
  </si>
  <si>
    <t>Moth; or how I came to be with you again</t>
  </si>
  <si>
    <t>Thomas Heise</t>
  </si>
  <si>
    <t>Heise, Thomas</t>
  </si>
  <si>
    <t>to-read (#984), 0 (#242)</t>
  </si>
  <si>
    <t>Leviathan</t>
  </si>
  <si>
    <t>Thomas Hobbes</t>
  </si>
  <si>
    <t>Hobbes, Thomas</t>
  </si>
  <si>
    <t>to-read (#1340), philosophy (#10), 0 (#308)</t>
  </si>
  <si>
    <t>Schindler's Ark</t>
  </si>
  <si>
    <t>Thomas Keneally</t>
  </si>
  <si>
    <t>Keneally, Thomas</t>
  </si>
  <si>
    <t>to-read (#1292), awards-man-booker-prize-winners (#15)</t>
  </si>
  <si>
    <t>The Lexus and the Olive Tree</t>
  </si>
  <si>
    <t>Thomas L. Friedman</t>
  </si>
  <si>
    <t>Friedman, Thomas L.</t>
  </si>
  <si>
    <t>to-read (#2332), biblio-shock-doctrine (#63)</t>
  </si>
  <si>
    <t>The Conspiracy Against the Human Race</t>
  </si>
  <si>
    <t>Thomas Ligotti</t>
  </si>
  <si>
    <t>Ligotti, Thomas</t>
  </si>
  <si>
    <t>Ray Brassier</t>
  </si>
  <si>
    <t>Hippocampus Press</t>
  </si>
  <si>
    <t>to-read (#1914)</t>
  </si>
  <si>
    <t>Joseph and His Brothers</t>
  </si>
  <si>
    <t>Thomas Mann</t>
  </si>
  <si>
    <t>Mann, Thomas</t>
  </si>
  <si>
    <t>John E. Woods</t>
  </si>
  <si>
    <t>Everyman's Library (Knopf)</t>
  </si>
  <si>
    <t>to-read (#1075), novels (#154)</t>
  </si>
  <si>
    <t>Buddenbrooks: The Decline of a Family</t>
  </si>
  <si>
    <t>T.J. Reed, John E. Woods, Jonas Vaznelis</t>
  </si>
  <si>
    <t>to-read (#801)</t>
  </si>
  <si>
    <t>The Magic Mountain</t>
  </si>
  <si>
    <t>to-read (#185)</t>
  </si>
  <si>
    <t>The View From Nowhere</t>
  </si>
  <si>
    <t>Thomas Nagel</t>
  </si>
  <si>
    <t>Nagel, Thomas</t>
  </si>
  <si>
    <t>to-read (#920)</t>
  </si>
  <si>
    <t>What Does It All Mean? A Very Short Introduction to Philosophy</t>
  </si>
  <si>
    <t>to-read (#207)</t>
  </si>
  <si>
    <t>Hall of Small Mammals: Stories</t>
  </si>
  <si>
    <t>Thomas Pierce</t>
  </si>
  <si>
    <t>Pierce, Thomas</t>
  </si>
  <si>
    <t>to-read (#1432), short-stories (#5), 0 (#508)</t>
  </si>
  <si>
    <t>Gravity's Rainbow</t>
  </si>
  <si>
    <t>Thomas Pynchon</t>
  </si>
  <si>
    <t>Pynchon, Thomas</t>
  </si>
  <si>
    <t>to-read (#61), novels (#3), 0 (#283)</t>
  </si>
  <si>
    <t>Mason &amp; Dixon</t>
  </si>
  <si>
    <t>Picador USA</t>
  </si>
  <si>
    <t>to-read (#1594), books-from-twitter (#13)</t>
  </si>
  <si>
    <t>The Crying of Lot 49</t>
  </si>
  <si>
    <t>to-read (#126)</t>
  </si>
  <si>
    <t>Perrine's Sound and Sense: An Introduction to Poetry</t>
  </si>
  <si>
    <t>Thomas R. Arp</t>
  </si>
  <si>
    <t>Arp, Thomas R.</t>
  </si>
  <si>
    <t>Greg Johnson</t>
  </si>
  <si>
    <t>Cengage Learning</t>
  </si>
  <si>
    <t>to-read (#1606), poetry (#15), 0 (#332)</t>
  </si>
  <si>
    <t>The Structure of Scientific Revolutions</t>
  </si>
  <si>
    <t>Thomas S. Kuhn</t>
  </si>
  <si>
    <t>Kuhn, Thomas S.</t>
  </si>
  <si>
    <t>to-read (#539)</t>
  </si>
  <si>
    <t>The Logogryph: A Bibliography Of Imaginary Books</t>
  </si>
  <si>
    <t>Thomas Wharton</t>
  </si>
  <si>
    <t>Wharton, Thomas</t>
  </si>
  <si>
    <t>Gaspereau Pr</t>
  </si>
  <si>
    <t>to-read (#1539)</t>
  </si>
  <si>
    <t>The Oxford Guide to Heraldry</t>
  </si>
  <si>
    <t>Thomas Woodcock</t>
  </si>
  <si>
    <t>Woodcock, Thomas</t>
  </si>
  <si>
    <t>John Martin Robinson</t>
  </si>
  <si>
    <t>to-read (#2169)</t>
  </si>
  <si>
    <t>The Treasures of Darkness: A History of Mesopotamian Religion</t>
  </si>
  <si>
    <t>Thorkild Jacobsen</t>
  </si>
  <si>
    <t>Jacobsen, Thorkild</t>
  </si>
  <si>
    <t>to-read (#1981)</t>
  </si>
  <si>
    <t>The Theory of the Leisure Class</t>
  </si>
  <si>
    <t>Thorstein Veblen</t>
  </si>
  <si>
    <t>Veblen, Thorstein</t>
  </si>
  <si>
    <t>Alan Wolfe, Martha Banta</t>
  </si>
  <si>
    <t>to-read (#785)</t>
  </si>
  <si>
    <t>The Mechanical Mind: A Philosophical Introduction to Minds, Machines and Mental Representation</t>
  </si>
  <si>
    <t>Tim Crane</t>
  </si>
  <si>
    <t>Crane, Tim</t>
  </si>
  <si>
    <t>to-read (#1814)</t>
  </si>
  <si>
    <t>A Fast Life: The Collected Poems</t>
  </si>
  <si>
    <t>Tim Dlugos</t>
  </si>
  <si>
    <t>Dlugos, Tim</t>
  </si>
  <si>
    <t>David Trinidad</t>
  </si>
  <si>
    <t>to-read (#355), poetry (#52)</t>
  </si>
  <si>
    <t>The Cave</t>
  </si>
  <si>
    <t>Tim Krabbé</t>
  </si>
  <si>
    <t>Krabbé, Tim</t>
  </si>
  <si>
    <t>Sam Garrett</t>
  </si>
  <si>
    <t>to-read (#2382), books-from-twitter (#81)</t>
  </si>
  <si>
    <t>Not Wanted on the Voyage</t>
  </si>
  <si>
    <t>Timothy Findley</t>
  </si>
  <si>
    <t>Findley, Timothy</t>
  </si>
  <si>
    <t>Penguin Canada</t>
  </si>
  <si>
    <t>to-read (#190), novels (#120)</t>
  </si>
  <si>
    <t>Early Greek Myth: A Guide to Literary and Artistic Sources, Vol. 1</t>
  </si>
  <si>
    <t>Timothy Gantz</t>
  </si>
  <si>
    <t>Gantz, Timothy</t>
  </si>
  <si>
    <t>to-read (#1509), greeks-romans-etc (#66)</t>
  </si>
  <si>
    <t>The File: A Personal History</t>
  </si>
  <si>
    <t>Timothy Garton Ash</t>
  </si>
  <si>
    <t>Ash, Timothy Garton</t>
  </si>
  <si>
    <t>to-read (#2201), nonfiction (#212)</t>
  </si>
  <si>
    <t>Free Speech: Ten Principles for a Connected World</t>
  </si>
  <si>
    <t>to-read (#675)</t>
  </si>
  <si>
    <t>The Aims of Argument: A Text and Reader</t>
  </si>
  <si>
    <t>Timothy W. Crusius</t>
  </si>
  <si>
    <t>Crusius, Timothy W.</t>
  </si>
  <si>
    <t>McGraw-Hill College</t>
  </si>
  <si>
    <t>to-read (#1575)</t>
  </si>
  <si>
    <t>Keep the River on Your Right</t>
  </si>
  <si>
    <t>Tobias Schneebaum</t>
  </si>
  <si>
    <t>Schneebaum, Tobias</t>
  </si>
  <si>
    <t>to-read (#267)</t>
  </si>
  <si>
    <t>Tod Papageorge: Core Curriculum: Writings on Photography</t>
  </si>
  <si>
    <t>Tod Papageorge</t>
  </si>
  <si>
    <t>Papageorge, Tod</t>
  </si>
  <si>
    <t>to-read (#342)</t>
  </si>
  <si>
    <t>A Legacy of Madness: Recovering My Family from Generations of Mental Illness</t>
  </si>
  <si>
    <t>Tom   Davis</t>
  </si>
  <si>
    <t>Davis, Tom</t>
  </si>
  <si>
    <t>to-read (#1931)</t>
  </si>
  <si>
    <t>The Settlement of the Americas: A New Prehistory</t>
  </si>
  <si>
    <t>Tom D. Dillehay</t>
  </si>
  <si>
    <t>Dillehay, Tom D.</t>
  </si>
  <si>
    <t>to-read (#2213), nonfiction (#226), history (#70)</t>
  </si>
  <si>
    <t>The Zapatista Reader (Nation Books)</t>
  </si>
  <si>
    <t>Tom Hayden</t>
  </si>
  <si>
    <t>Hayden, Tom</t>
  </si>
  <si>
    <t>Andrew Kopkind, Joann Wypijewski, Michael McCaughan, Bill Weinberg, Naomi Klein, Carlos Monsiváis, Ignacio Ramonet, Homero Aridjis, Saul Landau, Jorge Mancilla, Paco Ignacio Taibo II, Salvador Carrasco, Gabriel García Márquez, John Ross, Adolfo Gilly, Régis Debray, Daniel Nugent, José de la Colina, Jean Meyer, Elena Poniatowska, José Saramago, Octavio Paz, Ilan Stavans, Enrique Krauze, Gary MacEoin, Mike Gonzalez, Guiomar Rovira, Luis Hernández Navarro, Manuel Vázquez Montalbán, John Berger, Alma Guillermoprieto, Joel Simon, Eduardo Galeano, Andrés Oppenheimer, Pascal Beltrán del Río</t>
  </si>
  <si>
    <t>to-read (#632)</t>
  </si>
  <si>
    <t>The Circle of Innovation: You Can't Shrink Your Way to Greatness</t>
  </si>
  <si>
    <t>Tom Peters</t>
  </si>
  <si>
    <t>Peters, Tom</t>
  </si>
  <si>
    <t>to-read (#2369), biblio-shock-doctrine (#92)</t>
  </si>
  <si>
    <t>Art and Truth after Plato</t>
  </si>
  <si>
    <t>Tom Rockmore</t>
  </si>
  <si>
    <t>Rockmore, Tom</t>
  </si>
  <si>
    <t>to-read (#171)</t>
  </si>
  <si>
    <t>The Electric Kool-Aid Acid Test</t>
  </si>
  <si>
    <t>Tom Wolfe</t>
  </si>
  <si>
    <t>Wolfe, Tom</t>
  </si>
  <si>
    <t>to-read (#125), novels (#113)</t>
  </si>
  <si>
    <t>The Bonfire of the Vanities</t>
  </si>
  <si>
    <t>novels (#73), 0 (#381)</t>
  </si>
  <si>
    <t>La novela de Perón</t>
  </si>
  <si>
    <t>Tomás Eloy Martínez</t>
  </si>
  <si>
    <t>Martínez, Tomás Eloy</t>
  </si>
  <si>
    <t>Vintage Español</t>
  </si>
  <si>
    <t>to-read (#1775), books-about-argentina (#6)</t>
  </si>
  <si>
    <t>Santa Evita</t>
  </si>
  <si>
    <t>books-about-argentina</t>
  </si>
  <si>
    <t>books-about-argentina (#5)</t>
  </si>
  <si>
    <t>to-read (#991), novels (#16)</t>
  </si>
  <si>
    <t>Let Me Count the Ways: A Memoir (American Lives)</t>
  </si>
  <si>
    <t>Tomás Q. Morín</t>
  </si>
  <si>
    <t>Morín, Tomás Q.</t>
  </si>
  <si>
    <t>to-read (#937)</t>
  </si>
  <si>
    <t>Four Questions of Melancholy: New and Selected Poems</t>
  </si>
  <si>
    <t>Tomaž Šalamun</t>
  </si>
  <si>
    <t>Šalamun, Tomaž</t>
  </si>
  <si>
    <t>Michael Biggins, Christopher Merrill</t>
  </si>
  <si>
    <t>to-read (#1076), poetry (#68)</t>
  </si>
  <si>
    <t>IRL</t>
  </si>
  <si>
    <t>Tommy Pico</t>
  </si>
  <si>
    <t>Pico, Tommy</t>
  </si>
  <si>
    <t>Birds, LLC</t>
  </si>
  <si>
    <t>to-read (#203), queer-gender-etc (#22)</t>
  </si>
  <si>
    <t>Sula</t>
  </si>
  <si>
    <t>Toni Morrison</t>
  </si>
  <si>
    <t>Morrison, Toni</t>
  </si>
  <si>
    <t>to-read (#2381), books-from-twitter (#80)</t>
  </si>
  <si>
    <t>Ill Fares the Land</t>
  </si>
  <si>
    <t>Tony Judt</t>
  </si>
  <si>
    <t>Judt, Tony</t>
  </si>
  <si>
    <t>The Penguin Press HC</t>
  </si>
  <si>
    <t>to-read (#1059)</t>
  </si>
  <si>
    <t>The Intelligent Homosexual's Guide to Capitalism and Socialism with a Key to the Scriptures</t>
  </si>
  <si>
    <t>Tony Kushner</t>
  </si>
  <si>
    <t>Kushner, Tony</t>
  </si>
  <si>
    <t>Theatre Communications Group</t>
  </si>
  <si>
    <t>to-read (#2011)</t>
  </si>
  <si>
    <t>Childhood / Youth / Dependency (The Copenhagen Trilogy, #1-3)</t>
  </si>
  <si>
    <t>Tove Ditlevsen</t>
  </si>
  <si>
    <t>Ditlevsen, Tove</t>
  </si>
  <si>
    <t>Tiina Nunnally, Michael Favala Goldman</t>
  </si>
  <si>
    <t>to-read (#983), nonfiction (#20), 0 (#535)</t>
  </si>
  <si>
    <t>Wonders and Rarities: The Marvelous Book That Traveled the World and Mapped the Cosmos</t>
  </si>
  <si>
    <t>Travis Zadeh</t>
  </si>
  <si>
    <t>Zadeh, Travis</t>
  </si>
  <si>
    <t xml:space="preserve">books-about-books, history, nonfiction, to-read, </t>
  </si>
  <si>
    <t>to-read (#2165), nonfiction (#203), history (#69), books-about-books (#8)</t>
  </si>
  <si>
    <t>A Horse Named Sorrow</t>
  </si>
  <si>
    <t>Trebor Healey</t>
  </si>
  <si>
    <t>Healey, Trebor</t>
  </si>
  <si>
    <t>to-read (#595)</t>
  </si>
  <si>
    <t>A sangre fría</t>
  </si>
  <si>
    <t>Truman Capote</t>
  </si>
  <si>
    <t>Capote, Truman</t>
  </si>
  <si>
    <t>Círculo de lectores</t>
  </si>
  <si>
    <t>to-read (#1887), 0 (#445), nonfiction (#85)</t>
  </si>
  <si>
    <t>The Contemporary History of Latin America (Latin America in Translation)</t>
  </si>
  <si>
    <t>Tulio Halperin Donghi</t>
  </si>
  <si>
    <t>Donghi, Tulio Halperin</t>
  </si>
  <si>
    <t>to-read (#2264), nonfiction (#247)</t>
  </si>
  <si>
    <t>Covert Action in Chile 1963-1973</t>
  </si>
  <si>
    <t>U.S. Congress</t>
  </si>
  <si>
    <t>Congress, U.S.</t>
  </si>
  <si>
    <t>University Press of the Pacific</t>
  </si>
  <si>
    <t>to-read (#2305), biblio-shock-doctrine (#39)</t>
  </si>
  <si>
    <t>The Real Odessa: How Perón Brought the Nazi War Criminals to Argentina</t>
  </si>
  <si>
    <t>Uki Goñi</t>
  </si>
  <si>
    <t>Goñi, Uki</t>
  </si>
  <si>
    <t>to-read (#2263), books-about-argentina (#8)</t>
  </si>
  <si>
    <t>Foucault's Pendulum</t>
  </si>
  <si>
    <t>Umberto Eco</t>
  </si>
  <si>
    <t>Eco, Umberto</t>
  </si>
  <si>
    <t>William Weaver</t>
  </si>
  <si>
    <t xml:space="preserve">0, foucault, novels, to-read, </t>
  </si>
  <si>
    <t>to-read (#309), novels (#71), 0 (#480), foucault (#8)</t>
  </si>
  <si>
    <t>The Name of the Rose</t>
  </si>
  <si>
    <t>Harcourt Brace Jovanovich</t>
  </si>
  <si>
    <t>to-read (#1002), novels (#62), 0 (#395)</t>
  </si>
  <si>
    <t>Six Walks in the Fictional Woods</t>
  </si>
  <si>
    <t>to-read (#1634), books-about-books (#3)</t>
  </si>
  <si>
    <t>The Mysterious Flame Of Queen Loana</t>
  </si>
  <si>
    <t>to-read (#1951)</t>
  </si>
  <si>
    <t>Kant and the Platypus: Essays on Language and Cognition</t>
  </si>
  <si>
    <t>Alastair McEwen</t>
  </si>
  <si>
    <t>to-read (#1941)</t>
  </si>
  <si>
    <t>History of Beauty</t>
  </si>
  <si>
    <t>to-read (#643)</t>
  </si>
  <si>
    <t>On Literature</t>
  </si>
  <si>
    <t>Martin McLaughlin</t>
  </si>
  <si>
    <t>HarperVia</t>
  </si>
  <si>
    <t>to-read (#642)</t>
  </si>
  <si>
    <t>How to Write a Thesis</t>
  </si>
  <si>
    <t>Caterina Mongiat Farina, Geoff Farina, Francesco Erspamer</t>
  </si>
  <si>
    <t>to-read (#323)</t>
  </si>
  <si>
    <t>How to Travel With a Salmon &amp; Other Essays</t>
  </si>
  <si>
    <t>to-read (#205)</t>
  </si>
  <si>
    <t>(ORIGAMI-BOOK of adults) do Medeta graphic origami cochae (2008) ISBN: 4062617641 [Japanese Import]</t>
  </si>
  <si>
    <t>unknown author</t>
  </si>
  <si>
    <t>author, unknown</t>
  </si>
  <si>
    <t>to-read (#1672), 0 (#233)</t>
  </si>
  <si>
    <t>The Nag Hammadi Library</t>
  </si>
  <si>
    <t>Unknown Nag Hammadi</t>
  </si>
  <si>
    <t>Hammadi, Unknown Nag</t>
  </si>
  <si>
    <t>James M. Robinson, Richard Smith, Marvin W. Meyer</t>
  </si>
  <si>
    <t>to-read (#1152)</t>
  </si>
  <si>
    <t>El estilita</t>
  </si>
  <si>
    <t>Uri Costak</t>
  </si>
  <si>
    <t>Costak, Uri</t>
  </si>
  <si>
    <t>Ana Ciurans Ferrándiz</t>
  </si>
  <si>
    <t>to-read (#517)</t>
  </si>
  <si>
    <t>The Language of the Night: Essays on Fantasy and Science Fiction</t>
  </si>
  <si>
    <t>Guin, Ursula K. Le</t>
  </si>
  <si>
    <t>Susan Wood</t>
  </si>
  <si>
    <t>to-read (#1635), essays (#41)</t>
  </si>
  <si>
    <t>Lavinia</t>
  </si>
  <si>
    <t>to-read (#1330), novels (#180)</t>
  </si>
  <si>
    <t>Dancing at the Edge of the World</t>
  </si>
  <si>
    <t>to-read (#1916)</t>
  </si>
  <si>
    <t>Incredibly Strange Films</t>
  </si>
  <si>
    <t>V. Vale</t>
  </si>
  <si>
    <t>Vale, V.</t>
  </si>
  <si>
    <t>Andrea Juno, Boyd Rice</t>
  </si>
  <si>
    <t>Re/Search Publications</t>
  </si>
  <si>
    <t>to-read (#434)</t>
  </si>
  <si>
    <t>Film as Film: Understanding and Judging Movies</t>
  </si>
  <si>
    <t>V.F. Perkins</t>
  </si>
  <si>
    <t>Perkins, V.F.</t>
  </si>
  <si>
    <t>to-read (#2253), books-from-twitter (#57)</t>
  </si>
  <si>
    <t>In a Free State</t>
  </si>
  <si>
    <t>V.S. Naipaul</t>
  </si>
  <si>
    <t>Naipaul, V.S.</t>
  </si>
  <si>
    <t>to-read (#1282), awards-man-booker-prize-winners (#4)</t>
  </si>
  <si>
    <t>Meditations on the Tarot: A Journey into Christian Hermeticism</t>
  </si>
  <si>
    <t>Valentin Tomberg</t>
  </si>
  <si>
    <t>Tomberg, Valentin</t>
  </si>
  <si>
    <t>Penquin</t>
  </si>
  <si>
    <t>to-read (#939), 0 (#8), tarot (#1)</t>
  </si>
  <si>
    <t>The Wandering Fool: Love and its Symbols: Early Studies on the Tarot</t>
  </si>
  <si>
    <t>Robert Powell, Valentin Tomberg</t>
  </si>
  <si>
    <t>LogoSophia</t>
  </si>
  <si>
    <t>to-read (#2172)</t>
  </si>
  <si>
    <t>The Bloody Countess: The Atrocities of Erzsebet Bathory</t>
  </si>
  <si>
    <t>Valentine Penrose</t>
  </si>
  <si>
    <t>Penrose, Valentine</t>
  </si>
  <si>
    <t>Alexander Trocchi</t>
  </si>
  <si>
    <t>The Tears Corporation/Creation</t>
  </si>
  <si>
    <t>to-read (#1184), biographies-etc (#14), history (#11)</t>
  </si>
  <si>
    <t>Faces in the Crowd</t>
  </si>
  <si>
    <t>Valeria Luiselli</t>
  </si>
  <si>
    <t>Luiselli, Valeria</t>
  </si>
  <si>
    <t>Christina MacSweeney</t>
  </si>
  <si>
    <t>to-read (#2226), books-from-twitter (#53)</t>
  </si>
  <si>
    <t>Lost Children Archive</t>
  </si>
  <si>
    <t>to-read (#1072)</t>
  </si>
  <si>
    <t>The Story of My Teeth</t>
  </si>
  <si>
    <t>to-read (#382)</t>
  </si>
  <si>
    <t>A Thousand Forests in One Acorn: An Anthology of Spanish-Language Fiction</t>
  </si>
  <si>
    <t>Valerie Miles</t>
  </si>
  <si>
    <t>Miles, Valerie</t>
  </si>
  <si>
    <t>to-read (#808)</t>
  </si>
  <si>
    <t>The Fear of Doing Nothing: Notes of a Young Therapist</t>
  </si>
  <si>
    <t>Valery Hazanov</t>
  </si>
  <si>
    <t>Hazanov, Valery</t>
  </si>
  <si>
    <t>Sphinx Books</t>
  </si>
  <si>
    <t>to-read (#1790)</t>
  </si>
  <si>
    <t>La Medusa</t>
  </si>
  <si>
    <t>Vanessa Place</t>
  </si>
  <si>
    <t>Place, Vanessa</t>
  </si>
  <si>
    <t>to-read (#1589), books-from-twitter (#6)</t>
  </si>
  <si>
    <t>Le Consentement</t>
  </si>
  <si>
    <t>Vanessa Springora</t>
  </si>
  <si>
    <t>Springora, Vanessa</t>
  </si>
  <si>
    <t>Grasset</t>
  </si>
  <si>
    <t>to-read (#761)</t>
  </si>
  <si>
    <t>The Oxford Dictionary of Synonyms and Antonyms (Oxford Quick Reference)</t>
  </si>
  <si>
    <t>Various</t>
  </si>
  <si>
    <t>Various, Various</t>
  </si>
  <si>
    <t>to-read (#858), dictionaries-and-encyclopedias (#1)</t>
  </si>
  <si>
    <t>The Love of Singular Men</t>
  </si>
  <si>
    <t>Victor Heringer</t>
  </si>
  <si>
    <t>Heringer, Victor</t>
  </si>
  <si>
    <t>James Young</t>
  </si>
  <si>
    <t>to-read (#2380), books-from-twitter (#79)</t>
  </si>
  <si>
    <t>The Man Who Laughs</t>
  </si>
  <si>
    <t>Victor Hugo</t>
  </si>
  <si>
    <t>Hugo, Victor</t>
  </si>
  <si>
    <t>Norilana Books</t>
  </si>
  <si>
    <t>to-read (#21), novels (#96)</t>
  </si>
  <si>
    <t>The CIA And The Cult Of Intelligence</t>
  </si>
  <si>
    <t>Victor L. Marchetti</t>
  </si>
  <si>
    <t>Marchetti, Victor L.</t>
  </si>
  <si>
    <t>Dell Publishing Co., Inc.</t>
  </si>
  <si>
    <t>to-read (#2416), bib-torture (#24)</t>
  </si>
  <si>
    <t>Last Times (New York Review Books Classics)</t>
  </si>
  <si>
    <t>Victor Serge</t>
  </si>
  <si>
    <t>Serge, Victor</t>
  </si>
  <si>
    <t>Richard Greeman, Ralph Manheim</t>
  </si>
  <si>
    <t>to-read (#1659)</t>
  </si>
  <si>
    <t>Zoo or Letters Not About Love</t>
  </si>
  <si>
    <t>Victor Shklovsky</t>
  </si>
  <si>
    <t>Shklovsky, Victor</t>
  </si>
  <si>
    <t>Richard Sheldon</t>
  </si>
  <si>
    <t>to-read (#764)</t>
  </si>
  <si>
    <t>Color: A Natural History of the Palette</t>
  </si>
  <si>
    <t>Victoria Finlay</t>
  </si>
  <si>
    <t>Finlay, Victoria</t>
  </si>
  <si>
    <t>to-read (#693), history (#79)</t>
  </si>
  <si>
    <t>Golpes: relatos y memorias de la dictadura</t>
  </si>
  <si>
    <t>Victoria Torres</t>
  </si>
  <si>
    <t>Torres, Victoria</t>
  </si>
  <si>
    <t>Miguel Dalmaroni, Gabriela Cabezón Cámara, Juan José Becerra, Mariana Enríquez, Carlos Gamerro, Martín Kohan, Julián López, Mario Ortiz, Carlos Ríos, Paula Tomassoni, Alejandra Zina</t>
  </si>
  <si>
    <t>to-read (#601)</t>
  </si>
  <si>
    <t>Man’s Search for Meaning</t>
  </si>
  <si>
    <t>Viktor E. Frankl</t>
  </si>
  <si>
    <t>Frankl, Viktor E.</t>
  </si>
  <si>
    <t>Harold S. Kushner, William J. Winslade, Isle Lasch</t>
  </si>
  <si>
    <t>to-read (#23), biographies-etc (#36)</t>
  </si>
  <si>
    <t>The Feeling of Meaninglessness: A Challenge to Psychotherapy and Philosophy</t>
  </si>
  <si>
    <t>Alexander Batthyány</t>
  </si>
  <si>
    <t>to-read (#2081)</t>
  </si>
  <si>
    <t>Las ideas oscuras de la física</t>
  </si>
  <si>
    <t>Vincent Bontems</t>
  </si>
  <si>
    <t>Bontems, Vincent</t>
  </si>
  <si>
    <t>Roland Lehoucq</t>
  </si>
  <si>
    <t>to-read (#494)</t>
  </si>
  <si>
    <t>Helter Skelter: The True Story of the Manson Murders</t>
  </si>
  <si>
    <t>Vincent Bugliosi</t>
  </si>
  <si>
    <t>Bugliosi, Vincent</t>
  </si>
  <si>
    <t>Curt Gentry</t>
  </si>
  <si>
    <t>to-read (#17), nonfiction (#65), 0 (#363)</t>
  </si>
  <si>
    <t>Medieval Number Symbolism: Its Sources, Meaning, and Influence on Thought and Expression (Dover Occult)</t>
  </si>
  <si>
    <t>Vincent Foster Hopper</t>
  </si>
  <si>
    <t>Hopper, Vincent Foster</t>
  </si>
  <si>
    <t>to-read (#1146), mythology (#24)</t>
  </si>
  <si>
    <t>Genius of the Tarot: A Guide to Divination with the Tarot</t>
  </si>
  <si>
    <t>Vincent Pitisci</t>
  </si>
  <si>
    <t>Pitisci, Vincent</t>
  </si>
  <si>
    <t>to-read (#1535)</t>
  </si>
  <si>
    <t>Tertulia (Penguin Poets)</t>
  </si>
  <si>
    <t>Vincent Toro</t>
  </si>
  <si>
    <t>Toro, Vincent</t>
  </si>
  <si>
    <t>to-read (#529)</t>
  </si>
  <si>
    <t>The Aeneid</t>
  </si>
  <si>
    <t>Virgil</t>
  </si>
  <si>
    <t>Virgil, Virgil</t>
  </si>
  <si>
    <t>Robert Fagles, Bernard Knox</t>
  </si>
  <si>
    <t>to-read (#1407), poetry (#3), greeks-romans-etc (#10), 0 (#323)</t>
  </si>
  <si>
    <t>René's Flesh</t>
  </si>
  <si>
    <t>Virgilio Piñera</t>
  </si>
  <si>
    <t>Piñera, Virgilio</t>
  </si>
  <si>
    <t>Mark Schafer, Antón Arrufat</t>
  </si>
  <si>
    <t>Marsilio Pub</t>
  </si>
  <si>
    <t>to-read (#330)</t>
  </si>
  <si>
    <t>Dibs in Search of Self</t>
  </si>
  <si>
    <t>Virginia M. Axline</t>
  </si>
  <si>
    <t>Axline, Virginia M.</t>
  </si>
  <si>
    <t>to-read (#2112), biblio-noonday-demon (#31)</t>
  </si>
  <si>
    <t>A Field Guide to American Houses</t>
  </si>
  <si>
    <t>Virginia McAlester</t>
  </si>
  <si>
    <t>McAlester, Virginia</t>
  </si>
  <si>
    <t>Lee McAlester</t>
  </si>
  <si>
    <t>to-read (#374)</t>
  </si>
  <si>
    <t>A Field Guide to American Houses (Revised): The Definitive Guide to Identifying and Understanding America's Domestic Architecture</t>
  </si>
  <si>
    <t>Virginia Savage McAlester</t>
  </si>
  <si>
    <t>McAlester, Virginia Savage</t>
  </si>
  <si>
    <t>to-read (#306), dictionaries-and-encyclopedias (#12)</t>
  </si>
  <si>
    <t>A Writer's Diary</t>
  </si>
  <si>
    <t>Virginia Woolf</t>
  </si>
  <si>
    <t>Woolf, Virginia</t>
  </si>
  <si>
    <t>Mariner Books Classics</t>
  </si>
  <si>
    <t>to-read (#1835), nonfiction (#195), biographies-etc (#55)</t>
  </si>
  <si>
    <t>Mrs Dalloway</t>
  </si>
  <si>
    <t>Jeanette Winterson, Carol Ann Duffy, Valentine Cunningham</t>
  </si>
  <si>
    <t>to-read (#1414), novels (#31), 0 (#324)</t>
  </si>
  <si>
    <t>How Should One Read a Book?</t>
  </si>
  <si>
    <t>Laurence King Publishing</t>
  </si>
  <si>
    <t>to-read (#1689)</t>
  </si>
  <si>
    <t>The Second Common Reader</t>
  </si>
  <si>
    <t>to-read (#1566)</t>
  </si>
  <si>
    <t>The Common Reader</t>
  </si>
  <si>
    <t>to-read (#317)</t>
  </si>
  <si>
    <t>Teoría King Kong</t>
  </si>
  <si>
    <t>Despentes, Virginie</t>
  </si>
  <si>
    <t>UHF</t>
  </si>
  <si>
    <t>to-read (#514)</t>
  </si>
  <si>
    <t>The Letters of Vita Sackville-West and Virginia Woolf</t>
  </si>
  <si>
    <t>Vita Sackville-West</t>
  </si>
  <si>
    <t>Sackville-West, Vita</t>
  </si>
  <si>
    <t>Virginia Woolf, Louise DeSalvo, Mitchell Alexander Leaska</t>
  </si>
  <si>
    <t>to-read (#744), biographies-etc (#43)</t>
  </si>
  <si>
    <t>Saint Joan of Arc</t>
  </si>
  <si>
    <t>Literary Guild (NY)</t>
  </si>
  <si>
    <t>to-read (#776), 0 (#274)</t>
  </si>
  <si>
    <t>Together: The Healing Power of Human Connection in a Sometimes Lonely World</t>
  </si>
  <si>
    <t>Vivek H. Murthy</t>
  </si>
  <si>
    <t>Murthy, Vivek H.</t>
  </si>
  <si>
    <t>to-read (#441)</t>
  </si>
  <si>
    <t>Taking a Long Look: Essays on Culture, Literature and Feminism in Our Time</t>
  </si>
  <si>
    <t>Vivian Gornick</t>
  </si>
  <si>
    <t>Gornick, Vivian</t>
  </si>
  <si>
    <t>to-read (#1057)</t>
  </si>
  <si>
    <t>Unfinished Business: Notes of a Chronic Re-reader</t>
  </si>
  <si>
    <t>to-read (#682)</t>
  </si>
  <si>
    <t>Vivian Maier: Street Photographer</t>
  </si>
  <si>
    <t>Vivian Maier</t>
  </si>
  <si>
    <t>Maier, Vivian</t>
  </si>
  <si>
    <t>Geoff Dyer, John Maloof</t>
  </si>
  <si>
    <t>powerHouse Books</t>
  </si>
  <si>
    <t>to-read (#543)</t>
  </si>
  <si>
    <t>Ada, or Ardor: A Family Chronicle (Vintage International)</t>
  </si>
  <si>
    <t>Vladimir Nabokov</t>
  </si>
  <si>
    <t>Nabokov, Vladimir</t>
  </si>
  <si>
    <t>to-read (#1356), z-favorites-shelf (#14), 0 (#407)</t>
  </si>
  <si>
    <t>Laughter in the Dark</t>
  </si>
  <si>
    <t>to-read (#1343), z-favorites-shelf (#15), 0 (#401)</t>
  </si>
  <si>
    <t>Lolita</t>
  </si>
  <si>
    <t>to-read (#210), z-favorites-shelf (#16), 0 (#361)</t>
  </si>
  <si>
    <t>Craig Raine</t>
  </si>
  <si>
    <t>Lectures on Literature</t>
  </si>
  <si>
    <t>John Updike, Fredson Bowers</t>
  </si>
  <si>
    <t xml:space="preserve">authors-german-authors, authors-jewish-authors, to-read, </t>
  </si>
  <si>
    <t>to-read (#1259)</t>
  </si>
  <si>
    <t>Despair</t>
  </si>
  <si>
    <t>to-read (#1170)</t>
  </si>
  <si>
    <t>Pale Fire</t>
  </si>
  <si>
    <t>to-read (#1176)</t>
  </si>
  <si>
    <t>Their Four Hearts</t>
  </si>
  <si>
    <t>Vladimir Sorokin</t>
  </si>
  <si>
    <t>Sorokin, Vladimir</t>
  </si>
  <si>
    <t>Max Lawton, Gregory Klassen</t>
  </si>
  <si>
    <t>to-read (#2060), books-from-twitter (#27), novels (#189)</t>
  </si>
  <si>
    <t>Telluria</t>
  </si>
  <si>
    <t>Max Lawton</t>
  </si>
  <si>
    <t>to-read (#1237)</t>
  </si>
  <si>
    <t>Voltaire</t>
  </si>
  <si>
    <t>Voltaire, Voltaire</t>
  </si>
  <si>
    <t>Theodore Besterman</t>
  </si>
  <si>
    <t>to-read (#871), dictionaries-and-encyclopedias (#19), philosophy (#40)</t>
  </si>
  <si>
    <t>Status and Culture: How Our Desire for Social Rank Creates Taste, Identity, Art, Fashion, and Constant Change</t>
  </si>
  <si>
    <t>W. David Marx</t>
  </si>
  <si>
    <t>Marx, W. David</t>
  </si>
  <si>
    <t>to-read (#2239), nonfiction (#239)</t>
  </si>
  <si>
    <t>Ametora: How Japan Saved American Style</t>
  </si>
  <si>
    <t>to-read (#1604), books-from-twitter (#24), nonfiction (#190)</t>
  </si>
  <si>
    <t>Auden, W.H.</t>
  </si>
  <si>
    <t>Edward Mendelson</t>
  </si>
  <si>
    <t>to-read (#1616), poetry (#1), 0 (#336)</t>
  </si>
  <si>
    <t>Orpheus and Greek Religion</t>
  </si>
  <si>
    <t>W.K.C. Guthrie</t>
  </si>
  <si>
    <t>Guthrie, W.K.C.</t>
  </si>
  <si>
    <t>Larry J. Alderink</t>
  </si>
  <si>
    <t>to-read (#911), greeks-romans-etc (#20)</t>
  </si>
  <si>
    <t>The Greeks and Their Gods (Ariadne)</t>
  </si>
  <si>
    <t>Beacon Press (Boston)</t>
  </si>
  <si>
    <t>to-read (#1474)</t>
  </si>
  <si>
    <t>Garden Time</t>
  </si>
  <si>
    <t>W.S. Merwin</t>
  </si>
  <si>
    <t>Merwin, W.S.</t>
  </si>
  <si>
    <t>Copper Canyon</t>
  </si>
  <si>
    <t>to-read (#736)</t>
  </si>
  <si>
    <t>Dictionary of Satanism</t>
  </si>
  <si>
    <t>Wade Baskin</t>
  </si>
  <si>
    <t>Baskin, Wade</t>
  </si>
  <si>
    <t>to-read (#846), dictionaries-and-encyclopedias (#25)</t>
  </si>
  <si>
    <t>A Siamese Tragedy: Development and Disintegration in Modern Thailand</t>
  </si>
  <si>
    <t>Walden Bello</t>
  </si>
  <si>
    <t>Bello, Walden</t>
  </si>
  <si>
    <t>Shea Cunningham, Kheng Poh Li</t>
  </si>
  <si>
    <t>Food First Books</t>
  </si>
  <si>
    <t>to-read (#2370), biblio-shock-doctrine (#93)</t>
  </si>
  <si>
    <t>Lancelot</t>
  </si>
  <si>
    <t>Walker Percy</t>
  </si>
  <si>
    <t>Percy, Walker</t>
  </si>
  <si>
    <t>to-read (#1873), novels (#61), 0 (#354)</t>
  </si>
  <si>
    <t>Walt Whitman: Leaves of Grass: The Complete 1855 and 1891-92 Editions (Library of America Paperback Classics)</t>
  </si>
  <si>
    <t>Walt Whitman</t>
  </si>
  <si>
    <t>Whitman, Walt</t>
  </si>
  <si>
    <t>to-read (#1612), poetry (#10), 0 (#335)</t>
  </si>
  <si>
    <t>The Storyteller: Tales out of Loneliness</t>
  </si>
  <si>
    <t>Walter Benjamin</t>
  </si>
  <si>
    <t>Benjamin, Walter</t>
  </si>
  <si>
    <t>Paul Klee, Sam Dolbear, Esther Leslie, Sebastian Truskolaski</t>
  </si>
  <si>
    <t>to-read (#1200)</t>
  </si>
  <si>
    <t>One Way Street And Other Writings</t>
  </si>
  <si>
    <t>Edmund Jephcott, K. Shorter</t>
  </si>
  <si>
    <t>to-read (#924)</t>
  </si>
  <si>
    <t>On Hashish</t>
  </si>
  <si>
    <t>Howard Eiland, Marcus Boon</t>
  </si>
  <si>
    <t>to-read (#362)</t>
  </si>
  <si>
    <t>Bosch</t>
  </si>
  <si>
    <t>Walter Bosing</t>
  </si>
  <si>
    <t>Bosing, Walter</t>
  </si>
  <si>
    <t>to-read (#1670), art (#2), 0 (#429)</t>
  </si>
  <si>
    <t>Greek Religion</t>
  </si>
  <si>
    <t>Walter Burkert</t>
  </si>
  <si>
    <t>Burkert, Walter</t>
  </si>
  <si>
    <t>John Raffan</t>
  </si>
  <si>
    <t>to-read (#1122), greeks-romans-etc (#24), mythology (#21)</t>
  </si>
  <si>
    <t>Structure and History in Greek Mythology and Ritual</t>
  </si>
  <si>
    <t>to-read (#1500), greeks-romans-etc (#58)</t>
  </si>
  <si>
    <t>Savage Energies: Lessons of Myth and Ritual in Ancient Greece</t>
  </si>
  <si>
    <t>Peter Bing</t>
  </si>
  <si>
    <t>to-read (#1501), greeks-romans-etc (#59)</t>
  </si>
  <si>
    <t>Ancient Mystery Cults (Carl Newell Jackson Lectures)</t>
  </si>
  <si>
    <t>to-read (#1123)</t>
  </si>
  <si>
    <t>Dionysus: Myth and Cult</t>
  </si>
  <si>
    <t>Walter F. Otto</t>
  </si>
  <si>
    <t>Otto, Walter F.</t>
  </si>
  <si>
    <t>to-read (#1480)</t>
  </si>
  <si>
    <t>Operation Mind Control (Fontana original)</t>
  </si>
  <si>
    <t>Walter H. Bowart</t>
  </si>
  <si>
    <t>Bowart, Walter H.</t>
  </si>
  <si>
    <t>Fontana</t>
  </si>
  <si>
    <t>to-read (#2404), bib-torture (#13)</t>
  </si>
  <si>
    <t>The Golden Wand of Medicine: A History of the Caduceus Symbol in Medicine</t>
  </si>
  <si>
    <t>Walter J. Friedlander</t>
  </si>
  <si>
    <t>Friedlander, Walter J.</t>
  </si>
  <si>
    <t>to-read (#2214), mythology (#56)</t>
  </si>
  <si>
    <t>Nietzsche: Philosopher, Psychologist, Antichrist</t>
  </si>
  <si>
    <t>Kaufmann, Walter</t>
  </si>
  <si>
    <t>to-read (#820), biographies-etc (#31), nonfiction (#132)</t>
  </si>
  <si>
    <t>The Man Who Fell to Earth</t>
  </si>
  <si>
    <t>Walter Tevis</t>
  </si>
  <si>
    <t>Tevis, Walter</t>
  </si>
  <si>
    <t>to-read (#1784)</t>
  </si>
  <si>
    <t>China's New Order: Society, Politics, and Economy in Transition</t>
  </si>
  <si>
    <t>Wang Hui</t>
  </si>
  <si>
    <t>Hui, Wang</t>
  </si>
  <si>
    <t>Theodore Huters</t>
  </si>
  <si>
    <t>to-read (#2310), biblio-shock-doctrine (#45)</t>
  </si>
  <si>
    <t>The Rhetoric of Fiction</t>
  </si>
  <si>
    <t>Wayne C. Booth</t>
  </si>
  <si>
    <t>Booth, Wayne C.</t>
  </si>
  <si>
    <t>to-read (#942)</t>
  </si>
  <si>
    <t>Cult Horror Films: From Attack of the 50 Foot Woman to Zombies of Mora Tau (Citadel Film Series)</t>
  </si>
  <si>
    <t>Welch Everman</t>
  </si>
  <si>
    <t>Everman, Welch</t>
  </si>
  <si>
    <t>Citadel Pr</t>
  </si>
  <si>
    <t>to-read (#435)</t>
  </si>
  <si>
    <t>Think Little: Essays (Counterpoints Series)</t>
  </si>
  <si>
    <t>Wendell Berry</t>
  </si>
  <si>
    <t>Berry, Wendell</t>
  </si>
  <si>
    <t>to-read (#620), essays (#45)</t>
  </si>
  <si>
    <t>Bringing it to the Table: On Farming and Food</t>
  </si>
  <si>
    <t>to-read (#358)</t>
  </si>
  <si>
    <t>A Short History of Film, Third Edition</t>
  </si>
  <si>
    <t>Wheeler Winston Dixon</t>
  </si>
  <si>
    <t>Dixon, Wheeler Winston</t>
  </si>
  <si>
    <t>Gwendolyn Audrey Foster</t>
  </si>
  <si>
    <t>Rutgers University Press</t>
  </si>
  <si>
    <t>to-read (#428)</t>
  </si>
  <si>
    <t>A Brave Man Seven Storeys Tall</t>
  </si>
  <si>
    <t>Will  Chancellor</t>
  </si>
  <si>
    <t>Chancellor, Will</t>
  </si>
  <si>
    <t>to-read (#173), novels (#119)</t>
  </si>
  <si>
    <t>The Story of Philosophy: The Lives and Opinions of the World's Greatest Philosophers</t>
  </si>
  <si>
    <t>Will Durant</t>
  </si>
  <si>
    <t>Durant, Will</t>
  </si>
  <si>
    <t>Pocket Books</t>
  </si>
  <si>
    <t>to-read (#1793), biographies-etc (#30)</t>
  </si>
  <si>
    <t>How to Read Houses: A Crash Course in Domestic Architecture</t>
  </si>
  <si>
    <t>Will Jones</t>
  </si>
  <si>
    <t>Jones, Will</t>
  </si>
  <si>
    <t>to-read (#1687)</t>
  </si>
  <si>
    <t>How to Read Modern Buildings: A Crash Course in Architecture of the Modern Era</t>
  </si>
  <si>
    <t>to-read (#1686)</t>
  </si>
  <si>
    <t>The Manley Art of Librarianship</t>
  </si>
  <si>
    <t>Will Manley</t>
  </si>
  <si>
    <t>Manley, Will</t>
  </si>
  <si>
    <t>Richard Lee</t>
  </si>
  <si>
    <t>McFarland Publishing</t>
  </si>
  <si>
    <t>to-read (#1681)</t>
  </si>
  <si>
    <t>Quiddities: An Intermittently Philosophical Dictionary</t>
  </si>
  <si>
    <t>Willard Van Orman Quine</t>
  </si>
  <si>
    <t>Quine, Willard Van Orman</t>
  </si>
  <si>
    <t>to-read (#853)</t>
  </si>
  <si>
    <t>The Varieties of Religious Experience</t>
  </si>
  <si>
    <t>William  James</t>
  </si>
  <si>
    <t>James, William</t>
  </si>
  <si>
    <t>Adamant Media Corporation</t>
  </si>
  <si>
    <t>to-read (#1555)</t>
  </si>
  <si>
    <t>The Rim of Morning: Two Tales of Cosmic Horror</t>
  </si>
  <si>
    <t>William  Sloane</t>
  </si>
  <si>
    <t>Sloane, William</t>
  </si>
  <si>
    <t>to-read (#1213), novels (#165)</t>
  </si>
  <si>
    <t>Killing Hope: US Military and CIA Interventions since World War II</t>
  </si>
  <si>
    <t>William Blum</t>
  </si>
  <si>
    <t>Blum, William</t>
  </si>
  <si>
    <t>to-read (#2302), biblio-shock-doctrine (#36)</t>
  </si>
  <si>
    <t>The Pattern on the Stone: The Simple Ideas that Make Computers Work</t>
  </si>
  <si>
    <t>William Daniel Hillis</t>
  </si>
  <si>
    <t>Hillis, William Daniel</t>
  </si>
  <si>
    <t>to-read (#535)</t>
  </si>
  <si>
    <t>Honourable Men: My Life In The CIA</t>
  </si>
  <si>
    <t>William E. Colby</t>
  </si>
  <si>
    <t>Colby, William E.</t>
  </si>
  <si>
    <t>Peter Forbath</t>
  </si>
  <si>
    <t>Hutchinson &amp; Co. (Publishers) Ltd.</t>
  </si>
  <si>
    <t>to-read (#2401), bib-torture (#11)</t>
  </si>
  <si>
    <t>The Rigor of Angels: Borges, Heisenberg, Kant, and the Ultimate Nature of Reality</t>
  </si>
  <si>
    <t>William Egginton</t>
  </si>
  <si>
    <t>Egginton, William</t>
  </si>
  <si>
    <t>to-read (#1986), z-2023 (#1)</t>
  </si>
  <si>
    <t>Seven Types of Ambiguity</t>
  </si>
  <si>
    <t>William Empson</t>
  </si>
  <si>
    <t>Empson, William</t>
  </si>
  <si>
    <t>to-read (#1459)</t>
  </si>
  <si>
    <t>The Unimaginable Mathematics of Borges' Library of Babel</t>
  </si>
  <si>
    <t>William Goldbloom Bloch</t>
  </si>
  <si>
    <t>Bloch, William Goldbloom</t>
  </si>
  <si>
    <t>to-read (#1572)</t>
  </si>
  <si>
    <t>Lord of the Flies</t>
  </si>
  <si>
    <t>William Golding</t>
  </si>
  <si>
    <t>Golding, William</t>
  </si>
  <si>
    <t>E.L. Epstein</t>
  </si>
  <si>
    <t>The Putnam Publishing Group</t>
  </si>
  <si>
    <t>to-read (#989), novels (#51)</t>
  </si>
  <si>
    <t>Rites of Passage (To the Ends of the Earth, #1)</t>
  </si>
  <si>
    <t>to-read (#1290), awards-man-booker-prize-winners (#13)</t>
  </si>
  <si>
    <t>Life Sentences: Literary Judgments and Accounts</t>
  </si>
  <si>
    <t>William H. Gass</t>
  </si>
  <si>
    <t>Gass, William H.</t>
  </si>
  <si>
    <t>to-read (#1628)</t>
  </si>
  <si>
    <t>A Temple of Texts</t>
  </si>
  <si>
    <t>to-read (#1569)</t>
  </si>
  <si>
    <t>On Being Blue</t>
  </si>
  <si>
    <t>to-read (#654)</t>
  </si>
  <si>
    <t>Mazes and Labyrinths: Their History and Development</t>
  </si>
  <si>
    <t>William Henry Matthews</t>
  </si>
  <si>
    <t>Matthews, William Henry</t>
  </si>
  <si>
    <t xml:space="preserve">history, labyrinths, to-read, </t>
  </si>
  <si>
    <t>to-read (#1756), labyrinths (#2), history (#77)</t>
  </si>
  <si>
    <t>The Delusions Of Crowds: Why People Go Mad in Groups</t>
  </si>
  <si>
    <t>William J. Bernstein</t>
  </si>
  <si>
    <t>Bernstein, William J.</t>
  </si>
  <si>
    <t>Atlantic Monthly Press</t>
  </si>
  <si>
    <t>to-read (#1963)</t>
  </si>
  <si>
    <t>A World Lit Only by Fire: The Medieval Mind and the Renaissance: Portrait of an Age</t>
  </si>
  <si>
    <t>William Manchester</t>
  </si>
  <si>
    <t>Manchester, William</t>
  </si>
  <si>
    <t>to-read (#1841), history (#78)</t>
  </si>
  <si>
    <t>Thabo Mbeki &amp; The Battle for the Soul of the ANC</t>
  </si>
  <si>
    <t>William Mervin Gumede</t>
  </si>
  <si>
    <t>Gumede, William Mervin</t>
  </si>
  <si>
    <t>Struik Publishers</t>
  </si>
  <si>
    <t>to-read (#2328), biblio-shock-doctrine (#59)</t>
  </si>
  <si>
    <t>Things Are Never So Bad That They Can't Get Worse: Inside the Collapse of Venezuela</t>
  </si>
  <si>
    <t>William Neuman</t>
  </si>
  <si>
    <t>Neuman, William</t>
  </si>
  <si>
    <t>to-read (#2207), nonfiction (#222)</t>
  </si>
  <si>
    <t>The Exorcist</t>
  </si>
  <si>
    <t>William Peter Blatty</t>
  </si>
  <si>
    <t>Blatty, William Peter</t>
  </si>
  <si>
    <t>HarperTorch</t>
  </si>
  <si>
    <t>to-read (#18), novels (#93)</t>
  </si>
  <si>
    <t>Atoms and Alchemy: Chymistry and the Experimental Origins of the Scientific Revolution</t>
  </si>
  <si>
    <t>William R. Newman</t>
  </si>
  <si>
    <t>Newman, William R.</t>
  </si>
  <si>
    <t>to-read (#969)</t>
  </si>
  <si>
    <t>Naked Lunch</t>
  </si>
  <si>
    <t>William S. Burroughs</t>
  </si>
  <si>
    <t>Burroughs, William S.</t>
  </si>
  <si>
    <t>Grove Weidenfield</t>
  </si>
  <si>
    <t>novels (#54), 0 (#278)</t>
  </si>
  <si>
    <t>Romeo y Julieta</t>
  </si>
  <si>
    <t>William Shakespeare</t>
  </si>
  <si>
    <t>Shakespeare, William</t>
  </si>
  <si>
    <t>Createspace</t>
  </si>
  <si>
    <t>to-read (#1903), plays (#7), 0 (#450)</t>
  </si>
  <si>
    <t>Macbeth Folger Shakespeare Library Edition</t>
  </si>
  <si>
    <t>to-read (#1395), plays (#6), 0 (#413)</t>
  </si>
  <si>
    <t>The Fourth Turning: An American Prophecy—What the Cycles of History Tell Us About America's Next Rendezvous with Destiny</t>
  </si>
  <si>
    <t>William Strauss</t>
  </si>
  <si>
    <t>Strauss, William</t>
  </si>
  <si>
    <t>Neil Howe</t>
  </si>
  <si>
    <t>to-read (#589)</t>
  </si>
  <si>
    <t>Darkness Visible: A Memoir of Madness</t>
  </si>
  <si>
    <t>William Styron</t>
  </si>
  <si>
    <t>Styron, William</t>
  </si>
  <si>
    <t>to-read (#1623)</t>
  </si>
  <si>
    <t>An Emergency in Slow Motion: The Inner Life of Diane Arbus</t>
  </si>
  <si>
    <t>William Todd Schultz</t>
  </si>
  <si>
    <t>Schultz, William Todd</t>
  </si>
  <si>
    <t>to-read (#758), biographies-etc (#18), photography (#7)</t>
  </si>
  <si>
    <t>Writing to Learn: How to Write--And Think--Clearly about Any Subject at All</t>
  </si>
  <si>
    <t>William Zinsser</t>
  </si>
  <si>
    <t>Zinsser, William</t>
  </si>
  <si>
    <t>to-read (#328), nonfiction (#196)</t>
  </si>
  <si>
    <t>On Writing Well: The Classic Guide to Writing Nonfiction</t>
  </si>
  <si>
    <t>to-read (#327)</t>
  </si>
  <si>
    <t>The Gnostic Bible</t>
  </si>
  <si>
    <t>Willis Barnstone</t>
  </si>
  <si>
    <t>Barnstone, Willis</t>
  </si>
  <si>
    <t>Marvin W. Meyer</t>
  </si>
  <si>
    <t>New Seeds</t>
  </si>
  <si>
    <t>to-read (#1157)</t>
  </si>
  <si>
    <t>The Visionaries: Arendt, Beauvoir, Rand, Weil, and the Power of Philosophy in Dark Times</t>
  </si>
  <si>
    <t>Wolfram Eilenberger</t>
  </si>
  <si>
    <t>Eilenberger, Wolfram</t>
  </si>
  <si>
    <t>to-read (#2428), nonfiction (#253)</t>
  </si>
  <si>
    <t>Time of the Magicians: Wittgenstein, Benjamin, Cassirer, Heidegger, and the Decade That Reinvented Philosophy</t>
  </si>
  <si>
    <t>to-read (#810)</t>
  </si>
  <si>
    <t>Running Through Beijing</t>
  </si>
  <si>
    <t>Xu Zechen</t>
  </si>
  <si>
    <t>Zechen, Xu</t>
  </si>
  <si>
    <t>Eric Abrahamsen</t>
  </si>
  <si>
    <t>novels (#38), 0 (#461)</t>
  </si>
  <si>
    <t>The World Turned Upside Down: A History of the Chinese Cultural Revolution</t>
  </si>
  <si>
    <t>Yang Jisheng</t>
  </si>
  <si>
    <t>Jisheng, Yang</t>
  </si>
  <si>
    <t>Stacy Mosher, Guo Jian</t>
  </si>
  <si>
    <t>to-read (#1969)</t>
  </si>
  <si>
    <t>Talking to My Daughter about the Economy: A Brief History of Capitalism</t>
  </si>
  <si>
    <t>Yanis Varoufakis</t>
  </si>
  <si>
    <t>Varoufakis, Yanis</t>
  </si>
  <si>
    <t>Jacob Moe</t>
  </si>
  <si>
    <t>to-read (#1920)</t>
  </si>
  <si>
    <t>Life of Pi</t>
  </si>
  <si>
    <t>Yann Martel</t>
  </si>
  <si>
    <t>Martel, Yann</t>
  </si>
  <si>
    <t>Seal Books</t>
  </si>
  <si>
    <t>to-read (#1308), awards-man-booker-prize-winners (#36)</t>
  </si>
  <si>
    <t>Babylone</t>
  </si>
  <si>
    <t>Yasmina Reza</t>
  </si>
  <si>
    <t>Reza, Yasmina</t>
  </si>
  <si>
    <t>Flammarion</t>
  </si>
  <si>
    <t>to-read (#285)</t>
  </si>
  <si>
    <t>The Memory Monster</t>
  </si>
  <si>
    <t>Yishai Sarid</t>
  </si>
  <si>
    <t>Sarid, Yishai</t>
  </si>
  <si>
    <t>Yardenne Greenspan</t>
  </si>
  <si>
    <t>to-read (#618)</t>
  </si>
  <si>
    <t>The Marseille Tarot Revealed: A Complete Guide to Symbolism, Meanings &amp; Methods</t>
  </si>
  <si>
    <t>Yoav Ben-Dov</t>
  </si>
  <si>
    <t>Ben-Dov, Yoav</t>
  </si>
  <si>
    <t>to-read (#935), mythology (#11)</t>
  </si>
  <si>
    <t>Hotel Iris</t>
  </si>
  <si>
    <t>Yōko Ogawa</t>
  </si>
  <si>
    <t>Ogawa, Yōko</t>
  </si>
  <si>
    <t>Stephen Snyder</t>
  </si>
  <si>
    <t>to-read (#834)</t>
  </si>
  <si>
    <t>Between Life and Death</t>
  </si>
  <si>
    <t>Yoram Kaniuk</t>
  </si>
  <si>
    <t>Kaniuk, Yoram</t>
  </si>
  <si>
    <t>Barbara Harshav</t>
  </si>
  <si>
    <t>to-read (#212)</t>
  </si>
  <si>
    <t>Tokyo Ueno Station</t>
  </si>
  <si>
    <t>Yū Miri</t>
  </si>
  <si>
    <t>Miri, Yū</t>
  </si>
  <si>
    <t>Morgan Giles</t>
  </si>
  <si>
    <t>Tilted Axis Press</t>
  </si>
  <si>
    <t>to-read (#365)</t>
  </si>
  <si>
    <t>Confessions of a Mask</t>
  </si>
  <si>
    <t>Yukio Mishima</t>
  </si>
  <si>
    <t>Mishima, Yukio</t>
  </si>
  <si>
    <t>Meredith Weatherby</t>
  </si>
  <si>
    <t>to-read (#2348), books-from-twitter (#73)</t>
  </si>
  <si>
    <t>Woman Running in the Mountains</t>
  </si>
  <si>
    <t>Yūko Tsushima</t>
  </si>
  <si>
    <t>Tsushima, Yūko</t>
  </si>
  <si>
    <t>Geraldine Harcourt, Lauren Groff</t>
  </si>
  <si>
    <t>to-read (#1239)</t>
  </si>
  <si>
    <t>Ten Planets: Stories</t>
  </si>
  <si>
    <t>Yuri Herrera</t>
  </si>
  <si>
    <t>Herrera, Yuri</t>
  </si>
  <si>
    <t>Lisa Dillman</t>
  </si>
  <si>
    <t>to-read (#2071), z-2023 (#7)</t>
  </si>
  <si>
    <t>Signs Preceding the End of the World</t>
  </si>
  <si>
    <t>to-read (#985), novels (#85), 0 (#479)</t>
  </si>
  <si>
    <t>The Internationalization of Palace Wars: Lawyers, Economists, and the Contest to Transform Latin American States (Chicago Series in Law and Society)</t>
  </si>
  <si>
    <t>Yves Dezalay</t>
  </si>
  <si>
    <t>Dezalay, Yves</t>
  </si>
  <si>
    <t>Bryant G. Garth</t>
  </si>
  <si>
    <t>to-read (#2282), biblio-shock-doctrine (#13)</t>
  </si>
  <si>
    <t>The Lost Books of the Odyssey</t>
  </si>
  <si>
    <t>Zachary Mason</t>
  </si>
  <si>
    <t>Mason, Zachary</t>
  </si>
  <si>
    <t>Starcherone Books</t>
  </si>
  <si>
    <t>to-read (#1331)</t>
  </si>
  <si>
    <t>White Teeth</t>
  </si>
  <si>
    <t>Zadie Smith</t>
  </si>
  <si>
    <t>Smith, Zadie</t>
  </si>
  <si>
    <t>to-read (#1799), novels (#36), 0 (#350)</t>
  </si>
  <si>
    <t>Pictures Showing What Happens on Each Page of Thomas Pynchon's Novel Gravity's Rainbow</t>
  </si>
  <si>
    <t>Zak Smith</t>
  </si>
  <si>
    <t>Smith, Zak</t>
  </si>
  <si>
    <t>Steve Erickson</t>
  </si>
  <si>
    <t>to-read (#2072)</t>
  </si>
  <si>
    <t>Evaluation Only. Created with Aspose.Cells for Java.Copyright 2003 - 2021 Aspose Pty Ltd.</t>
  </si>
  <si>
    <t xml:space="preserve">authors-polish-authors, authors-usa-authors, to-read, </t>
  </si>
  <si>
    <t xml:space="preserve">0, authors-usa-authors, poetry, </t>
  </si>
  <si>
    <t xml:space="preserve">authors-canadian-authors, to-read, </t>
  </si>
  <si>
    <t xml:space="preserve">authors-french-authors, to-read, </t>
  </si>
  <si>
    <t xml:space="preserve">authors-irish-authors, to-read, </t>
  </si>
  <si>
    <t xml:space="preserve">authors-mexican-authors, to-read,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</si>
</sst>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d"/>
    <numFmt numFmtId="166" formatCode="m d yy"/>
  </numFmts>
  <fonts count="5">
    <font>
      <sz val="10"/>
      <color rgb="FF000000"/>
      <name val="Arial"/>
      <family val="2"/>
      <scheme val="minor"/>
    </font>
    <font>
      <sz val="10"/>
      <color theme="1"/>
      <name val="Arial"/>
      <family val="2"/>
    </font>
    <font>
      <sz val="10"/>
      <color theme="1"/>
      <name val="Arial"/>
      <family val="2"/>
      <scheme val="minor"/>
    </font>
    <font>
      <u val="single"/>
      <sz val="10"/>
      <color rgb="FF0000FF"/>
      <name val="Arial"/>
      <family val="2"/>
    </font>
    <font>
      <b/>
      <i/>
      <sz val="18"/>
      <color rgb="FF0000FF"/>
      <name val="Arial"/>
      <family val="2"/>
    </font>
  </fonts>
  <fills count="32">
    <fill>
      <patternFill patternType="none"/>
    </fill>
    <fill>
      <patternFill patternType="gray125"/>
    </fill>
    <fill>
      <patternFill patternType="solid">
        <fgColor rgb="FFA2C4C9"/>
        <bgColor indexed="64"/>
      </patternFill>
    </fill>
    <fill>
      <patternFill patternType="solid">
        <fgColor rgb="FF4A86E8"/>
        <bgColor indexed="64"/>
      </patternFill>
    </fill>
    <fill>
      <patternFill patternType="solid">
        <fgColor rgb="FFD9D2E9"/>
        <bgColor indexed="64"/>
      </patternFill>
    </fill>
    <fill>
      <patternFill patternType="solid">
        <fgColor rgb="FFB6D7A8"/>
        <bgColor indexed="64"/>
      </patternFill>
    </fill>
    <fill>
      <patternFill patternType="solid">
        <fgColor rgb="FF9900FF"/>
        <bgColor indexed="64"/>
      </patternFill>
    </fill>
    <fill>
      <patternFill patternType="solid">
        <fgColor rgb="FFC27BA0"/>
        <bgColor indexed="64"/>
      </patternFill>
    </fill>
    <fill>
      <patternFill patternType="solid">
        <fgColor rgb="FFCFE2F3"/>
        <bgColor indexed="64"/>
      </patternFill>
    </fill>
    <fill>
      <patternFill patternType="solid">
        <fgColor rgb="FFB4A7D6"/>
        <bgColor indexed="64"/>
      </patternFill>
    </fill>
    <fill>
      <patternFill patternType="solid">
        <fgColor rgb="FFD0E0E3"/>
        <bgColor indexed="64"/>
      </patternFill>
    </fill>
    <fill>
      <patternFill patternType="solid">
        <fgColor rgb="FFFFFF00"/>
        <bgColor indexed="64"/>
      </patternFill>
    </fill>
    <fill>
      <patternFill patternType="solid">
        <fgColor rgb="FF3C78D8"/>
        <bgColor indexed="64"/>
      </patternFill>
    </fill>
    <fill>
      <patternFill patternType="solid">
        <fgColor rgb="FF9FC5E8"/>
        <bgColor indexed="64"/>
      </patternFill>
    </fill>
    <fill>
      <patternFill patternType="solid">
        <fgColor rgb="FFF1C232"/>
        <bgColor indexed="64"/>
      </patternFill>
    </fill>
    <fill>
      <patternFill patternType="solid">
        <fgColor rgb="FFF9CB9C"/>
        <bgColor indexed="64"/>
      </patternFill>
    </fill>
    <fill>
      <patternFill patternType="solid">
        <fgColor rgb="FF93C47D"/>
        <bgColor indexed="64"/>
      </patternFill>
    </fill>
    <fill>
      <patternFill patternType="solid">
        <fgColor rgb="FF3D85C6"/>
        <bgColor indexed="64"/>
      </patternFill>
    </fill>
    <fill>
      <patternFill patternType="solid">
        <fgColor rgb="FF6D9EEB"/>
        <bgColor indexed="64"/>
      </patternFill>
    </fill>
    <fill>
      <patternFill patternType="solid">
        <fgColor rgb="FF6FA8DC"/>
        <bgColor indexed="64"/>
      </patternFill>
    </fill>
    <fill>
      <patternFill patternType="solid">
        <fgColor rgb="FFEAD1DC"/>
        <bgColor indexed="64"/>
      </patternFill>
    </fill>
    <fill>
      <patternFill patternType="solid">
        <fgColor rgb="FFD5A6BD"/>
        <bgColor indexed="64"/>
      </patternFill>
    </fill>
    <fill>
      <patternFill patternType="solid">
        <fgColor rgb="FFF6B26B"/>
        <bgColor indexed="64"/>
      </patternFill>
    </fill>
    <fill>
      <patternFill patternType="solid">
        <fgColor rgb="FFCCCCCC"/>
        <bgColor indexed="64"/>
      </patternFill>
    </fill>
    <fill>
      <patternFill patternType="solid">
        <fgColor rgb="FF00FF00"/>
        <bgColor indexed="64"/>
      </patternFill>
    </fill>
    <fill>
      <patternFill patternType="solid">
        <fgColor rgb="FF6AA84F"/>
        <bgColor indexed="64"/>
      </patternFill>
    </fill>
    <fill>
      <patternFill patternType="solid">
        <fgColor rgb="FF76A5AF"/>
        <bgColor indexed="64"/>
      </patternFill>
    </fill>
    <fill>
      <patternFill patternType="solid">
        <fgColor rgb="FFA4C2F4"/>
        <bgColor indexed="64"/>
      </patternFill>
    </fill>
    <fill>
      <patternFill patternType="solid">
        <fgColor rgb="FFFFF2CC"/>
        <bgColor indexed="64"/>
      </patternFill>
    </fill>
    <fill>
      <patternFill patternType="solid">
        <fgColor rgb="FF8E7CC3"/>
        <bgColor indexed="64"/>
      </patternFill>
    </fill>
    <fill>
      <patternFill patternType="solid">
        <fgColor rgb="FF0000FF"/>
        <bgColor indexed="64"/>
      </patternFill>
    </fill>
    <fill>
      <patternFill patternType="solid">
        <fgColor rgb="FF00FFFF"/>
        <bgColor indexed="64"/>
      </patternFill>
    </fill>
  </fills>
  <borders count="1">
    <border>
      <left/>
      <right/>
      <top/>
      <bottom/>
      <diagonal/>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39">
    <xf numFmtId="0" fontId="0" fillId="0" borderId="0" xfId="0" applyFont="1" applyAlignment="1">
      <alignment/>
    </xf>
    <xf numFmtId="0" fontId="1" fillId="0" borderId="0" xfId="0" applyFont="1"/>
    <xf numFmtId="164" fontId="1" fillId="0" borderId="0" xfId="0" applyNumberFormat="1" applyFont="1"/>
    <xf numFmtId="165" fontId="1" fillId="0" borderId="0" xfId="0" applyNumberFormat="1" applyFont="1"/>
    <xf numFmtId="0" fontId="1" fillId="2" borderId="0" xfId="0" applyFont="1" applyFill="1"/>
    <xf numFmtId="0" fontId="2" fillId="2" borderId="0" xfId="0" applyFont="1"/>
    <xf numFmtId="164" fontId="1" fillId="2" borderId="0" xfId="0" applyNumberFormat="1" applyFont="1"/>
    <xf numFmtId="0" fontId="1" fillId="2" borderId="0" xfId="0" applyFont="1" applyAlignment="1">
      <alignment/>
    </xf>
    <xf numFmtId="165" fontId="1" fillId="2" borderId="0" xfId="0" applyNumberFormat="1" applyFont="1"/>
    <xf numFmtId="0" fontId="1" fillId="3" borderId="0" xfId="0" applyFont="1" applyFill="1"/>
    <xf numFmtId="0" fontId="2" fillId="3" borderId="0" xfId="0" applyFont="1"/>
    <xf numFmtId="164" fontId="1" fillId="3" borderId="0" xfId="0" applyNumberFormat="1" applyFont="1"/>
    <xf numFmtId="0" fontId="1" fillId="3" borderId="0" xfId="0" applyFont="1" applyAlignment="1">
      <alignment/>
    </xf>
    <xf numFmtId="0" fontId="1" fillId="4" borderId="0" xfId="0" applyFont="1" applyFill="1"/>
    <xf numFmtId="0" fontId="2" fillId="4" borderId="0" xfId="0" applyFont="1"/>
    <xf numFmtId="164" fontId="1" fillId="4" borderId="0" xfId="0" applyNumberFormat="1" applyFont="1"/>
    <xf numFmtId="0" fontId="1" fillId="4" borderId="0" xfId="0" applyFont="1" applyAlignment="1">
      <alignment/>
    </xf>
    <xf numFmtId="0" fontId="1" fillId="5" borderId="0" xfId="0" applyFont="1" applyFill="1"/>
    <xf numFmtId="0" fontId="2" fillId="5" borderId="0" xfId="0" applyFont="1"/>
    <xf numFmtId="164" fontId="1" fillId="5" borderId="0" xfId="0" applyNumberFormat="1" applyFont="1"/>
    <xf numFmtId="0" fontId="1" fillId="5" borderId="0" xfId="0" applyFont="1" applyAlignment="1">
      <alignment/>
    </xf>
    <xf numFmtId="0" fontId="1" fillId="6" borderId="0" xfId="0" applyFont="1" applyFill="1"/>
    <xf numFmtId="0" fontId="2" fillId="6" borderId="0" xfId="0" applyFont="1"/>
    <xf numFmtId="164" fontId="1" fillId="6" borderId="0" xfId="0" applyNumberFormat="1" applyFont="1"/>
    <xf numFmtId="0" fontId="1" fillId="6" borderId="0" xfId="0" applyFont="1" applyAlignment="1">
      <alignment/>
    </xf>
    <xf numFmtId="0" fontId="1" fillId="7" borderId="0" xfId="0" applyFont="1" applyFill="1"/>
    <xf numFmtId="0" fontId="2" fillId="7" borderId="0" xfId="0" applyFont="1"/>
    <xf numFmtId="164" fontId="1" fillId="7" borderId="0" xfId="0" applyNumberFormat="1" applyFont="1"/>
    <xf numFmtId="0" fontId="1" fillId="7" borderId="0" xfId="0" applyFont="1" applyAlignment="1">
      <alignment/>
    </xf>
    <xf numFmtId="0" fontId="1" fillId="8" borderId="0" xfId="0" applyFont="1" applyFill="1"/>
    <xf numFmtId="0" fontId="2" fillId="8" borderId="0" xfId="0" applyFont="1"/>
    <xf numFmtId="164" fontId="1" fillId="8" borderId="0" xfId="0" applyNumberFormat="1" applyFont="1"/>
    <xf numFmtId="0" fontId="1" fillId="8" borderId="0" xfId="0" applyFont="1" applyAlignment="1">
      <alignment/>
    </xf>
    <xf numFmtId="0" fontId="1" fillId="9" borderId="0" xfId="0" applyFont="1" applyFill="1"/>
    <xf numFmtId="0" fontId="2" fillId="9" borderId="0" xfId="0" applyFont="1"/>
    <xf numFmtId="164" fontId="1" fillId="9" borderId="0" xfId="0" applyNumberFormat="1" applyFont="1"/>
    <xf numFmtId="0" fontId="1" fillId="9" borderId="0" xfId="0" applyFont="1" applyAlignment="1">
      <alignment/>
    </xf>
    <xf numFmtId="165" fontId="1" fillId="9" borderId="0" xfId="0" applyNumberFormat="1" applyFont="1"/>
    <xf numFmtId="0" fontId="1" fillId="10" borderId="0" xfId="0" applyFont="1" applyFill="1"/>
    <xf numFmtId="0" fontId="2" fillId="10" borderId="0" xfId="0" applyFont="1"/>
    <xf numFmtId="164" fontId="1" fillId="10" borderId="0" xfId="0" applyNumberFormat="1" applyFont="1"/>
    <xf numFmtId="0" fontId="1" fillId="10" borderId="0" xfId="0" applyFont="1" applyAlignment="1">
      <alignment/>
    </xf>
    <xf numFmtId="0" fontId="1" fillId="11" borderId="0" xfId="0" applyFont="1" applyFill="1"/>
    <xf numFmtId="0" fontId="2" fillId="11" borderId="0" xfId="0" applyFont="1"/>
    <xf numFmtId="164" fontId="1" fillId="11" borderId="0" xfId="0" applyNumberFormat="1" applyFont="1"/>
    <xf numFmtId="0" fontId="1" fillId="11" borderId="0" xfId="0" applyFont="1" applyAlignment="1">
      <alignment/>
    </xf>
    <xf numFmtId="165" fontId="1" fillId="11" borderId="0" xfId="0" applyNumberFormat="1" applyFont="1"/>
    <xf numFmtId="0" fontId="1" fillId="12" borderId="0" xfId="0" applyFont="1" applyFill="1"/>
    <xf numFmtId="0" fontId="2" fillId="12" borderId="0" xfId="0" applyFont="1"/>
    <xf numFmtId="164" fontId="1" fillId="12" borderId="0" xfId="0" applyNumberFormat="1" applyFont="1"/>
    <xf numFmtId="0" fontId="1" fillId="12" borderId="0" xfId="0" applyFont="1" applyAlignment="1">
      <alignment/>
    </xf>
    <xf numFmtId="0" fontId="1" fillId="13" borderId="0" xfId="0" applyFont="1" applyFill="1"/>
    <xf numFmtId="0" fontId="2" fillId="13" borderId="0" xfId="0" applyFont="1"/>
    <xf numFmtId="164" fontId="1" fillId="13" borderId="0" xfId="0" applyNumberFormat="1" applyFont="1"/>
    <xf numFmtId="0" fontId="1" fillId="13" borderId="0" xfId="0" applyFont="1" applyAlignment="1">
      <alignment/>
    </xf>
    <xf numFmtId="165" fontId="1" fillId="4" borderId="0" xfId="0" applyNumberFormat="1" applyFont="1"/>
    <xf numFmtId="0" fontId="1" fillId="14" borderId="0" xfId="0" applyFont="1" applyFill="1"/>
    <xf numFmtId="0" fontId="2" fillId="14" borderId="0" xfId="0" applyFont="1"/>
    <xf numFmtId="164" fontId="1" fillId="14" borderId="0" xfId="0" applyNumberFormat="1" applyFont="1"/>
    <xf numFmtId="0" fontId="1" fillId="14" borderId="0" xfId="0" applyFont="1" applyAlignment="1">
      <alignment/>
    </xf>
    <xf numFmtId="0" fontId="1" fillId="15" borderId="0" xfId="0" applyFont="1" applyFill="1"/>
    <xf numFmtId="0" fontId="2" fillId="15" borderId="0" xfId="0" applyFont="1"/>
    <xf numFmtId="164" fontId="1" fillId="15" borderId="0" xfId="0" applyNumberFormat="1" applyFont="1"/>
    <xf numFmtId="0" fontId="1" fillId="15" borderId="0" xfId="0" applyFont="1" applyAlignment="1">
      <alignment/>
    </xf>
    <xf numFmtId="165" fontId="1" fillId="15" borderId="0" xfId="0" applyNumberFormat="1" applyFont="1"/>
    <xf numFmtId="0" fontId="1" fillId="16" borderId="0" xfId="0" applyFont="1" applyFill="1"/>
    <xf numFmtId="0" fontId="2" fillId="16" borderId="0" xfId="0" applyFont="1"/>
    <xf numFmtId="164" fontId="1" fillId="16" borderId="0" xfId="0" applyNumberFormat="1" applyFont="1"/>
    <xf numFmtId="0" fontId="1" fillId="16" borderId="0" xfId="0" applyFont="1" applyAlignment="1">
      <alignment/>
    </xf>
    <xf numFmtId="0" fontId="1" fillId="17" borderId="0" xfId="0" applyFont="1" applyFill="1"/>
    <xf numFmtId="0" fontId="2" fillId="17" borderId="0" xfId="0" applyFont="1"/>
    <xf numFmtId="164" fontId="1" fillId="17" borderId="0" xfId="0" applyNumberFormat="1" applyFont="1"/>
    <xf numFmtId="0" fontId="1" fillId="17" borderId="0" xfId="0" applyFont="1" applyAlignment="1">
      <alignment/>
    </xf>
    <xf numFmtId="0" fontId="1" fillId="18" borderId="0" xfId="0" applyFont="1" applyFill="1"/>
    <xf numFmtId="0" fontId="2" fillId="18" borderId="0" xfId="0" applyFont="1"/>
    <xf numFmtId="164" fontId="1" fillId="18" borderId="0" xfId="0" applyNumberFormat="1" applyFont="1"/>
    <xf numFmtId="0" fontId="1" fillId="18" borderId="0" xfId="0" applyFont="1" applyAlignment="1">
      <alignment/>
    </xf>
    <xf numFmtId="0" fontId="1" fillId="19" borderId="0" xfId="0" applyFont="1" applyFill="1"/>
    <xf numFmtId="0" fontId="2" fillId="19" borderId="0" xfId="0" applyFont="1"/>
    <xf numFmtId="164" fontId="1" fillId="19" borderId="0" xfId="0" applyNumberFormat="1" applyFont="1"/>
    <xf numFmtId="0" fontId="1" fillId="19" borderId="0" xfId="0" applyFont="1" applyAlignment="1">
      <alignment/>
    </xf>
    <xf numFmtId="0" fontId="1" fillId="20" borderId="0" xfId="0" applyFont="1" applyFill="1"/>
    <xf numFmtId="0" fontId="2" fillId="20" borderId="0" xfId="0" applyFont="1"/>
    <xf numFmtId="164" fontId="1" fillId="20" borderId="0" xfId="0" applyNumberFormat="1" applyFont="1"/>
    <xf numFmtId="0" fontId="1" fillId="20" borderId="0" xfId="0" applyFont="1" applyAlignment="1">
      <alignment/>
    </xf>
    <xf numFmtId="165" fontId="1" fillId="20" borderId="0" xfId="0" applyNumberFormat="1" applyFont="1"/>
    <xf numFmtId="0" fontId="1" fillId="21" borderId="0" xfId="0" applyFont="1" applyFill="1"/>
    <xf numFmtId="0" fontId="2" fillId="21" borderId="0" xfId="0" applyFont="1"/>
    <xf numFmtId="164" fontId="1" fillId="21" borderId="0" xfId="0" applyNumberFormat="1" applyFont="1"/>
    <xf numFmtId="0" fontId="1" fillId="21" borderId="0" xfId="0" applyFont="1" applyAlignment="1">
      <alignment/>
    </xf>
    <xf numFmtId="0" fontId="1" fillId="22" borderId="0" xfId="0" applyFont="1" applyFill="1"/>
    <xf numFmtId="0" fontId="2" fillId="22" borderId="0" xfId="0" applyFont="1"/>
    <xf numFmtId="164" fontId="1" fillId="22" borderId="0" xfId="0" applyNumberFormat="1" applyFont="1"/>
    <xf numFmtId="0" fontId="1" fillId="22" borderId="0" xfId="0" applyFont="1" applyAlignment="1">
      <alignment/>
    </xf>
    <xf numFmtId="0" fontId="3" fillId="0" borderId="0" xfId="0" applyFont="1"/>
    <xf numFmtId="0" fontId="1" fillId="0" borderId="0" xfId="0" applyFont="1" quotePrefix="1"/>
    <xf numFmtId="0" fontId="1" fillId="23" borderId="0" xfId="0" applyFont="1" applyFill="1"/>
    <xf numFmtId="0" fontId="2" fillId="23" borderId="0" xfId="0" applyFont="1"/>
    <xf numFmtId="164" fontId="1" fillId="23" borderId="0" xfId="0" applyNumberFormat="1" applyFont="1"/>
    <xf numFmtId="0" fontId="1" fillId="23" borderId="0" xfId="0" applyFont="1" applyAlignment="1">
      <alignment/>
    </xf>
    <xf numFmtId="0" fontId="1" fillId="24" borderId="0" xfId="0" applyFont="1" applyFill="1"/>
    <xf numFmtId="0" fontId="2" fillId="24" borderId="0" xfId="0" applyFont="1"/>
    <xf numFmtId="164" fontId="1" fillId="24" borderId="0" xfId="0" applyNumberFormat="1" applyFont="1"/>
    <xf numFmtId="0" fontId="1" fillId="24" borderId="0" xfId="0" applyFont="1" applyAlignment="1">
      <alignment/>
    </xf>
    <xf numFmtId="0" fontId="1" fillId="25" borderId="0" xfId="0" applyFont="1" applyFill="1"/>
    <xf numFmtId="0" fontId="2" fillId="25" borderId="0" xfId="0" applyFont="1"/>
    <xf numFmtId="164" fontId="1" fillId="25" borderId="0" xfId="0" applyNumberFormat="1" applyFont="1"/>
    <xf numFmtId="0" fontId="1" fillId="25" borderId="0" xfId="0" applyFont="1" applyAlignment="1">
      <alignment/>
    </xf>
    <xf numFmtId="166" fontId="1" fillId="0" borderId="0" xfId="0" applyNumberFormat="1" applyFont="1"/>
    <xf numFmtId="0" fontId="1" fillId="26" borderId="0" xfId="0" applyFont="1" applyFill="1"/>
    <xf numFmtId="0" fontId="2" fillId="26" borderId="0" xfId="0" applyFont="1"/>
    <xf numFmtId="164" fontId="1" fillId="26" borderId="0" xfId="0" applyNumberFormat="1" applyFont="1"/>
    <xf numFmtId="0" fontId="1" fillId="26" borderId="0" xfId="0" applyFont="1" applyAlignment="1">
      <alignment/>
    </xf>
    <xf numFmtId="0" fontId="1" fillId="0" borderId="0" xfId="0" applyFont="1" applyAlignment="1">
      <alignment/>
    </xf>
    <xf numFmtId="165" fontId="1" fillId="13" borderId="0" xfId="0" applyNumberFormat="1" applyFont="1"/>
    <xf numFmtId="0" fontId="1" fillId="27" borderId="0" xfId="0" applyFont="1" applyFill="1"/>
    <xf numFmtId="0" fontId="2" fillId="27" borderId="0" xfId="0" applyFont="1"/>
    <xf numFmtId="164" fontId="1" fillId="27" borderId="0" xfId="0" applyNumberFormat="1" applyFont="1"/>
    <xf numFmtId="0" fontId="1" fillId="27" borderId="0" xfId="0" applyFont="1" applyAlignment="1">
      <alignment/>
    </xf>
    <xf numFmtId="0" fontId="1" fillId="28" borderId="0" xfId="0" applyFont="1" applyFill="1"/>
    <xf numFmtId="0" fontId="2" fillId="28" borderId="0" xfId="0" applyFont="1"/>
    <xf numFmtId="165" fontId="1" fillId="28" borderId="0" xfId="0" applyNumberFormat="1" applyFont="1"/>
    <xf numFmtId="0" fontId="1" fillId="28" borderId="0" xfId="0" applyFont="1" applyAlignment="1">
      <alignment/>
    </xf>
    <xf numFmtId="164" fontId="1" fillId="28" borderId="0" xfId="0" applyNumberFormat="1" applyFont="1"/>
    <xf numFmtId="0" fontId="1" fillId="29" borderId="0" xfId="0" applyFont="1" applyFill="1"/>
    <xf numFmtId="0" fontId="2" fillId="29" borderId="0" xfId="0" applyFont="1"/>
    <xf numFmtId="164" fontId="1" fillId="29" borderId="0" xfId="0" applyNumberFormat="1" applyFont="1"/>
    <xf numFmtId="0" fontId="1" fillId="29" borderId="0" xfId="0" applyFont="1" applyAlignment="1">
      <alignment/>
    </xf>
    <xf numFmtId="0" fontId="1" fillId="30" borderId="0" xfId="0" applyFont="1" applyFill="1"/>
    <xf numFmtId="0" fontId="2" fillId="30" borderId="0" xfId="0" applyFont="1"/>
    <xf numFmtId="164" fontId="1" fillId="30" borderId="0" xfId="0" applyNumberFormat="1" applyFont="1"/>
    <xf numFmtId="0" fontId="1" fillId="30" borderId="0" xfId="0" applyFont="1" applyAlignment="1">
      <alignment/>
    </xf>
    <xf numFmtId="0" fontId="1" fillId="31" borderId="0" xfId="0" applyFont="1" applyFill="1"/>
    <xf numFmtId="0" fontId="2" fillId="31" borderId="0" xfId="0" applyFont="1"/>
    <xf numFmtId="164" fontId="1" fillId="31" borderId="0" xfId="0" applyNumberFormat="1" applyFont="1"/>
    <xf numFmtId="0" fontId="1" fillId="31" borderId="0" xfId="0" applyFont="1" applyAlignment="1">
      <alignment/>
    </xf>
    <xf numFmtId="165" fontId="1" fillId="19" borderId="0" xfId="0" applyNumberFormat="1" applyFont="1"/>
    <xf numFmtId="0" fontId="4" fillId="0" borderId="0" xfId="0" applyFont="1"/>
    <xf numFmtId="0" fontId="4" fillId="0" borderId="0" xfId="0" applyNumberFormat="1" applyFont="1" applyFill="1" applyBorder="1" applyAlignment="1" applyProtection="1">
      <alignment/>
      <protection/>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0" Type="http://schemas.openxmlformats.org/officeDocument/2006/relationships/worksheet" Target="worksheets/sheet18.xml" /><Relationship Id="rId22" Type="http://schemas.openxmlformats.org/officeDocument/2006/relationships/worksheet" Target="worksheets/sheet20.xml" /><Relationship Id="rId21" Type="http://schemas.openxmlformats.org/officeDocument/2006/relationships/worksheet" Target="worksheets/sheet19.xml" /><Relationship Id="rId24" Type="http://schemas.openxmlformats.org/officeDocument/2006/relationships/worksheet" Target="worksheets/sheet22.xml" /><Relationship Id="rId23" Type="http://schemas.openxmlformats.org/officeDocument/2006/relationships/worksheet" Target="worksheets/sheet21.xml" /><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9" Type="http://schemas.openxmlformats.org/officeDocument/2006/relationships/worksheet" Target="worksheets/sheet7.xml" /><Relationship Id="rId26" Type="http://schemas.openxmlformats.org/officeDocument/2006/relationships/worksheet" Target="worksheets/sheet24.xml" /><Relationship Id="rId25" Type="http://schemas.openxmlformats.org/officeDocument/2006/relationships/worksheet" Target="worksheets/sheet23.xml" /><Relationship Id="rId28" Type="http://schemas.openxmlformats.org/officeDocument/2006/relationships/worksheet" Target="worksheets/sheet26.xml" /><Relationship Id="rId27" Type="http://schemas.openxmlformats.org/officeDocument/2006/relationships/worksheet" Target="worksheets/sheet25.xml" /><Relationship Id="rId5" Type="http://schemas.openxmlformats.org/officeDocument/2006/relationships/worksheet" Target="worksheets/sheet3.xml" /><Relationship Id="rId6" Type="http://schemas.openxmlformats.org/officeDocument/2006/relationships/worksheet" Target="worksheets/sheet4.xml" /><Relationship Id="rId29" Type="http://schemas.openxmlformats.org/officeDocument/2006/relationships/worksheet" Target="worksheets/sheet27.xml" /><Relationship Id="rId7" Type="http://schemas.openxmlformats.org/officeDocument/2006/relationships/worksheet" Target="worksheets/sheet5.xml" /><Relationship Id="rId8" Type="http://schemas.openxmlformats.org/officeDocument/2006/relationships/worksheet" Target="worksheets/sheet6.xml" /><Relationship Id="rId31" Type="http://schemas.openxmlformats.org/officeDocument/2006/relationships/worksheet" Target="worksheets/sheet29.xml" /><Relationship Id="rId30" Type="http://schemas.openxmlformats.org/officeDocument/2006/relationships/worksheet" Target="worksheets/sheet28.xml" /><Relationship Id="rId11" Type="http://schemas.openxmlformats.org/officeDocument/2006/relationships/worksheet" Target="worksheets/sheet9.xml" /><Relationship Id="rId33" Type="http://schemas.openxmlformats.org/officeDocument/2006/relationships/worksheet" Target="worksheets/sheet31.xml" /><Relationship Id="rId10" Type="http://schemas.openxmlformats.org/officeDocument/2006/relationships/worksheet" Target="worksheets/sheet8.xml" /><Relationship Id="rId32" Type="http://schemas.openxmlformats.org/officeDocument/2006/relationships/worksheet" Target="worksheets/sheet30.xml" /><Relationship Id="rId13" Type="http://schemas.openxmlformats.org/officeDocument/2006/relationships/worksheet" Target="worksheets/sheet11.xml" /><Relationship Id="rId35" Type="http://schemas.openxmlformats.org/officeDocument/2006/relationships/worksheet" Target="worksheets/sheet33.xml" /><Relationship Id="rId12" Type="http://schemas.openxmlformats.org/officeDocument/2006/relationships/worksheet" Target="worksheets/sheet10.xml" /><Relationship Id="rId34" Type="http://schemas.openxmlformats.org/officeDocument/2006/relationships/worksheet" Target="worksheets/sheet32.xml" /><Relationship Id="rId15" Type="http://schemas.openxmlformats.org/officeDocument/2006/relationships/worksheet" Target="worksheets/sheet13.xml" /><Relationship Id="rId37" Type="http://schemas.openxmlformats.org/officeDocument/2006/relationships/calcChain" Target="calcChain.xml" /><Relationship Id="rId14" Type="http://schemas.openxmlformats.org/officeDocument/2006/relationships/worksheet" Target="worksheets/sheet12.xml" /><Relationship Id="rId36" Type="http://schemas.openxmlformats.org/officeDocument/2006/relationships/sharedStrings" Target="sharedStrings.xml" /><Relationship Id="rId17" Type="http://schemas.openxmlformats.org/officeDocument/2006/relationships/worksheet" Target="worksheets/sheet15.xml" /><Relationship Id="rId16" Type="http://schemas.openxmlformats.org/officeDocument/2006/relationships/worksheet" Target="worksheets/sheet14.xml" /><Relationship Id="rId19" Type="http://schemas.openxmlformats.org/officeDocument/2006/relationships/worksheet" Target="worksheets/sheet17.xml" /><Relationship Id="rId18" Type="http://schemas.openxmlformats.org/officeDocument/2006/relationships/worksheet" Target="worksheets/sheet16.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olympiapress.com" TargetMode="External" /><Relationship Id="rId2" Type="http://schemas.openxmlformats.org/officeDocument/2006/relationships/hyperlink" Target="http://yogavidya.com" TargetMode="External" /><Relationship Id="rId3" Type="http://schemas.openxmlformats.org/officeDocument/2006/relationships/hyperlink" Target="https://www.circleandtriang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605bdba8-bac4-479a-8fac-84a9af3201a7}">
  <sheetPr>
    <outlinePr summaryBelow="0" summaryRight="0"/>
  </sheetPr>
  <dimension ref="A1:X2539"/>
  <sheetViews>
    <sheetView workbookViewId="0" topLeftCell="A1"/>
  </sheetViews>
  <sheetFormatPr defaultColWidth="12.634285714285713" defaultRowHeight="15" customHeight="1"/>
  <cols>
    <col min="1" max="1" width="12.571428571428571" customWidth="1"/>
    <col min="2" max="2" width="45.42857142857143" customWidth="1"/>
    <col min="3" max="3" width="25" customWidth="1"/>
    <col min="4" max="6" width="12.571428571428571" customWidth="1"/>
    <col min="17" max="17" width="60.42857142857143" customWidth="1"/>
    <col min="22" max="22" width="25.142857142857142" customWidth="1"/>
  </cols>
  <sheetData>
    <row r="1" spans="1:24"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ht="15.75" customHeight="1">
      <c r="A2" s="1">
        <v>4.011454E7</v>
      </c>
      <c r="B2" s="1" t="s">
        <v>24</v>
      </c>
      <c r="C2" s="1" t="s">
        <v>25</v>
      </c>
      <c r="D2" s="1" t="s">
        <v>26</v>
      </c>
      <c r="E2" s="1" t="s">
        <v>27</v>
      </c>
      <c r="F2" s="1" t="str">
        <f t="shared" si="0" ref="F2:G2">""</f>
        <v/>
      </c>
      <c r="G2" s="1" t="str">
        <f t="shared" si="0"/>
        <v/>
      </c>
      <c r="H2" s="1">
        <v>0.0</v>
      </c>
      <c r="I2" s="1">
        <v>3.98</v>
      </c>
      <c r="J2" s="1" t="s">
        <v>28</v>
      </c>
      <c r="K2" s="1" t="s">
        <v>29</v>
      </c>
      <c r="L2" s="1">
        <v>391.0</v>
      </c>
      <c r="M2" s="1">
        <v>2018.0</v>
      </c>
      <c r="P2" s="2">
        <v>45303.0</v>
      </c>
      <c r="Q2" s="1" t="s">
        <v>30</v>
      </c>
      <c r="R2" s="1" t="s">
        <v>31</v>
      </c>
      <c r="S2" s="1" t="s">
        <v>32</v>
      </c>
      <c r="W2" s="1">
        <v>0.0</v>
      </c>
      <c r="X2" s="1">
        <v>0.0</v>
      </c>
    </row>
    <row r="3" spans="1:24" ht="15.75" customHeight="1">
      <c r="A3" s="1">
        <v>4.1954426E7</v>
      </c>
      <c r="B3" s="1" t="s">
        <v>33</v>
      </c>
      <c r="C3" s="1" t="s">
        <v>34</v>
      </c>
      <c r="D3" s="1" t="s">
        <v>35</v>
      </c>
      <c r="F3" s="1" t="str">
        <f>"0241304539"</f>
        <v>0241304539</v>
      </c>
      <c r="G3" s="1" t="str">
        <f>"9780241304532"</f>
        <v>9780241304532</v>
      </c>
      <c r="H3" s="1">
        <v>0.0</v>
      </c>
      <c r="I3" s="1">
        <v>4.07</v>
      </c>
      <c r="J3" s="1" t="s">
        <v>36</v>
      </c>
      <c r="K3" s="1" t="s">
        <v>37</v>
      </c>
      <c r="L3" s="1">
        <v>704.0</v>
      </c>
      <c r="M3" s="1">
        <v>2019.0</v>
      </c>
      <c r="N3" s="1">
        <v>2019.0</v>
      </c>
      <c r="P3" s="2">
        <v>44464.0</v>
      </c>
      <c r="Q3" s="1" t="s">
        <v>38</v>
      </c>
      <c r="R3" s="1" t="s">
        <v>39</v>
      </c>
      <c r="S3" s="1" t="s">
        <v>32</v>
      </c>
      <c r="W3" s="1">
        <v>0.0</v>
      </c>
      <c r="X3" s="1">
        <v>0.0</v>
      </c>
    </row>
    <row r="4" spans="1:24" ht="15.75" customHeight="1">
      <c r="A4" s="1">
        <v>584608.0</v>
      </c>
      <c r="B4" s="1" t="s">
        <v>40</v>
      </c>
      <c r="C4" s="1" t="s">
        <v>41</v>
      </c>
      <c r="D4" s="1" t="s">
        <v>42</v>
      </c>
      <c r="F4" s="1" t="str">
        <f>"0486200108"</f>
        <v>0486200108</v>
      </c>
      <c r="G4" s="1" t="str">
        <f>"9780486200101"</f>
        <v>9780486200101</v>
      </c>
      <c r="H4" s="1">
        <v>0.0</v>
      </c>
      <c r="I4" s="1">
        <v>3.76</v>
      </c>
      <c r="J4" s="1" t="s">
        <v>43</v>
      </c>
      <c r="K4" s="1" t="s">
        <v>44</v>
      </c>
      <c r="L4" s="1">
        <v>160.0</v>
      </c>
      <c r="M4" s="1">
        <v>1952.0</v>
      </c>
      <c r="N4" s="1">
        <v>1936.0</v>
      </c>
      <c r="P4" s="2">
        <v>45153.0</v>
      </c>
      <c r="Q4" s="1" t="s">
        <v>45</v>
      </c>
      <c r="R4" s="1" t="s">
        <v>46</v>
      </c>
      <c r="S4" s="1" t="s">
        <v>32</v>
      </c>
      <c r="W4" s="1">
        <v>0.0</v>
      </c>
      <c r="X4" s="1">
        <v>0.0</v>
      </c>
    </row>
    <row r="5" spans="1:24" ht="15.75" customHeight="1">
      <c r="A5" s="1">
        <v>653352.0</v>
      </c>
      <c r="B5" s="1" t="s">
        <v>47</v>
      </c>
      <c r="C5" s="1" t="s">
        <v>41</v>
      </c>
      <c r="D5" s="1" t="s">
        <v>42</v>
      </c>
      <c r="F5" s="1" t="str">
        <f>"0631194789"</f>
        <v>0631194789</v>
      </c>
      <c r="G5" s="1" t="str">
        <f>"9780631194781"</f>
        <v>9780631194781</v>
      </c>
      <c r="H5" s="1">
        <v>0.0</v>
      </c>
      <c r="I5" s="1">
        <v>4.03</v>
      </c>
      <c r="J5" s="1" t="s">
        <v>48</v>
      </c>
      <c r="K5" s="1" t="s">
        <v>44</v>
      </c>
      <c r="L5" s="1">
        <v>544.0</v>
      </c>
      <c r="M5" s="1">
        <v>1994.0</v>
      </c>
      <c r="N5" s="1">
        <v>1992.0</v>
      </c>
      <c r="P5" s="2">
        <v>44444.0</v>
      </c>
      <c r="Q5" s="1" t="s">
        <v>49</v>
      </c>
      <c r="R5" s="1" t="s">
        <v>50</v>
      </c>
      <c r="S5" s="1" t="s">
        <v>32</v>
      </c>
      <c r="W5" s="1">
        <v>0.0</v>
      </c>
      <c r="X5" s="1">
        <v>0.0</v>
      </c>
    </row>
    <row r="6" spans="1:24" ht="15.75" customHeight="1">
      <c r="A6" s="1">
        <v>2.5614595E7</v>
      </c>
      <c r="B6" s="1" t="s">
        <v>51</v>
      </c>
      <c r="C6" s="1" t="s">
        <v>52</v>
      </c>
      <c r="D6" s="1" t="s">
        <v>53</v>
      </c>
      <c r="F6" s="1" t="str">
        <f>"1594204837"</f>
        <v>1594204837</v>
      </c>
      <c r="G6" s="1" t="str">
        <f>"9781594204838"</f>
        <v>9781594204838</v>
      </c>
      <c r="H6" s="1">
        <v>0.0</v>
      </c>
      <c r="I6" s="1">
        <v>3.29</v>
      </c>
      <c r="J6" s="1" t="s">
        <v>54</v>
      </c>
      <c r="K6" s="1" t="s">
        <v>37</v>
      </c>
      <c r="L6" s="1">
        <v>288.0</v>
      </c>
      <c r="M6" s="1">
        <v>2016.0</v>
      </c>
      <c r="N6" s="1">
        <v>2016.0</v>
      </c>
      <c r="P6" s="3">
        <v>45243.0</v>
      </c>
      <c r="Q6" s="1" t="s">
        <v>55</v>
      </c>
      <c r="R6" s="1" t="s">
        <v>56</v>
      </c>
      <c r="S6" s="1" t="s">
        <v>32</v>
      </c>
      <c r="W6" s="1">
        <v>0.0</v>
      </c>
      <c r="X6" s="1">
        <v>0.0</v>
      </c>
    </row>
    <row r="7" spans="1:24" ht="15.75" customHeight="1">
      <c r="A7" s="1">
        <v>423051.0</v>
      </c>
      <c r="B7" s="1" t="s">
        <v>57</v>
      </c>
      <c r="C7" s="1" t="s">
        <v>58</v>
      </c>
      <c r="D7" s="1" t="s">
        <v>59</v>
      </c>
      <c r="E7" s="1" t="s">
        <v>60</v>
      </c>
      <c r="F7" s="1" t="str">
        <f>"0140512357"</f>
        <v>0140512357</v>
      </c>
      <c r="G7" s="1" t="str">
        <f>"9780140512359"</f>
        <v>9780140512359</v>
      </c>
      <c r="H7" s="1">
        <v>0.0</v>
      </c>
      <c r="I7" s="1">
        <v>4.29</v>
      </c>
      <c r="J7" s="1" t="s">
        <v>61</v>
      </c>
      <c r="K7" s="1" t="s">
        <v>44</v>
      </c>
      <c r="L7" s="1">
        <v>480.0</v>
      </c>
      <c r="M7" s="1">
        <v>1992.0</v>
      </c>
      <c r="N7" s="1">
        <v>1951.0</v>
      </c>
      <c r="P7" s="2">
        <v>44444.0</v>
      </c>
      <c r="Q7" s="1" t="s">
        <v>49</v>
      </c>
      <c r="R7" s="1" t="s">
        <v>62</v>
      </c>
      <c r="S7" s="1" t="s">
        <v>32</v>
      </c>
      <c r="W7" s="1">
        <v>0.0</v>
      </c>
      <c r="X7" s="1">
        <v>0.0</v>
      </c>
    </row>
    <row r="8" spans="1:24" ht="15.75" customHeight="1">
      <c r="A8" s="1">
        <v>5.1003623E7</v>
      </c>
      <c r="B8" s="1" t="s">
        <v>63</v>
      </c>
      <c r="C8" s="1" t="s">
        <v>64</v>
      </c>
      <c r="D8" s="1" t="s">
        <v>65</v>
      </c>
      <c r="F8" s="1" t="str">
        <f>"1784743763"</f>
        <v>1784743763</v>
      </c>
      <c r="G8" s="1" t="str">
        <f>"9781784743765"</f>
        <v>9781784743765</v>
      </c>
      <c r="H8" s="1">
        <v>0.0</v>
      </c>
      <c r="I8" s="1">
        <v>3.73</v>
      </c>
      <c r="J8" s="1" t="s">
        <v>66</v>
      </c>
      <c r="K8" s="1" t="s">
        <v>37</v>
      </c>
      <c r="L8" s="1">
        <v>496.0</v>
      </c>
      <c r="M8" s="1">
        <v>2021.0</v>
      </c>
      <c r="N8" s="1">
        <v>2021.0</v>
      </c>
      <c r="P8" s="3">
        <v>44484.0</v>
      </c>
      <c r="Q8" s="1" t="s">
        <v>32</v>
      </c>
      <c r="R8" s="1" t="s">
        <v>67</v>
      </c>
      <c r="S8" s="1" t="s">
        <v>32</v>
      </c>
      <c r="W8" s="1">
        <v>0.0</v>
      </c>
      <c r="X8" s="1">
        <v>0.0</v>
      </c>
    </row>
    <row r="9" spans="1:24" ht="15.75" customHeight="1">
      <c r="A9" s="1">
        <v>41219.0</v>
      </c>
      <c r="B9" s="1" t="s">
        <v>68</v>
      </c>
      <c r="C9" s="1" t="s">
        <v>64</v>
      </c>
      <c r="D9" s="1" t="s">
        <v>65</v>
      </c>
      <c r="F9" s="1" t="str">
        <f>"0679735909"</f>
        <v>0679735909</v>
      </c>
      <c r="G9" s="1" t="str">
        <f>"9780679735908"</f>
        <v>9780679735908</v>
      </c>
      <c r="H9" s="1">
        <v>0.0</v>
      </c>
      <c r="I9" s="1">
        <v>3.89</v>
      </c>
      <c r="J9" s="1" t="s">
        <v>69</v>
      </c>
      <c r="K9" s="1" t="s">
        <v>44</v>
      </c>
      <c r="L9" s="1">
        <v>555.0</v>
      </c>
      <c r="M9" s="1">
        <v>1991.0</v>
      </c>
      <c r="N9" s="1">
        <v>1990.0</v>
      </c>
      <c r="P9" s="2">
        <v>45109.0</v>
      </c>
      <c r="Q9" s="1" t="s">
        <v>70</v>
      </c>
      <c r="R9" s="1" t="s">
        <v>71</v>
      </c>
      <c r="S9" s="1" t="s">
        <v>32</v>
      </c>
      <c r="W9" s="1">
        <v>0.0</v>
      </c>
      <c r="X9" s="1">
        <v>0.0</v>
      </c>
    </row>
    <row r="10" spans="1:24" ht="15.75" customHeight="1">
      <c r="A10" s="1">
        <v>2388828.0</v>
      </c>
      <c r="B10" s="1" t="s">
        <v>72</v>
      </c>
      <c r="C10" s="1" t="s">
        <v>73</v>
      </c>
      <c r="D10" s="1" t="s">
        <v>74</v>
      </c>
      <c r="F10" s="1" t="str">
        <f>"0262523191"</f>
        <v>0262523191</v>
      </c>
      <c r="G10" s="1" t="str">
        <f>"9780262523196"</f>
        <v>9780262523196</v>
      </c>
      <c r="H10" s="1">
        <v>0.0</v>
      </c>
      <c r="I10" s="1">
        <v>3.76</v>
      </c>
      <c r="J10" s="1" t="s">
        <v>75</v>
      </c>
      <c r="K10" s="1" t="s">
        <v>44</v>
      </c>
      <c r="L10" s="1">
        <v>640.0</v>
      </c>
      <c r="M10" s="1">
        <v>2001.0</v>
      </c>
      <c r="N10" s="1">
        <v>2000.0</v>
      </c>
      <c r="P10" s="3">
        <v>44192.0</v>
      </c>
      <c r="Q10" s="1" t="s">
        <v>32</v>
      </c>
      <c r="R10" s="1" t="s">
        <v>76</v>
      </c>
      <c r="S10" s="1" t="s">
        <v>32</v>
      </c>
      <c r="W10" s="1">
        <v>0.0</v>
      </c>
      <c r="X10" s="1">
        <v>0.0</v>
      </c>
    </row>
    <row r="11" spans="1:24" ht="15.75" customHeight="1">
      <c r="A11" s="1">
        <v>5.1285194E7</v>
      </c>
      <c r="B11" s="1" t="s">
        <v>77</v>
      </c>
      <c r="C11" s="1" t="s">
        <v>73</v>
      </c>
      <c r="D11" s="1" t="s">
        <v>74</v>
      </c>
      <c r="F11" s="1" t="str">
        <f>"022663406X"</f>
        <v>022663406X</v>
      </c>
      <c r="G11" s="1" t="str">
        <f>"9780226634067"</f>
        <v>9780226634067</v>
      </c>
      <c r="H11" s="1">
        <v>0.0</v>
      </c>
      <c r="I11" s="1">
        <v>3.5</v>
      </c>
      <c r="J11" s="1" t="s">
        <v>78</v>
      </c>
      <c r="K11" s="1" t="s">
        <v>29</v>
      </c>
      <c r="L11" s="1">
        <v>278.0</v>
      </c>
      <c r="M11" s="1">
        <v>2019.0</v>
      </c>
      <c r="P11" s="3">
        <v>44192.0</v>
      </c>
      <c r="Q11" s="1" t="s">
        <v>32</v>
      </c>
      <c r="R11" s="1" t="s">
        <v>79</v>
      </c>
      <c r="S11" s="1" t="s">
        <v>32</v>
      </c>
      <c r="W11" s="1">
        <v>0.0</v>
      </c>
      <c r="X11" s="1">
        <v>0.0</v>
      </c>
    </row>
    <row r="12" spans="1:24" ht="15.75" customHeight="1">
      <c r="A12" s="1">
        <v>2.2929551E7</v>
      </c>
      <c r="B12" s="1" t="s">
        <v>80</v>
      </c>
      <c r="C12" s="1" t="s">
        <v>81</v>
      </c>
      <c r="D12" s="1" t="s">
        <v>82</v>
      </c>
      <c r="F12" s="1" t="str">
        <f>"1620408023"</f>
        <v>1620408023</v>
      </c>
      <c r="G12" s="1" t="str">
        <f>"9781620408025"</f>
        <v>9781620408025</v>
      </c>
      <c r="H12" s="1">
        <v>0.0</v>
      </c>
      <c r="I12" s="1">
        <v>3.61</v>
      </c>
      <c r="J12" s="1" t="s">
        <v>83</v>
      </c>
      <c r="K12" s="1" t="s">
        <v>37</v>
      </c>
      <c r="L12" s="1">
        <v>240.0</v>
      </c>
      <c r="M12" s="1">
        <v>2016.0</v>
      </c>
      <c r="N12" s="1">
        <v>2015.0</v>
      </c>
      <c r="P12" s="3">
        <v>45243.0</v>
      </c>
      <c r="Q12" s="1" t="s">
        <v>55</v>
      </c>
      <c r="R12" s="1" t="s">
        <v>84</v>
      </c>
      <c r="S12" s="1" t="s">
        <v>32</v>
      </c>
      <c r="W12" s="1">
        <v>0.0</v>
      </c>
      <c r="X12" s="1">
        <v>0.0</v>
      </c>
    </row>
    <row r="13" spans="1:24" ht="15.75" customHeight="1">
      <c r="A13" s="1">
        <v>5.430383E7</v>
      </c>
      <c r="B13" s="1" t="s">
        <v>85</v>
      </c>
      <c r="C13" s="1" t="s">
        <v>86</v>
      </c>
      <c r="D13" s="1" t="s">
        <v>87</v>
      </c>
      <c r="F13" s="1" t="str">
        <f>"1982160985"</f>
        <v>1982160985</v>
      </c>
      <c r="G13" s="1" t="str">
        <f>"9781982160982"</f>
        <v>9781982160982</v>
      </c>
      <c r="H13" s="1">
        <v>0.0</v>
      </c>
      <c r="I13" s="1">
        <v>3.58</v>
      </c>
      <c r="J13" s="1" t="s">
        <v>88</v>
      </c>
      <c r="K13" s="1" t="s">
        <v>37</v>
      </c>
      <c r="L13" s="1">
        <v>256.0</v>
      </c>
      <c r="M13" s="1">
        <v>2021.0</v>
      </c>
      <c r="N13" s="1">
        <v>2021.0</v>
      </c>
      <c r="P13" s="2">
        <v>45168.0</v>
      </c>
      <c r="Q13" s="1" t="s">
        <v>32</v>
      </c>
      <c r="R13" s="1" t="s">
        <v>89</v>
      </c>
      <c r="S13" s="1" t="s">
        <v>32</v>
      </c>
      <c r="W13" s="1">
        <v>0.0</v>
      </c>
      <c r="X13" s="1">
        <v>0.0</v>
      </c>
    </row>
    <row r="14" spans="1:24" ht="15.75" customHeight="1">
      <c r="A14" s="1">
        <v>332792.0</v>
      </c>
      <c r="B14" s="1" t="s">
        <v>90</v>
      </c>
      <c r="C14" s="1" t="s">
        <v>91</v>
      </c>
      <c r="D14" s="1" t="s">
        <v>92</v>
      </c>
      <c r="F14" s="1" t="str">
        <f>"0471293091"</f>
        <v>0471293091</v>
      </c>
      <c r="G14" s="1" t="str">
        <f>"9780471293095"</f>
        <v>9780471293095</v>
      </c>
      <c r="H14" s="1">
        <v>0.0</v>
      </c>
      <c r="I14" s="1">
        <v>4.17</v>
      </c>
      <c r="J14" s="1" t="s">
        <v>93</v>
      </c>
      <c r="K14" s="1" t="s">
        <v>37</v>
      </c>
      <c r="L14" s="1">
        <v>274.0</v>
      </c>
      <c r="M14" s="1">
        <v>1998.0</v>
      </c>
      <c r="N14" s="1">
        <v>1961.0</v>
      </c>
      <c r="P14" s="3">
        <v>44479.0</v>
      </c>
      <c r="Q14" s="1" t="s">
        <v>32</v>
      </c>
      <c r="R14" s="1" t="s">
        <v>94</v>
      </c>
      <c r="S14" s="1" t="s">
        <v>32</v>
      </c>
      <c r="W14" s="1">
        <v>0.0</v>
      </c>
      <c r="X14" s="1">
        <v>0.0</v>
      </c>
    </row>
    <row r="15" spans="1:24" ht="15.75" customHeight="1">
      <c r="A15" s="4">
        <v>100100.0</v>
      </c>
      <c r="B15" s="4" t="s">
        <v>95</v>
      </c>
      <c r="C15" s="4" t="s">
        <v>96</v>
      </c>
      <c r="D15" s="4" t="s">
        <v>97</v>
      </c>
      <c r="E15" s="5"/>
      <c r="F15" s="4" t="str">
        <f>"0060936991"</f>
        <v>0060936991</v>
      </c>
      <c r="G15" s="4" t="str">
        <f>"9780060936990"</f>
        <v>9780060936990</v>
      </c>
      <c r="H15" s="4">
        <v>0.0</v>
      </c>
      <c r="I15" s="4">
        <v>4.41</v>
      </c>
      <c r="J15" s="4" t="s">
        <v>98</v>
      </c>
      <c r="K15" s="4" t="s">
        <v>44</v>
      </c>
      <c r="L15" s="4">
        <v>704.0</v>
      </c>
      <c r="M15" s="4">
        <v>2001.0</v>
      </c>
      <c r="N15" s="4">
        <v>1962.0</v>
      </c>
      <c r="O15" s="5"/>
      <c r="P15" s="6">
        <v>45096.0</v>
      </c>
      <c r="Q15" s="7" t="s">
        <v>10987</v>
      </c>
      <c r="R15" s="4" t="s">
        <v>100</v>
      </c>
      <c r="S15" s="4" t="s">
        <v>32</v>
      </c>
      <c r="T15" s="5"/>
      <c r="U15" s="5"/>
      <c r="V15" s="5"/>
      <c r="W15" s="4">
        <v>0.0</v>
      </c>
      <c r="X15" s="4">
        <v>0.0</v>
      </c>
    </row>
    <row r="16" spans="1:24" ht="15.75" customHeight="1">
      <c r="A16" s="4">
        <v>403110.0</v>
      </c>
      <c r="B16" s="4" t="s">
        <v>101</v>
      </c>
      <c r="C16" s="4" t="s">
        <v>96</v>
      </c>
      <c r="D16" s="4" t="s">
        <v>97</v>
      </c>
      <c r="E16" s="5"/>
      <c r="F16" s="4" t="str">
        <f>"0804702667"</f>
        <v>0804702667</v>
      </c>
      <c r="G16" s="4" t="str">
        <f>"9780804702669"</f>
        <v>9780804702669</v>
      </c>
      <c r="H16" s="4">
        <v>0.0</v>
      </c>
      <c r="I16" s="4">
        <v>4.28</v>
      </c>
      <c r="J16" s="4" t="s">
        <v>102</v>
      </c>
      <c r="K16" s="4" t="s">
        <v>44</v>
      </c>
      <c r="L16" s="4">
        <v>128.0</v>
      </c>
      <c r="M16" s="4">
        <v>1965.0</v>
      </c>
      <c r="N16" s="4">
        <v>1965.0</v>
      </c>
      <c r="O16" s="5"/>
      <c r="P16" s="8">
        <v>44484.0</v>
      </c>
      <c r="Q16" s="7" t="s">
        <v>10987</v>
      </c>
      <c r="R16" s="4" t="s">
        <v>103</v>
      </c>
      <c r="S16" s="4" t="s">
        <v>32</v>
      </c>
      <c r="T16" s="5"/>
      <c r="U16" s="5"/>
      <c r="V16" s="5"/>
      <c r="W16" s="4">
        <v>0.0</v>
      </c>
      <c r="X16" s="4">
        <v>0.0</v>
      </c>
    </row>
    <row r="17" spans="1:24" ht="15.75" customHeight="1">
      <c r="A17" s="1">
        <v>264221.0</v>
      </c>
      <c r="B17" s="1" t="s">
        <v>104</v>
      </c>
      <c r="C17" s="1" t="s">
        <v>105</v>
      </c>
      <c r="D17" s="1" t="s">
        <v>106</v>
      </c>
      <c r="E17" s="1" t="s">
        <v>107</v>
      </c>
      <c r="F17" s="1" t="str">
        <f>"0912647094"</f>
        <v>0912647094</v>
      </c>
      <c r="G17" s="1" t="str">
        <f>"9780912647098"</f>
        <v>9780912647098</v>
      </c>
      <c r="H17" s="1">
        <v>0.0</v>
      </c>
      <c r="I17" s="1">
        <v>3.34</v>
      </c>
      <c r="J17" s="1" t="s">
        <v>108</v>
      </c>
      <c r="K17" s="1" t="s">
        <v>37</v>
      </c>
      <c r="L17" s="1">
        <v>439.0</v>
      </c>
      <c r="M17" s="1">
        <v>1992.0</v>
      </c>
      <c r="N17" s="1">
        <v>1992.0</v>
      </c>
      <c r="P17" s="2">
        <v>44831.0</v>
      </c>
      <c r="Q17" s="1" t="s">
        <v>109</v>
      </c>
      <c r="R17" s="1" t="s">
        <v>110</v>
      </c>
      <c r="S17" s="1" t="s">
        <v>32</v>
      </c>
      <c r="W17" s="1">
        <v>0.0</v>
      </c>
      <c r="X17" s="1">
        <v>0.0</v>
      </c>
    </row>
    <row r="18" spans="1:24" ht="15.75" customHeight="1">
      <c r="A18" s="1">
        <v>5.3483643E7</v>
      </c>
      <c r="B18" s="1" t="s">
        <v>111</v>
      </c>
      <c r="C18" s="1" t="s">
        <v>112</v>
      </c>
      <c r="D18" s="1" t="s">
        <v>113</v>
      </c>
      <c r="F18" s="1" t="str">
        <f>"1484259971"</f>
        <v>1484259971</v>
      </c>
      <c r="G18" s="1" t="str">
        <f>"9781484259979"</f>
        <v>9781484259979</v>
      </c>
      <c r="H18" s="1">
        <v>0.0</v>
      </c>
      <c r="I18" s="1">
        <v>4.2</v>
      </c>
      <c r="J18" s="1" t="s">
        <v>114</v>
      </c>
      <c r="K18" s="1" t="s">
        <v>44</v>
      </c>
      <c r="L18" s="1">
        <v>809.0</v>
      </c>
      <c r="M18" s="1">
        <v>2020.0</v>
      </c>
      <c r="P18" s="2">
        <v>45136.0</v>
      </c>
      <c r="Q18" s="1" t="s">
        <v>115</v>
      </c>
      <c r="R18" s="1" t="s">
        <v>116</v>
      </c>
      <c r="S18" s="1" t="s">
        <v>32</v>
      </c>
      <c r="W18" s="1">
        <v>0.0</v>
      </c>
      <c r="X18" s="1">
        <v>1.0</v>
      </c>
    </row>
    <row r="19" spans="1:24" ht="15.75" customHeight="1">
      <c r="A19" s="1">
        <v>9854264.0</v>
      </c>
      <c r="B19" s="1" t="s">
        <v>117</v>
      </c>
      <c r="C19" s="1" t="s">
        <v>118</v>
      </c>
      <c r="D19" s="1" t="s">
        <v>119</v>
      </c>
      <c r="E19" s="1" t="s">
        <v>120</v>
      </c>
      <c r="F19" s="1" t="str">
        <f>"1568586418"</f>
        <v>1568586418</v>
      </c>
      <c r="G19" s="1" t="str">
        <f>"9781568586410"</f>
        <v>9781568586410</v>
      </c>
      <c r="H19" s="1">
        <v>0.0</v>
      </c>
      <c r="I19" s="1">
        <v>4.3</v>
      </c>
      <c r="J19" s="1" t="s">
        <v>121</v>
      </c>
      <c r="K19" s="1" t="s">
        <v>44</v>
      </c>
      <c r="L19" s="1">
        <v>480.0</v>
      </c>
      <c r="M19" s="1">
        <v>2011.0</v>
      </c>
      <c r="N19" s="1">
        <v>2011.0</v>
      </c>
      <c r="P19" s="3">
        <v>45280.0</v>
      </c>
      <c r="Q19" s="1" t="s">
        <v>55</v>
      </c>
      <c r="R19" s="1" t="s">
        <v>122</v>
      </c>
      <c r="S19" s="1" t="s">
        <v>32</v>
      </c>
      <c r="W19" s="1">
        <v>0.0</v>
      </c>
      <c r="X19" s="1">
        <v>0.0</v>
      </c>
    </row>
    <row r="20" spans="1:24" ht="15.75" customHeight="1">
      <c r="A20" s="1">
        <v>597614.0</v>
      </c>
      <c r="B20" s="1" t="s">
        <v>123</v>
      </c>
      <c r="C20" s="1" t="s">
        <v>124</v>
      </c>
      <c r="D20" s="1" t="s">
        <v>125</v>
      </c>
      <c r="F20" s="1" t="str">
        <f>"1852424036"</f>
        <v>1852424036</v>
      </c>
      <c r="G20" s="1" t="str">
        <f>"9781852424039"</f>
        <v>9781852424039</v>
      </c>
      <c r="H20" s="1">
        <v>0.0</v>
      </c>
      <c r="I20" s="1">
        <v>3.81</v>
      </c>
      <c r="J20" s="1" t="s">
        <v>126</v>
      </c>
      <c r="K20" s="1" t="s">
        <v>44</v>
      </c>
      <c r="L20" s="1">
        <v>200.0</v>
      </c>
      <c r="M20" s="1">
        <v>2000.0</v>
      </c>
      <c r="N20" s="1">
        <v>1995.0</v>
      </c>
      <c r="P20" s="2">
        <v>43969.0</v>
      </c>
      <c r="Q20" s="1" t="s">
        <v>127</v>
      </c>
      <c r="R20" s="1" t="s">
        <v>128</v>
      </c>
      <c r="S20" s="1" t="s">
        <v>32</v>
      </c>
      <c r="W20" s="1">
        <v>0.0</v>
      </c>
      <c r="X20" s="1">
        <v>0.0</v>
      </c>
    </row>
    <row r="21" spans="1:24" ht="15.75" customHeight="1">
      <c r="A21" s="1">
        <v>1618942.0</v>
      </c>
      <c r="B21" s="1" t="s">
        <v>129</v>
      </c>
      <c r="C21" s="1" t="s">
        <v>130</v>
      </c>
      <c r="D21" s="1" t="s">
        <v>131</v>
      </c>
      <c r="F21" s="1" t="str">
        <f>"093399933X"</f>
        <v>093399933X</v>
      </c>
      <c r="G21" s="1" t="str">
        <f>"9780933999336"</f>
        <v>9780933999336</v>
      </c>
      <c r="H21" s="1">
        <v>0.0</v>
      </c>
      <c r="I21" s="1">
        <v>3.96</v>
      </c>
      <c r="J21" s="1" t="s">
        <v>132</v>
      </c>
      <c r="K21" s="1" t="s">
        <v>44</v>
      </c>
      <c r="L21" s="1">
        <v>142.0</v>
      </c>
      <c r="M21" s="1">
        <v>2008.0</v>
      </c>
      <c r="N21" s="1">
        <v>1993.0</v>
      </c>
      <c r="P21" s="2">
        <v>44808.0</v>
      </c>
      <c r="Q21" s="1" t="s">
        <v>32</v>
      </c>
      <c r="R21" s="1" t="s">
        <v>133</v>
      </c>
      <c r="S21" s="1" t="s">
        <v>32</v>
      </c>
      <c r="W21" s="1">
        <v>0.0</v>
      </c>
      <c r="X21" s="1">
        <v>0.0</v>
      </c>
    </row>
    <row r="22" spans="1:24" ht="15.75" customHeight="1">
      <c r="A22" s="1">
        <v>5.7295388E7</v>
      </c>
      <c r="B22" s="1" t="s">
        <v>134</v>
      </c>
      <c r="C22" s="1" t="s">
        <v>135</v>
      </c>
      <c r="D22" s="1" t="s">
        <v>136</v>
      </c>
      <c r="F22" s="1" t="str">
        <f>"1913462420"</f>
        <v>1913462420</v>
      </c>
      <c r="G22" s="1" t="str">
        <f>"9781913462420"</f>
        <v>9781913462420</v>
      </c>
      <c r="H22" s="1">
        <v>0.0</v>
      </c>
      <c r="I22" s="1">
        <v>3.59</v>
      </c>
      <c r="J22" s="1" t="s">
        <v>137</v>
      </c>
      <c r="K22" s="1" t="s">
        <v>44</v>
      </c>
      <c r="L22" s="1">
        <v>180.0</v>
      </c>
      <c r="M22" s="1">
        <v>2021.0</v>
      </c>
      <c r="N22" s="1">
        <v>2021.0</v>
      </c>
      <c r="P22" s="2">
        <v>44402.0</v>
      </c>
      <c r="Q22" s="1" t="s">
        <v>138</v>
      </c>
      <c r="R22" s="1" t="s">
        <v>139</v>
      </c>
      <c r="S22" s="1" t="s">
        <v>32</v>
      </c>
      <c r="W22" s="1">
        <v>0.0</v>
      </c>
      <c r="X22" s="1">
        <v>0.0</v>
      </c>
    </row>
    <row r="23" spans="1:24" ht="15.75" customHeight="1">
      <c r="A23" s="1">
        <v>5.2045757E7</v>
      </c>
      <c r="B23" s="1" t="s">
        <v>140</v>
      </c>
      <c r="C23" s="1" t="s">
        <v>141</v>
      </c>
      <c r="D23" s="1" t="s">
        <v>142</v>
      </c>
      <c r="E23" s="1" t="s">
        <v>143</v>
      </c>
      <c r="F23" s="1" t="str">
        <f>"191309717X"</f>
        <v>191309717X</v>
      </c>
      <c r="G23" s="1" t="str">
        <f>"9781913097172"</f>
        <v>9781913097172</v>
      </c>
      <c r="H23" s="1">
        <v>0.0</v>
      </c>
      <c r="I23" s="1">
        <v>4.19</v>
      </c>
      <c r="J23" s="1" t="s">
        <v>144</v>
      </c>
      <c r="K23" s="1" t="s">
        <v>44</v>
      </c>
      <c r="L23" s="1">
        <v>112.0</v>
      </c>
      <c r="M23" s="1">
        <v>2020.0</v>
      </c>
      <c r="N23" s="1">
        <v>2017.0</v>
      </c>
      <c r="P23" s="3">
        <v>45255.0</v>
      </c>
      <c r="Q23" s="1" t="s">
        <v>145</v>
      </c>
      <c r="R23" s="1" t="s">
        <v>146</v>
      </c>
      <c r="S23" s="1" t="s">
        <v>32</v>
      </c>
      <c r="W23" s="1">
        <v>0.0</v>
      </c>
      <c r="X23" s="1">
        <v>0.0</v>
      </c>
    </row>
    <row r="24" spans="1:24" ht="15.75" customHeight="1">
      <c r="A24" s="1">
        <v>7419781.0</v>
      </c>
      <c r="B24" s="1" t="s">
        <v>147</v>
      </c>
      <c r="C24" s="1" t="s">
        <v>148</v>
      </c>
      <c r="D24" s="1" t="s">
        <v>149</v>
      </c>
      <c r="F24" s="1" t="str">
        <f>"0007850492"</f>
        <v>0007850492</v>
      </c>
      <c r="G24" s="1" t="str">
        <f>"9780007850495"</f>
        <v>9780007850495</v>
      </c>
      <c r="H24" s="1">
        <v>0.0</v>
      </c>
      <c r="I24" s="1">
        <v>4.17</v>
      </c>
      <c r="J24" s="1" t="s">
        <v>150</v>
      </c>
      <c r="K24" s="1" t="s">
        <v>44</v>
      </c>
      <c r="L24" s="1">
        <v>579.0</v>
      </c>
      <c r="M24" s="1">
        <v>2008.0</v>
      </c>
      <c r="N24" s="1">
        <v>2008.0</v>
      </c>
      <c r="P24" s="2">
        <v>45132.0</v>
      </c>
      <c r="Q24" s="1" t="s">
        <v>115</v>
      </c>
      <c r="R24" s="1" t="s">
        <v>151</v>
      </c>
      <c r="S24" s="1" t="s">
        <v>32</v>
      </c>
      <c r="W24" s="1">
        <v>0.0</v>
      </c>
      <c r="X24" s="1">
        <v>1.0</v>
      </c>
    </row>
    <row r="25" spans="1:24" ht="15.75" customHeight="1">
      <c r="A25" s="9">
        <v>44042.0</v>
      </c>
      <c r="B25" s="9" t="s">
        <v>152</v>
      </c>
      <c r="C25" s="9" t="s">
        <v>153</v>
      </c>
      <c r="D25" s="9" t="s">
        <v>154</v>
      </c>
      <c r="E25" s="10"/>
      <c r="F25" s="9" t="str">
        <f>"8423338738"</f>
        <v>8423338738</v>
      </c>
      <c r="G25" s="9" t="str">
        <f>"9788423338733"</f>
        <v>9788423338733</v>
      </c>
      <c r="H25" s="9">
        <v>0.0</v>
      </c>
      <c r="I25" s="9">
        <v>4.39</v>
      </c>
      <c r="J25" s="9" t="s">
        <v>155</v>
      </c>
      <c r="K25" s="9" t="s">
        <v>37</v>
      </c>
      <c r="L25" s="9">
        <v>1664.0</v>
      </c>
      <c r="M25" s="9">
        <v>2006.0</v>
      </c>
      <c r="N25" s="9">
        <v>2006.0</v>
      </c>
      <c r="O25" s="10"/>
      <c r="P25" s="11">
        <v>44094.0</v>
      </c>
      <c r="Q25" s="12" t="s">
        <v>156</v>
      </c>
      <c r="R25" s="9" t="s">
        <v>157</v>
      </c>
      <c r="S25" s="9" t="s">
        <v>32</v>
      </c>
      <c r="T25" s="10"/>
      <c r="U25" s="10"/>
      <c r="V25" s="10"/>
      <c r="W25" s="9">
        <v>0.0</v>
      </c>
      <c r="X25" s="9">
        <v>0.0</v>
      </c>
    </row>
    <row r="26" spans="1:24" ht="15.75" customHeight="1">
      <c r="A26" s="9">
        <v>1163218.0</v>
      </c>
      <c r="B26" s="9" t="s">
        <v>158</v>
      </c>
      <c r="C26" s="9" t="s">
        <v>153</v>
      </c>
      <c r="D26" s="9" t="s">
        <v>154</v>
      </c>
      <c r="E26" s="9" t="s">
        <v>159</v>
      </c>
      <c r="F26" s="9" t="str">
        <f>"9500401797"</f>
        <v>9500401797</v>
      </c>
      <c r="G26" s="9" t="str">
        <f>"9789500401791"</f>
        <v>9789500401791</v>
      </c>
      <c r="H26" s="9">
        <v>0.0</v>
      </c>
      <c r="I26" s="9">
        <v>4.02</v>
      </c>
      <c r="J26" s="9" t="s">
        <v>160</v>
      </c>
      <c r="K26" s="9" t="s">
        <v>44</v>
      </c>
      <c r="L26" s="9">
        <v>155.0</v>
      </c>
      <c r="M26" s="9">
        <v>1996.0</v>
      </c>
      <c r="N26" s="9">
        <v>1940.0</v>
      </c>
      <c r="O26" s="10"/>
      <c r="P26" s="11">
        <v>44814.0</v>
      </c>
      <c r="Q26" s="12" t="s">
        <v>99</v>
      </c>
      <c r="R26" s="9" t="s">
        <v>162</v>
      </c>
      <c r="S26" s="9" t="s">
        <v>32</v>
      </c>
      <c r="T26" s="10"/>
      <c r="U26" s="10"/>
      <c r="V26" s="10"/>
      <c r="W26" s="9">
        <v>0.0</v>
      </c>
      <c r="X26" s="9">
        <v>1.0</v>
      </c>
    </row>
    <row r="27" spans="1:24" ht="15.75" customHeight="1">
      <c r="A27" s="9">
        <v>1.38028985E8</v>
      </c>
      <c r="B27" s="9" t="s">
        <v>163</v>
      </c>
      <c r="C27" s="9" t="s">
        <v>153</v>
      </c>
      <c r="D27" s="9" t="s">
        <v>154</v>
      </c>
      <c r="E27" s="10"/>
      <c r="F27" s="9" t="str">
        <f t="shared" si="1" ref="F27:G27">""</f>
        <v/>
      </c>
      <c r="G27" s="9" t="str">
        <f t="shared" si="1"/>
        <v/>
      </c>
      <c r="H27" s="9">
        <v>0.0</v>
      </c>
      <c r="I27" s="9">
        <v>3.75</v>
      </c>
      <c r="J27" s="9" t="s">
        <v>164</v>
      </c>
      <c r="K27" s="9" t="s">
        <v>37</v>
      </c>
      <c r="L27" s="9">
        <v>0.0</v>
      </c>
      <c r="M27" s="9">
        <v>1973.0</v>
      </c>
      <c r="N27" s="9">
        <v>1969.0</v>
      </c>
      <c r="O27" s="10"/>
      <c r="P27" s="11">
        <v>44814.0</v>
      </c>
      <c r="Q27" s="12" t="s">
        <v>99</v>
      </c>
      <c r="R27" s="9" t="s">
        <v>165</v>
      </c>
      <c r="S27" s="9" t="s">
        <v>32</v>
      </c>
      <c r="T27" s="10"/>
      <c r="U27" s="10"/>
      <c r="V27" s="10"/>
      <c r="W27" s="9">
        <v>0.0</v>
      </c>
      <c r="X27" s="9">
        <v>1.0</v>
      </c>
    </row>
    <row r="28" spans="1:24" ht="15.75" customHeight="1">
      <c r="A28" s="1">
        <v>4.1815317E7</v>
      </c>
      <c r="B28" s="1" t="s">
        <v>166</v>
      </c>
      <c r="C28" s="1" t="s">
        <v>167</v>
      </c>
      <c r="D28" s="1" t="s">
        <v>168</v>
      </c>
      <c r="E28" s="1" t="s">
        <v>169</v>
      </c>
      <c r="F28" s="1" t="str">
        <f>""</f>
        <v/>
      </c>
      <c r="G28" s="1" t="str">
        <f>"9781943813742"</f>
        <v>9781943813742</v>
      </c>
      <c r="H28" s="1">
        <v>0.0</v>
      </c>
      <c r="I28" s="1">
        <v>3.82</v>
      </c>
      <c r="J28" s="1" t="s">
        <v>170</v>
      </c>
      <c r="K28" s="1" t="s">
        <v>44</v>
      </c>
      <c r="L28" s="1">
        <v>100.0</v>
      </c>
      <c r="M28" s="1">
        <v>2018.0</v>
      </c>
      <c r="N28" s="1">
        <v>1998.0</v>
      </c>
      <c r="P28" s="2">
        <v>45059.0</v>
      </c>
      <c r="Q28" s="1" t="s">
        <v>32</v>
      </c>
      <c r="R28" s="1" t="s">
        <v>171</v>
      </c>
      <c r="S28" s="1" t="s">
        <v>32</v>
      </c>
      <c r="W28" s="1">
        <v>0.0</v>
      </c>
      <c r="X28" s="1">
        <v>0.0</v>
      </c>
    </row>
    <row r="29" spans="1:24" ht="15.75" customHeight="1">
      <c r="A29" s="1">
        <v>373319.0</v>
      </c>
      <c r="B29" s="1" t="s">
        <v>172</v>
      </c>
      <c r="C29" s="1" t="s">
        <v>173</v>
      </c>
      <c r="D29" s="1" t="s">
        <v>174</v>
      </c>
      <c r="E29" s="1" t="s">
        <v>175</v>
      </c>
      <c r="F29" s="1" t="str">
        <f>"0253210798"</f>
        <v>0253210798</v>
      </c>
      <c r="G29" s="1" t="str">
        <f>"9780253210791"</f>
        <v>9780253210791</v>
      </c>
      <c r="H29" s="1">
        <v>0.0</v>
      </c>
      <c r="I29" s="1">
        <v>4.14</v>
      </c>
      <c r="J29" s="1" t="s">
        <v>176</v>
      </c>
      <c r="K29" s="1" t="s">
        <v>44</v>
      </c>
      <c r="L29" s="1">
        <v>224.0</v>
      </c>
      <c r="M29" s="1">
        <v>2008.0</v>
      </c>
      <c r="N29" s="1">
        <v>1996.0</v>
      </c>
      <c r="P29" s="2">
        <v>45046.0</v>
      </c>
      <c r="Q29" s="1" t="s">
        <v>45</v>
      </c>
      <c r="R29" s="1" t="s">
        <v>177</v>
      </c>
      <c r="S29" s="1" t="s">
        <v>32</v>
      </c>
      <c r="W29" s="1">
        <v>0.0</v>
      </c>
      <c r="X29" s="1">
        <v>0.0</v>
      </c>
    </row>
    <row r="30" spans="1:24" ht="15.75" customHeight="1">
      <c r="A30" s="1">
        <v>1.7393385E7</v>
      </c>
      <c r="B30" s="1" t="s">
        <v>178</v>
      </c>
      <c r="C30" s="1" t="s">
        <v>179</v>
      </c>
      <c r="D30" s="1" t="s">
        <v>180</v>
      </c>
      <c r="F30" s="1" t="str">
        <f>"0199301085"</f>
        <v>0199301085</v>
      </c>
      <c r="G30" s="1" t="str">
        <f>"9780199301089"</f>
        <v>9780199301089</v>
      </c>
      <c r="H30" s="1">
        <v>0.0</v>
      </c>
      <c r="I30" s="1">
        <v>3.9</v>
      </c>
      <c r="J30" s="1" t="s">
        <v>181</v>
      </c>
      <c r="K30" s="1" t="s">
        <v>44</v>
      </c>
      <c r="L30" s="1">
        <v>200.0</v>
      </c>
      <c r="M30" s="1">
        <v>2013.0</v>
      </c>
      <c r="N30" s="1">
        <v>2013.0</v>
      </c>
      <c r="P30" s="2">
        <v>44464.0</v>
      </c>
      <c r="Q30" s="1" t="s">
        <v>38</v>
      </c>
      <c r="R30" s="1" t="s">
        <v>182</v>
      </c>
      <c r="S30" s="1" t="s">
        <v>32</v>
      </c>
      <c r="W30" s="1">
        <v>0.0</v>
      </c>
      <c r="X30" s="1">
        <v>0.0</v>
      </c>
    </row>
    <row r="31" spans="1:24" ht="15.75" customHeight="1">
      <c r="A31" s="1">
        <v>4.4599638E7</v>
      </c>
      <c r="B31" s="1" t="s">
        <v>183</v>
      </c>
      <c r="C31" s="1" t="s">
        <v>184</v>
      </c>
      <c r="D31" s="1" t="s">
        <v>185</v>
      </c>
      <c r="E31" s="1" t="s">
        <v>186</v>
      </c>
      <c r="F31" s="1" t="str">
        <f>"0997567473"</f>
        <v>0997567473</v>
      </c>
      <c r="G31" s="1" t="str">
        <f>"9780997567472"</f>
        <v>9780997567472</v>
      </c>
      <c r="H31" s="1">
        <v>0.0</v>
      </c>
      <c r="I31" s="1">
        <v>3.56</v>
      </c>
      <c r="J31" s="1" t="s">
        <v>187</v>
      </c>
      <c r="K31" s="1" t="s">
        <v>37</v>
      </c>
      <c r="L31" s="1">
        <v>320.0</v>
      </c>
      <c r="M31" s="1">
        <v>2021.0</v>
      </c>
      <c r="P31" s="2">
        <v>44292.0</v>
      </c>
      <c r="Q31" s="1" t="s">
        <v>32</v>
      </c>
      <c r="R31" s="1" t="s">
        <v>188</v>
      </c>
      <c r="S31" s="1" t="s">
        <v>32</v>
      </c>
      <c r="W31" s="1">
        <v>0.0</v>
      </c>
      <c r="X31" s="1">
        <v>0.0</v>
      </c>
    </row>
    <row r="32" spans="1:24" ht="15.75" customHeight="1">
      <c r="A32" s="1">
        <v>1464794.0</v>
      </c>
      <c r="B32" s="1" t="s">
        <v>189</v>
      </c>
      <c r="C32" s="1" t="s">
        <v>190</v>
      </c>
      <c r="D32" s="1" t="s">
        <v>191</v>
      </c>
      <c r="F32" s="1" t="str">
        <f>"0500284709"</f>
        <v>0500284709</v>
      </c>
      <c r="G32" s="1" t="str">
        <f>"9780500284704"</f>
        <v>9780500284704</v>
      </c>
      <c r="H32" s="1">
        <v>0.0</v>
      </c>
      <c r="I32" s="1">
        <v>4.38</v>
      </c>
      <c r="J32" s="1" t="s">
        <v>192</v>
      </c>
      <c r="K32" s="1" t="s">
        <v>44</v>
      </c>
      <c r="L32" s="1">
        <v>335.0</v>
      </c>
      <c r="M32" s="1">
        <v>2004.0</v>
      </c>
      <c r="N32" s="1">
        <v>2000.0</v>
      </c>
      <c r="P32" s="2">
        <v>44107.0</v>
      </c>
      <c r="Q32" s="1" t="s">
        <v>32</v>
      </c>
      <c r="R32" s="1" t="s">
        <v>193</v>
      </c>
      <c r="S32" s="1" t="s">
        <v>32</v>
      </c>
      <c r="W32" s="1">
        <v>0.0</v>
      </c>
      <c r="X32" s="1">
        <v>0.0</v>
      </c>
    </row>
    <row r="33" spans="1:24" ht="15.75" customHeight="1">
      <c r="A33" s="1">
        <v>738965.0</v>
      </c>
      <c r="B33" s="1" t="s">
        <v>194</v>
      </c>
      <c r="C33" s="1" t="s">
        <v>195</v>
      </c>
      <c r="D33" s="1" t="s">
        <v>196</v>
      </c>
      <c r="F33" s="1" t="str">
        <f>"0906500079"</f>
        <v>0906500079</v>
      </c>
      <c r="G33" s="1" t="str">
        <f>"9780906500071"</f>
        <v>9780906500071</v>
      </c>
      <c r="H33" s="1">
        <v>0.0</v>
      </c>
      <c r="I33" s="1">
        <v>4.28</v>
      </c>
      <c r="J33" s="1" t="s">
        <v>197</v>
      </c>
      <c r="K33" s="1" t="s">
        <v>198</v>
      </c>
      <c r="L33" s="1">
        <v>32.0</v>
      </c>
      <c r="M33" s="1">
        <v>1980.0</v>
      </c>
      <c r="N33" s="1">
        <v>1980.0</v>
      </c>
      <c r="P33" s="3">
        <v>44128.0</v>
      </c>
      <c r="Q33" s="1" t="s">
        <v>32</v>
      </c>
      <c r="R33" s="1" t="s">
        <v>199</v>
      </c>
      <c r="S33" s="1" t="s">
        <v>32</v>
      </c>
      <c r="W33" s="1">
        <v>0.0</v>
      </c>
      <c r="X33" s="1">
        <v>0.0</v>
      </c>
    </row>
    <row r="34" spans="1:24" ht="15.75" customHeight="1">
      <c r="A34" s="1">
        <v>2.271655E7</v>
      </c>
      <c r="B34" s="1" t="s">
        <v>200</v>
      </c>
      <c r="C34" s="1" t="s">
        <v>201</v>
      </c>
      <c r="D34" s="1" t="s">
        <v>202</v>
      </c>
      <c r="E34" s="1" t="s">
        <v>203</v>
      </c>
      <c r="F34" s="1" t="str">
        <f>"1590178602"</f>
        <v>1590178602</v>
      </c>
      <c r="G34" s="1" t="str">
        <f>"9781590178607"</f>
        <v>9781590178607</v>
      </c>
      <c r="H34" s="1">
        <v>0.0</v>
      </c>
      <c r="I34" s="1">
        <v>3.93</v>
      </c>
      <c r="J34" s="1" t="s">
        <v>204</v>
      </c>
      <c r="K34" s="1" t="s">
        <v>44</v>
      </c>
      <c r="L34" s="1">
        <v>100.0</v>
      </c>
      <c r="M34" s="1">
        <v>2015.0</v>
      </c>
      <c r="N34" s="1">
        <v>-480.0</v>
      </c>
      <c r="P34" s="2">
        <v>45111.0</v>
      </c>
      <c r="Q34" s="1" t="s">
        <v>205</v>
      </c>
      <c r="R34" s="1" t="s">
        <v>206</v>
      </c>
      <c r="S34" s="1" t="s">
        <v>207</v>
      </c>
      <c r="W34" s="1">
        <v>1.0</v>
      </c>
      <c r="X34" s="1">
        <v>1.0</v>
      </c>
    </row>
    <row r="35" spans="1:24" ht="15.75" customHeight="1">
      <c r="A35" s="1">
        <v>5.6649293E7</v>
      </c>
      <c r="B35" s="1" t="s">
        <v>208</v>
      </c>
      <c r="C35" s="1" t="s">
        <v>209</v>
      </c>
      <c r="D35" s="1" t="s">
        <v>210</v>
      </c>
      <c r="E35" s="1" t="s">
        <v>211</v>
      </c>
      <c r="F35" s="1" t="str">
        <f>"1913097307"</f>
        <v>1913097307</v>
      </c>
      <c r="G35" s="1" t="str">
        <f>"9781913097301"</f>
        <v>9781913097301</v>
      </c>
      <c r="H35" s="1">
        <v>0.0</v>
      </c>
      <c r="I35" s="1">
        <v>3.8</v>
      </c>
      <c r="J35" s="1" t="s">
        <v>144</v>
      </c>
      <c r="K35" s="1" t="s">
        <v>44</v>
      </c>
      <c r="L35" s="1">
        <v>488.0</v>
      </c>
      <c r="M35" s="1">
        <v>2021.0</v>
      </c>
      <c r="N35" s="1">
        <v>2018.0</v>
      </c>
      <c r="P35" s="2">
        <v>45008.0</v>
      </c>
      <c r="Q35" s="1" t="s">
        <v>32</v>
      </c>
      <c r="R35" s="1" t="s">
        <v>212</v>
      </c>
      <c r="S35" s="1" t="s">
        <v>32</v>
      </c>
      <c r="W35" s="1">
        <v>0.0</v>
      </c>
      <c r="X35" s="1">
        <v>0.0</v>
      </c>
    </row>
    <row r="36" spans="1:24" ht="15.75" customHeight="1">
      <c r="A36" s="1">
        <v>1028853.0</v>
      </c>
      <c r="B36" s="1" t="s">
        <v>213</v>
      </c>
      <c r="C36" s="1" t="s">
        <v>214</v>
      </c>
      <c r="D36" s="1" t="s">
        <v>215</v>
      </c>
      <c r="E36" s="1" t="s">
        <v>216</v>
      </c>
      <c r="F36" s="1" t="str">
        <f>"1551522306"</f>
        <v>1551522306</v>
      </c>
      <c r="G36" s="1" t="str">
        <f>"9781551522302"</f>
        <v>9781551522302</v>
      </c>
      <c r="H36" s="1">
        <v>0.0</v>
      </c>
      <c r="I36" s="1">
        <v>4.3</v>
      </c>
      <c r="J36" s="1" t="s">
        <v>217</v>
      </c>
      <c r="K36" s="1" t="s">
        <v>44</v>
      </c>
      <c r="L36" s="1">
        <v>288.0</v>
      </c>
      <c r="M36" s="1">
        <v>2007.0</v>
      </c>
      <c r="N36" s="1">
        <v>1975.0</v>
      </c>
      <c r="P36" s="2">
        <v>43926.0</v>
      </c>
      <c r="Q36" s="1" t="s">
        <v>218</v>
      </c>
      <c r="R36" s="1" t="s">
        <v>219</v>
      </c>
      <c r="S36" s="1" t="s">
        <v>32</v>
      </c>
      <c r="W36" s="1">
        <v>0.0</v>
      </c>
      <c r="X36" s="1">
        <v>0.0</v>
      </c>
    </row>
    <row r="37" spans="1:24" ht="15.75" customHeight="1">
      <c r="A37" s="13">
        <v>3.3931796E7</v>
      </c>
      <c r="B37" s="13" t="s">
        <v>220</v>
      </c>
      <c r="C37" s="13" t="s">
        <v>221</v>
      </c>
      <c r="D37" s="13" t="s">
        <v>222</v>
      </c>
      <c r="E37" s="13" t="s">
        <v>223</v>
      </c>
      <c r="F37" s="13" t="str">
        <f>"082236896X"</f>
        <v>082236896X</v>
      </c>
      <c r="G37" s="13" t="str">
        <f>"9780822368960"</f>
        <v>9780822368960</v>
      </c>
      <c r="H37" s="13">
        <v>0.0</v>
      </c>
      <c r="I37" s="13">
        <v>4.09</v>
      </c>
      <c r="J37" s="13" t="s">
        <v>224</v>
      </c>
      <c r="K37" s="13" t="s">
        <v>44</v>
      </c>
      <c r="L37" s="13">
        <v>304.0</v>
      </c>
      <c r="M37" s="13">
        <v>2017.0</v>
      </c>
      <c r="N37" s="13">
        <v>1939.0</v>
      </c>
      <c r="O37" s="14"/>
      <c r="P37" s="15">
        <v>44250.0</v>
      </c>
      <c r="Q37" s="16" t="s">
        <v>161</v>
      </c>
      <c r="R37" s="13" t="s">
        <v>226</v>
      </c>
      <c r="S37" s="13" t="s">
        <v>32</v>
      </c>
      <c r="T37" s="14"/>
      <c r="U37" s="14"/>
      <c r="V37" s="14"/>
      <c r="W37" s="13">
        <v>0.0</v>
      </c>
      <c r="X37" s="13">
        <v>0.0</v>
      </c>
    </row>
    <row r="38" spans="1:24" ht="15.75" customHeight="1">
      <c r="A38" s="13">
        <v>1.6128896E7</v>
      </c>
      <c r="B38" s="13" t="s">
        <v>227</v>
      </c>
      <c r="C38" s="13" t="s">
        <v>221</v>
      </c>
      <c r="D38" s="13" t="s">
        <v>222</v>
      </c>
      <c r="E38" s="13" t="s">
        <v>228</v>
      </c>
      <c r="F38" s="13" t="str">
        <f>"0810128969"</f>
        <v>0810128969</v>
      </c>
      <c r="G38" s="13" t="str">
        <f>"9780810128965"</f>
        <v>9780810128965</v>
      </c>
      <c r="H38" s="13">
        <v>0.0</v>
      </c>
      <c r="I38" s="13">
        <v>4.75</v>
      </c>
      <c r="J38" s="13" t="s">
        <v>229</v>
      </c>
      <c r="K38" s="13" t="s">
        <v>44</v>
      </c>
      <c r="L38" s="13">
        <v>112.0</v>
      </c>
      <c r="M38" s="13">
        <v>2013.0</v>
      </c>
      <c r="N38" s="13">
        <v>2013.0</v>
      </c>
      <c r="O38" s="14"/>
      <c r="P38" s="15">
        <v>44250.0</v>
      </c>
      <c r="Q38" s="16" t="s">
        <v>161</v>
      </c>
      <c r="R38" s="13" t="s">
        <v>230</v>
      </c>
      <c r="S38" s="13" t="s">
        <v>32</v>
      </c>
      <c r="T38" s="14"/>
      <c r="U38" s="14"/>
      <c r="V38" s="14"/>
      <c r="W38" s="13">
        <v>0.0</v>
      </c>
      <c r="X38" s="13">
        <v>0.0</v>
      </c>
    </row>
    <row r="39" spans="1:24" ht="15.75" customHeight="1">
      <c r="A39" s="13">
        <v>3.4788324E7</v>
      </c>
      <c r="B39" s="13" t="s">
        <v>231</v>
      </c>
      <c r="C39" s="13" t="s">
        <v>221</v>
      </c>
      <c r="D39" s="13" t="s">
        <v>222</v>
      </c>
      <c r="E39" s="13" t="s">
        <v>232</v>
      </c>
      <c r="F39" s="13" t="str">
        <f>"081957483X"</f>
        <v>081957483X</v>
      </c>
      <c r="G39" s="13" t="str">
        <f>"9780819574831"</f>
        <v>9780819574831</v>
      </c>
      <c r="H39" s="13">
        <v>0.0</v>
      </c>
      <c r="I39" s="13">
        <v>4.17</v>
      </c>
      <c r="J39" s="13" t="s">
        <v>233</v>
      </c>
      <c r="K39" s="13" t="s">
        <v>37</v>
      </c>
      <c r="L39" s="13">
        <v>994.0</v>
      </c>
      <c r="M39" s="13">
        <v>2017.0</v>
      </c>
      <c r="N39" s="14"/>
      <c r="O39" s="14"/>
      <c r="P39" s="15">
        <v>44250.0</v>
      </c>
      <c r="Q39" s="16" t="s">
        <v>234</v>
      </c>
      <c r="R39" s="13" t="s">
        <v>235</v>
      </c>
      <c r="S39" s="13" t="s">
        <v>32</v>
      </c>
      <c r="T39" s="14"/>
      <c r="U39" s="14"/>
      <c r="V39" s="14"/>
      <c r="W39" s="13">
        <v>0.0</v>
      </c>
      <c r="X39" s="13">
        <v>0.0</v>
      </c>
    </row>
    <row r="40" spans="1:24" ht="15.75" customHeight="1">
      <c r="A40" s="1">
        <v>7048800.0</v>
      </c>
      <c r="B40" s="1" t="s">
        <v>236</v>
      </c>
      <c r="C40" s="1" t="s">
        <v>237</v>
      </c>
      <c r="D40" s="1" t="s">
        <v>238</v>
      </c>
      <c r="F40" s="1" t="str">
        <f>"0385501129"</f>
        <v>0385501129</v>
      </c>
      <c r="G40" s="1" t="str">
        <f>"9780385501125"</f>
        <v>9780385501125</v>
      </c>
      <c r="H40" s="1">
        <v>0.0</v>
      </c>
      <c r="I40" s="1">
        <v>3.24</v>
      </c>
      <c r="J40" s="1" t="s">
        <v>239</v>
      </c>
      <c r="K40" s="1" t="s">
        <v>37</v>
      </c>
      <c r="L40" s="1">
        <v>292.0</v>
      </c>
      <c r="M40" s="1">
        <v>2010.0</v>
      </c>
      <c r="N40" s="1">
        <v>2010.0</v>
      </c>
      <c r="P40" s="3">
        <v>41627.0</v>
      </c>
      <c r="Q40" s="1" t="s">
        <v>32</v>
      </c>
      <c r="R40" s="1" t="s">
        <v>240</v>
      </c>
      <c r="S40" s="1" t="s">
        <v>32</v>
      </c>
      <c r="W40" s="1">
        <v>0.0</v>
      </c>
      <c r="X40" s="1">
        <v>0.0</v>
      </c>
    </row>
    <row r="41" spans="1:24" ht="15.75" customHeight="1">
      <c r="A41" s="1">
        <v>4.0275091E7</v>
      </c>
      <c r="B41" s="1" t="s">
        <v>241</v>
      </c>
      <c r="C41" s="1" t="s">
        <v>242</v>
      </c>
      <c r="D41" s="1" t="s">
        <v>243</v>
      </c>
      <c r="F41" s="1" t="str">
        <f>"1101980419"</f>
        <v>1101980419</v>
      </c>
      <c r="G41" s="1" t="str">
        <f>"9781101980415"</f>
        <v>9781101980415</v>
      </c>
      <c r="H41" s="1">
        <v>0.0</v>
      </c>
      <c r="I41" s="1">
        <v>3.31</v>
      </c>
      <c r="J41" s="1" t="s">
        <v>54</v>
      </c>
      <c r="K41" s="1" t="s">
        <v>37</v>
      </c>
      <c r="L41" s="1">
        <v>224.0</v>
      </c>
      <c r="M41" s="1">
        <v>2019.0</v>
      </c>
      <c r="N41" s="1">
        <v>2019.0</v>
      </c>
      <c r="P41" s="2">
        <v>43911.0</v>
      </c>
      <c r="Q41" s="1" t="s">
        <v>32</v>
      </c>
      <c r="R41" s="1" t="s">
        <v>244</v>
      </c>
      <c r="S41" s="1" t="s">
        <v>32</v>
      </c>
      <c r="W41" s="1">
        <v>0.0</v>
      </c>
      <c r="X41" s="1">
        <v>0.0</v>
      </c>
    </row>
    <row r="42" spans="1:24" ht="15.75" customHeight="1">
      <c r="A42" s="1">
        <v>1006306.0</v>
      </c>
      <c r="B42" s="1" t="s">
        <v>245</v>
      </c>
      <c r="C42" s="1" t="s">
        <v>246</v>
      </c>
      <c r="D42" s="1" t="s">
        <v>247</v>
      </c>
      <c r="F42" s="1" t="str">
        <f>"0393306577"</f>
        <v>0393306577</v>
      </c>
      <c r="G42" s="1" t="str">
        <f>"9780393306576"</f>
        <v>9780393306576</v>
      </c>
      <c r="H42" s="1">
        <v>0.0</v>
      </c>
      <c r="I42" s="1">
        <v>4.03</v>
      </c>
      <c r="J42" s="1" t="s">
        <v>248</v>
      </c>
      <c r="K42" s="1" t="s">
        <v>44</v>
      </c>
      <c r="L42" s="1">
        <v>322.0</v>
      </c>
      <c r="M42" s="1">
        <v>1990.0</v>
      </c>
      <c r="N42" s="1">
        <v>1971.0</v>
      </c>
      <c r="P42" s="2">
        <v>45181.0</v>
      </c>
      <c r="Q42" s="1" t="s">
        <v>249</v>
      </c>
      <c r="R42" s="1" t="s">
        <v>250</v>
      </c>
      <c r="S42" s="1" t="s">
        <v>32</v>
      </c>
      <c r="W42" s="1">
        <v>0.0</v>
      </c>
      <c r="X42" s="1">
        <v>0.0</v>
      </c>
    </row>
    <row r="43" spans="1:24" ht="15.75" customHeight="1">
      <c r="A43" s="1">
        <v>513752.0</v>
      </c>
      <c r="B43" s="1" t="s">
        <v>251</v>
      </c>
      <c r="C43" s="1" t="s">
        <v>252</v>
      </c>
      <c r="D43" s="1" t="s">
        <v>253</v>
      </c>
      <c r="E43" s="1" t="s">
        <v>254</v>
      </c>
      <c r="F43" s="1" t="str">
        <f>"0879101776"</f>
        <v>0879101776</v>
      </c>
      <c r="G43" s="1" t="str">
        <f>"9780879101770"</f>
        <v>9780879101770</v>
      </c>
      <c r="H43" s="1">
        <v>0.0</v>
      </c>
      <c r="I43" s="1">
        <v>3.92</v>
      </c>
      <c r="J43" s="1" t="s">
        <v>255</v>
      </c>
      <c r="K43" s="1" t="s">
        <v>44</v>
      </c>
      <c r="L43" s="1">
        <v>226.0</v>
      </c>
      <c r="M43" s="1">
        <v>2004.0</v>
      </c>
      <c r="N43" s="1">
        <v>2004.0</v>
      </c>
      <c r="P43" s="2">
        <v>43961.0</v>
      </c>
      <c r="Q43" s="1" t="s">
        <v>32</v>
      </c>
      <c r="R43" s="1" t="s">
        <v>256</v>
      </c>
      <c r="S43" s="1" t="s">
        <v>32</v>
      </c>
      <c r="W43" s="1">
        <v>0.0</v>
      </c>
      <c r="X43" s="1">
        <v>0.0</v>
      </c>
    </row>
    <row r="44" spans="1:24" ht="15.75" customHeight="1">
      <c r="A44" s="1">
        <v>139087.0</v>
      </c>
      <c r="B44" s="1" t="s">
        <v>257</v>
      </c>
      <c r="C44" s="1" t="s">
        <v>258</v>
      </c>
      <c r="D44" s="1" t="s">
        <v>259</v>
      </c>
      <c r="F44" s="1" t="str">
        <f>"0739464469"</f>
        <v>0739464469</v>
      </c>
      <c r="G44" s="1" t="str">
        <f>"9780739464465"</f>
        <v>9780739464465</v>
      </c>
      <c r="H44" s="1">
        <v>0.0</v>
      </c>
      <c r="I44" s="1">
        <v>3.75</v>
      </c>
      <c r="J44" s="1" t="s">
        <v>260</v>
      </c>
      <c r="K44" s="1" t="s">
        <v>44</v>
      </c>
      <c r="L44" s="1">
        <v>438.0</v>
      </c>
      <c r="M44" s="1">
        <v>2004.0</v>
      </c>
      <c r="N44" s="1">
        <v>2004.0</v>
      </c>
      <c r="P44" s="2">
        <v>45111.0</v>
      </c>
      <c r="Q44" s="1" t="s">
        <v>261</v>
      </c>
      <c r="R44" s="1" t="s">
        <v>262</v>
      </c>
      <c r="S44" s="1" t="s">
        <v>32</v>
      </c>
      <c r="W44" s="1">
        <v>0.0</v>
      </c>
      <c r="X44" s="1">
        <v>0.0</v>
      </c>
    </row>
    <row r="45" spans="1:24" ht="15.75" customHeight="1">
      <c r="A45" s="1">
        <v>9859899.0</v>
      </c>
      <c r="B45" s="1" t="s">
        <v>263</v>
      </c>
      <c r="C45" s="1" t="s">
        <v>264</v>
      </c>
      <c r="D45" s="1" t="s">
        <v>265</v>
      </c>
      <c r="F45" s="1" t="str">
        <f>"0199747490"</f>
        <v>0199747490</v>
      </c>
      <c r="G45" s="1" t="str">
        <f>"9780199747498"</f>
        <v>9780199747498</v>
      </c>
      <c r="H45" s="1">
        <v>0.0</v>
      </c>
      <c r="I45" s="1">
        <v>3.93</v>
      </c>
      <c r="J45" s="1" t="s">
        <v>181</v>
      </c>
      <c r="K45" s="1" t="s">
        <v>37</v>
      </c>
      <c r="L45" s="1">
        <v>162.0</v>
      </c>
      <c r="M45" s="1">
        <v>2011.0</v>
      </c>
      <c r="N45" s="1">
        <v>2011.0</v>
      </c>
      <c r="P45" s="2">
        <v>45126.0</v>
      </c>
      <c r="Q45" s="1" t="s">
        <v>32</v>
      </c>
      <c r="R45" s="1" t="s">
        <v>266</v>
      </c>
      <c r="S45" s="1" t="s">
        <v>32</v>
      </c>
      <c r="W45" s="1">
        <v>0.0</v>
      </c>
      <c r="X45" s="1">
        <v>0.0</v>
      </c>
    </row>
    <row r="46" spans="1:24" ht="15.75" customHeight="1">
      <c r="A46" s="1">
        <v>480294.0</v>
      </c>
      <c r="B46" s="1" t="s">
        <v>267</v>
      </c>
      <c r="C46" s="1" t="s">
        <v>268</v>
      </c>
      <c r="D46" s="1" t="s">
        <v>269</v>
      </c>
      <c r="F46" s="1" t="str">
        <f>"0446670111"</f>
        <v>0446670111</v>
      </c>
      <c r="G46" s="1" t="str">
        <f>"9780446670111"</f>
        <v>9780446670111</v>
      </c>
      <c r="H46" s="1">
        <v>0.0</v>
      </c>
      <c r="I46" s="1">
        <v>4.06</v>
      </c>
      <c r="J46" s="1" t="s">
        <v>270</v>
      </c>
      <c r="K46" s="1" t="s">
        <v>44</v>
      </c>
      <c r="L46" s="1">
        <v>179.0</v>
      </c>
      <c r="M46" s="1">
        <v>1994.0</v>
      </c>
      <c r="N46" s="1">
        <v>1993.0</v>
      </c>
      <c r="O46" s="2">
        <v>41323.0</v>
      </c>
      <c r="P46" s="2">
        <v>41306.0</v>
      </c>
      <c r="S46" s="1" t="s">
        <v>271</v>
      </c>
      <c r="W46" s="1">
        <v>1.0</v>
      </c>
      <c r="X46" s="1">
        <v>0.0</v>
      </c>
    </row>
    <row r="47" spans="1:24" ht="15.75" customHeight="1">
      <c r="A47" s="1">
        <v>1.7835572E7</v>
      </c>
      <c r="B47" s="1" t="s">
        <v>272</v>
      </c>
      <c r="C47" s="1" t="s">
        <v>273</v>
      </c>
      <c r="D47" s="1" t="s">
        <v>274</v>
      </c>
      <c r="F47" s="1" t="str">
        <f t="shared" si="2" ref="F47:G47">""</f>
        <v/>
      </c>
      <c r="G47" s="1" t="str">
        <f t="shared" si="2"/>
        <v/>
      </c>
      <c r="H47" s="1">
        <v>0.0</v>
      </c>
      <c r="I47" s="1">
        <v>3.5</v>
      </c>
      <c r="J47" s="1" t="s">
        <v>275</v>
      </c>
      <c r="K47" s="1" t="s">
        <v>44</v>
      </c>
      <c r="L47" s="1">
        <v>216.0</v>
      </c>
      <c r="M47" s="1">
        <v>2013.0</v>
      </c>
      <c r="N47" s="1">
        <v>2013.0</v>
      </c>
      <c r="P47" s="2">
        <v>43976.0</v>
      </c>
      <c r="Q47" s="1" t="s">
        <v>32</v>
      </c>
      <c r="R47" s="1" t="s">
        <v>276</v>
      </c>
      <c r="S47" s="1" t="s">
        <v>32</v>
      </c>
      <c r="W47" s="1">
        <v>0.0</v>
      </c>
      <c r="X47" s="1">
        <v>0.0</v>
      </c>
    </row>
    <row r="48" spans="1:24" ht="15.75" customHeight="1">
      <c r="A48" s="1">
        <v>119568.0</v>
      </c>
      <c r="B48" s="1" t="s">
        <v>277</v>
      </c>
      <c r="C48" s="1" t="s">
        <v>278</v>
      </c>
      <c r="D48" s="1" t="s">
        <v>279</v>
      </c>
      <c r="F48" s="1" t="str">
        <f>"0415051177"</f>
        <v>0415051177</v>
      </c>
      <c r="G48" s="1" t="str">
        <f>"9780415051170"</f>
        <v>9780415051170</v>
      </c>
      <c r="H48" s="1">
        <v>0.0</v>
      </c>
      <c r="I48" s="1">
        <v>3.62</v>
      </c>
      <c r="J48" s="1" t="s">
        <v>280</v>
      </c>
      <c r="K48" s="1" t="s">
        <v>44</v>
      </c>
      <c r="L48" s="1">
        <v>254.0</v>
      </c>
      <c r="M48" s="1">
        <v>1980.0</v>
      </c>
      <c r="N48" s="1">
        <v>1980.0</v>
      </c>
      <c r="P48" s="2">
        <v>45150.0</v>
      </c>
      <c r="Q48" s="1" t="s">
        <v>281</v>
      </c>
      <c r="R48" s="1" t="s">
        <v>282</v>
      </c>
      <c r="S48" s="1" t="s">
        <v>32</v>
      </c>
      <c r="W48" s="1">
        <v>0.0</v>
      </c>
      <c r="X48" s="1">
        <v>0.0</v>
      </c>
    </row>
    <row r="49" spans="1:24" ht="15.75" customHeight="1">
      <c r="A49" s="1">
        <v>305532.0</v>
      </c>
      <c r="B49" s="1" t="s">
        <v>283</v>
      </c>
      <c r="C49" s="1" t="s">
        <v>284</v>
      </c>
      <c r="D49" s="1" t="s">
        <v>285</v>
      </c>
      <c r="E49" s="1" t="s">
        <v>286</v>
      </c>
      <c r="F49" s="1" t="str">
        <f>"1400079756"</f>
        <v>1400079756</v>
      </c>
      <c r="G49" s="1" t="str">
        <f>"9781400079759"</f>
        <v>9781400079759</v>
      </c>
      <c r="H49" s="1">
        <v>0.0</v>
      </c>
      <c r="I49" s="1">
        <v>3.69</v>
      </c>
      <c r="J49" s="1" t="s">
        <v>287</v>
      </c>
      <c r="K49" s="1" t="s">
        <v>44</v>
      </c>
      <c r="L49" s="1">
        <v>384.0</v>
      </c>
      <c r="M49" s="1">
        <v>2007.0</v>
      </c>
      <c r="N49" s="1">
        <v>2007.0</v>
      </c>
      <c r="P49" s="2">
        <v>44257.0</v>
      </c>
      <c r="Q49" s="1" t="s">
        <v>32</v>
      </c>
      <c r="R49" s="1" t="s">
        <v>288</v>
      </c>
      <c r="S49" s="1" t="s">
        <v>32</v>
      </c>
      <c r="W49" s="1">
        <v>0.0</v>
      </c>
      <c r="X49" s="1">
        <v>0.0</v>
      </c>
    </row>
    <row r="50" spans="1:24" ht="15.75" customHeight="1">
      <c r="A50" s="1">
        <v>72355.0</v>
      </c>
      <c r="B50" s="1" t="s">
        <v>289</v>
      </c>
      <c r="C50" s="1" t="s">
        <v>290</v>
      </c>
      <c r="D50" s="1" t="s">
        <v>291</v>
      </c>
      <c r="F50" s="1" t="str">
        <f>"0747562288"</f>
        <v>0747562288</v>
      </c>
      <c r="G50" s="1" t="str">
        <f>"9780747562283"</f>
        <v>9780747562283</v>
      </c>
      <c r="H50" s="1">
        <v>0.0</v>
      </c>
      <c r="I50" s="1">
        <v>4.04</v>
      </c>
      <c r="J50" s="1" t="s">
        <v>292</v>
      </c>
      <c r="K50" s="1" t="s">
        <v>44</v>
      </c>
      <c r="L50" s="1">
        <v>318.0</v>
      </c>
      <c r="M50" s="1">
        <v>2002.0</v>
      </c>
      <c r="N50" s="1">
        <v>1992.0</v>
      </c>
      <c r="P50" s="2">
        <v>45262.0</v>
      </c>
      <c r="Q50" s="1" t="s">
        <v>32</v>
      </c>
      <c r="R50" s="1" t="s">
        <v>293</v>
      </c>
      <c r="S50" s="1" t="s">
        <v>32</v>
      </c>
      <c r="W50" s="1">
        <v>0.0</v>
      </c>
      <c r="X50" s="1">
        <v>0.0</v>
      </c>
    </row>
    <row r="51" spans="1:24" ht="15.75" customHeight="1">
      <c r="A51" s="1">
        <v>1371808.0</v>
      </c>
      <c r="B51" s="1" t="s">
        <v>294</v>
      </c>
      <c r="C51" s="1" t="s">
        <v>295</v>
      </c>
      <c r="D51" s="1" t="s">
        <v>296</v>
      </c>
      <c r="E51" s="1" t="s">
        <v>297</v>
      </c>
      <c r="F51" s="1" t="str">
        <f>"0814623832"</f>
        <v>0814623832</v>
      </c>
      <c r="G51" s="1" t="str">
        <f>"9780814623831"</f>
        <v>9780814623831</v>
      </c>
      <c r="H51" s="1">
        <v>0.0</v>
      </c>
      <c r="I51" s="1">
        <v>3.5</v>
      </c>
      <c r="J51" s="1" t="s">
        <v>298</v>
      </c>
      <c r="K51" s="1" t="s">
        <v>37</v>
      </c>
      <c r="M51" s="1">
        <v>2000.0</v>
      </c>
      <c r="N51" s="1">
        <v>2000.0</v>
      </c>
      <c r="P51" s="2">
        <v>44455.0</v>
      </c>
      <c r="Q51" s="1" t="s">
        <v>32</v>
      </c>
      <c r="R51" s="1" t="s">
        <v>299</v>
      </c>
      <c r="S51" s="1" t="s">
        <v>32</v>
      </c>
      <c r="W51" s="1">
        <v>0.0</v>
      </c>
      <c r="X51" s="1">
        <v>0.0</v>
      </c>
    </row>
    <row r="52" spans="1:24" ht="15.75" customHeight="1">
      <c r="A52" s="1">
        <v>244823.0</v>
      </c>
      <c r="B52" s="1" t="s">
        <v>300</v>
      </c>
      <c r="C52" s="1" t="s">
        <v>295</v>
      </c>
      <c r="D52" s="1" t="s">
        <v>296</v>
      </c>
      <c r="F52" s="1" t="str">
        <f>"0895555301"</f>
        <v>0895555301</v>
      </c>
      <c r="G52" s="1" t="str">
        <f>"9780895555304"</f>
        <v>9780895555304</v>
      </c>
      <c r="H52" s="1">
        <v>0.0</v>
      </c>
      <c r="I52" s="1">
        <v>4.18</v>
      </c>
      <c r="J52" s="1" t="s">
        <v>301</v>
      </c>
      <c r="K52" s="1" t="s">
        <v>44</v>
      </c>
      <c r="L52" s="1">
        <v>464.0</v>
      </c>
      <c r="M52" s="1">
        <v>1995.0</v>
      </c>
      <c r="N52" s="1">
        <v>1750.0</v>
      </c>
      <c r="P52" s="2">
        <v>44455.0</v>
      </c>
      <c r="Q52" s="1" t="s">
        <v>32</v>
      </c>
      <c r="R52" s="1" t="s">
        <v>302</v>
      </c>
      <c r="S52" s="1" t="s">
        <v>32</v>
      </c>
      <c r="W52" s="1">
        <v>0.0</v>
      </c>
      <c r="X52" s="1">
        <v>0.0</v>
      </c>
    </row>
    <row r="53" spans="1:24" ht="15.75" customHeight="1">
      <c r="A53" s="17">
        <v>11990.0</v>
      </c>
      <c r="B53" s="17" t="s">
        <v>303</v>
      </c>
      <c r="C53" s="17" t="s">
        <v>304</v>
      </c>
      <c r="D53" s="17" t="s">
        <v>305</v>
      </c>
      <c r="E53" s="18"/>
      <c r="F53" s="17" t="str">
        <f>"0679733841"</f>
        <v>0679733841</v>
      </c>
      <c r="G53" s="17" t="str">
        <f>"9780679733843"</f>
        <v>9780679733843</v>
      </c>
      <c r="H53" s="17">
        <v>0.0</v>
      </c>
      <c r="I53" s="17">
        <v>4.14</v>
      </c>
      <c r="J53" s="17" t="s">
        <v>69</v>
      </c>
      <c r="K53" s="17" t="s">
        <v>44</v>
      </c>
      <c r="L53" s="17">
        <v>320.0</v>
      </c>
      <c r="M53" s="17">
        <v>1992.0</v>
      </c>
      <c r="N53" s="17">
        <v>1951.0</v>
      </c>
      <c r="O53" s="18"/>
      <c r="P53" s="19">
        <v>41306.0</v>
      </c>
      <c r="Q53" s="20" t="s">
        <v>225</v>
      </c>
      <c r="R53" s="17" t="s">
        <v>307</v>
      </c>
      <c r="S53" s="17" t="s">
        <v>32</v>
      </c>
      <c r="T53" s="18"/>
      <c r="U53" s="18"/>
      <c r="V53" s="18"/>
      <c r="W53" s="17">
        <v>0.0</v>
      </c>
      <c r="X53" s="17">
        <v>0.0</v>
      </c>
    </row>
    <row r="54" spans="1:24" ht="15.75" customHeight="1">
      <c r="A54" s="17">
        <v>1.7341476E7</v>
      </c>
      <c r="B54" s="17" t="s">
        <v>308</v>
      </c>
      <c r="C54" s="17" t="s">
        <v>304</v>
      </c>
      <c r="D54" s="17" t="s">
        <v>305</v>
      </c>
      <c r="E54" s="18"/>
      <c r="F54" s="17" t="str">
        <f t="shared" si="3" ref="F54:G54">""</f>
        <v/>
      </c>
      <c r="G54" s="17" t="str">
        <f t="shared" si="3"/>
        <v/>
      </c>
      <c r="H54" s="17">
        <v>0.0</v>
      </c>
      <c r="I54" s="17">
        <v>4.05</v>
      </c>
      <c r="J54" s="17" t="s">
        <v>309</v>
      </c>
      <c r="K54" s="17" t="s">
        <v>44</v>
      </c>
      <c r="L54" s="17">
        <v>156.0</v>
      </c>
      <c r="M54" s="17">
        <v>1965.0</v>
      </c>
      <c r="N54" s="17">
        <v>1944.0</v>
      </c>
      <c r="O54" s="18"/>
      <c r="P54" s="19">
        <v>45140.0</v>
      </c>
      <c r="Q54" s="20" t="s">
        <v>225</v>
      </c>
      <c r="R54" s="17" t="s">
        <v>310</v>
      </c>
      <c r="S54" s="17" t="s">
        <v>32</v>
      </c>
      <c r="T54" s="18"/>
      <c r="U54" s="18"/>
      <c r="V54" s="18"/>
      <c r="W54" s="17">
        <v>0.0</v>
      </c>
      <c r="X54" s="17">
        <v>0.0</v>
      </c>
    </row>
    <row r="55" spans="1:24" ht="15.75" customHeight="1">
      <c r="A55" s="17">
        <v>15694.0</v>
      </c>
      <c r="B55" s="17" t="s">
        <v>311</v>
      </c>
      <c r="C55" s="17" t="s">
        <v>304</v>
      </c>
      <c r="D55" s="17" t="s">
        <v>305</v>
      </c>
      <c r="E55" s="17" t="s">
        <v>312</v>
      </c>
      <c r="F55" s="17" t="str">
        <f>"0783816014"</f>
        <v>0783816014</v>
      </c>
      <c r="G55" s="17" t="str">
        <f>"9780783816012"</f>
        <v>9780783816012</v>
      </c>
      <c r="H55" s="17">
        <v>0.0</v>
      </c>
      <c r="I55" s="17">
        <v>3.97</v>
      </c>
      <c r="J55" s="17" t="s">
        <v>313</v>
      </c>
      <c r="K55" s="17" t="s">
        <v>37</v>
      </c>
      <c r="L55" s="17">
        <v>359.0</v>
      </c>
      <c r="M55" s="17">
        <v>1996.0</v>
      </c>
      <c r="N55" s="17">
        <v>1994.0</v>
      </c>
      <c r="O55" s="18"/>
      <c r="P55" s="19">
        <v>41306.0</v>
      </c>
      <c r="Q55" s="20" t="s">
        <v>225</v>
      </c>
      <c r="R55" s="17" t="s">
        <v>314</v>
      </c>
      <c r="S55" s="17" t="s">
        <v>32</v>
      </c>
      <c r="T55" s="18"/>
      <c r="U55" s="18"/>
      <c r="V55" s="18"/>
      <c r="W55" s="17">
        <v>0.0</v>
      </c>
      <c r="X55" s="17">
        <v>0.0</v>
      </c>
    </row>
    <row r="56" spans="1:24" ht="15.75" customHeight="1">
      <c r="A56" s="17">
        <v>76826.0</v>
      </c>
      <c r="B56" s="17" t="s">
        <v>315</v>
      </c>
      <c r="C56" s="17" t="s">
        <v>304</v>
      </c>
      <c r="D56" s="17" t="s">
        <v>305</v>
      </c>
      <c r="E56" s="17" t="s">
        <v>316</v>
      </c>
      <c r="F56" s="17" t="str">
        <f>"067973385X"</f>
        <v>067973385X</v>
      </c>
      <c r="G56" s="17" t="str">
        <f>"9780679733850"</f>
        <v>9780679733850</v>
      </c>
      <c r="H56" s="17">
        <v>0.0</v>
      </c>
      <c r="I56" s="17">
        <v>3.86</v>
      </c>
      <c r="J56" s="17" t="s">
        <v>317</v>
      </c>
      <c r="K56" s="17" t="s">
        <v>44</v>
      </c>
      <c r="L56" s="17">
        <v>213.0</v>
      </c>
      <c r="M56" s="17">
        <v>1991.0</v>
      </c>
      <c r="N56" s="17">
        <v>1950.0</v>
      </c>
      <c r="O56" s="18"/>
      <c r="P56" s="19">
        <v>41306.0</v>
      </c>
      <c r="Q56" s="20" t="s">
        <v>225</v>
      </c>
      <c r="R56" s="17" t="s">
        <v>318</v>
      </c>
      <c r="S56" s="17" t="s">
        <v>32</v>
      </c>
      <c r="T56" s="18"/>
      <c r="U56" s="18"/>
      <c r="V56" s="18"/>
      <c r="W56" s="17">
        <v>0.0</v>
      </c>
      <c r="X56" s="17">
        <v>0.0</v>
      </c>
    </row>
    <row r="57" spans="1:24" ht="15.75" customHeight="1">
      <c r="A57" s="17">
        <v>11987.0</v>
      </c>
      <c r="B57" s="17" t="s">
        <v>319</v>
      </c>
      <c r="C57" s="17" t="s">
        <v>304</v>
      </c>
      <c r="D57" s="17" t="s">
        <v>305</v>
      </c>
      <c r="E57" s="17" t="s">
        <v>316</v>
      </c>
      <c r="F57" s="17" t="str">
        <f t="shared" si="4" ref="F57:G57">""</f>
        <v/>
      </c>
      <c r="G57" s="17" t="str">
        <f t="shared" si="4"/>
        <v/>
      </c>
      <c r="H57" s="17">
        <v>0.0</v>
      </c>
      <c r="I57" s="17">
        <v>4.22</v>
      </c>
      <c r="J57" s="17" t="s">
        <v>317</v>
      </c>
      <c r="K57" s="17" t="s">
        <v>44</v>
      </c>
      <c r="L57" s="17">
        <v>212.0</v>
      </c>
      <c r="M57" s="17">
        <v>1991.0</v>
      </c>
      <c r="N57" s="17">
        <v>1942.0</v>
      </c>
      <c r="O57" s="18"/>
      <c r="P57" s="19">
        <v>45182.0</v>
      </c>
      <c r="Q57" s="20" t="s">
        <v>320</v>
      </c>
      <c r="R57" s="17" t="s">
        <v>321</v>
      </c>
      <c r="S57" s="17" t="s">
        <v>32</v>
      </c>
      <c r="T57" s="18"/>
      <c r="U57" s="18"/>
      <c r="V57" s="18"/>
      <c r="W57" s="17">
        <v>0.0</v>
      </c>
      <c r="X57" s="17">
        <v>0.0</v>
      </c>
    </row>
    <row r="58" spans="1:24" ht="15.75" customHeight="1">
      <c r="A58" s="17">
        <v>49552.0</v>
      </c>
      <c r="B58" s="17" t="s">
        <v>322</v>
      </c>
      <c r="C58" s="17" t="s">
        <v>304</v>
      </c>
      <c r="D58" s="17" t="s">
        <v>305</v>
      </c>
      <c r="E58" s="17" t="s">
        <v>323</v>
      </c>
      <c r="F58" s="17" t="str">
        <f t="shared" si="5" ref="F58:G58">""</f>
        <v/>
      </c>
      <c r="G58" s="17" t="str">
        <f t="shared" si="5"/>
        <v/>
      </c>
      <c r="H58" s="17">
        <v>5.0</v>
      </c>
      <c r="I58" s="17">
        <v>4.02</v>
      </c>
      <c r="J58" s="17" t="s">
        <v>317</v>
      </c>
      <c r="K58" s="17" t="s">
        <v>44</v>
      </c>
      <c r="L58" s="17">
        <v>159.0</v>
      </c>
      <c r="M58" s="17">
        <v>1989.0</v>
      </c>
      <c r="N58" s="17">
        <v>1942.0</v>
      </c>
      <c r="O58" s="19">
        <v>41027.0</v>
      </c>
      <c r="P58" s="19">
        <v>41027.0</v>
      </c>
      <c r="Q58" s="20" t="s">
        <v>324</v>
      </c>
      <c r="R58" s="17" t="s">
        <v>325</v>
      </c>
      <c r="S58" s="17" t="s">
        <v>271</v>
      </c>
      <c r="T58" s="18"/>
      <c r="U58" s="18"/>
      <c r="V58" s="18"/>
      <c r="W58" s="17">
        <v>1.0</v>
      </c>
      <c r="X58" s="17">
        <v>0.0</v>
      </c>
    </row>
    <row r="59" spans="1:24" ht="15.75" customHeight="1">
      <c r="A59" s="17">
        <v>6.3876556E7</v>
      </c>
      <c r="B59" s="17" t="s">
        <v>326</v>
      </c>
      <c r="C59" s="17" t="s">
        <v>304</v>
      </c>
      <c r="D59" s="17" t="s">
        <v>305</v>
      </c>
      <c r="E59" s="17" t="s">
        <v>327</v>
      </c>
      <c r="F59" s="17" t="str">
        <f>"0593311272"</f>
        <v>0593311272</v>
      </c>
      <c r="G59" s="17" t="str">
        <f>"9780593311271"</f>
        <v>9780593311271</v>
      </c>
      <c r="H59" s="17">
        <v>0.0</v>
      </c>
      <c r="I59" s="17">
        <v>4.05</v>
      </c>
      <c r="J59" s="17" t="s">
        <v>69</v>
      </c>
      <c r="K59" s="17" t="s">
        <v>44</v>
      </c>
      <c r="L59" s="17">
        <v>592.0</v>
      </c>
      <c r="M59" s="17">
        <v>2023.0</v>
      </c>
      <c r="N59" s="17">
        <v>1949.0</v>
      </c>
      <c r="O59" s="18"/>
      <c r="P59" s="19">
        <v>45099.0</v>
      </c>
      <c r="Q59" s="20" t="s">
        <v>328</v>
      </c>
      <c r="R59" s="17" t="s">
        <v>329</v>
      </c>
      <c r="S59" s="17" t="s">
        <v>32</v>
      </c>
      <c r="T59" s="18"/>
      <c r="U59" s="18"/>
      <c r="V59" s="18"/>
      <c r="W59" s="17">
        <v>0.0</v>
      </c>
      <c r="X59" s="17">
        <v>0.0</v>
      </c>
    </row>
    <row r="60" spans="1:24" ht="15.75" customHeight="1">
      <c r="A60" s="17">
        <v>397770.0</v>
      </c>
      <c r="B60" s="17" t="s">
        <v>330</v>
      </c>
      <c r="C60" s="17" t="s">
        <v>304</v>
      </c>
      <c r="D60" s="17" t="s">
        <v>305</v>
      </c>
      <c r="E60" s="17" t="s">
        <v>331</v>
      </c>
      <c r="F60" s="17" t="str">
        <f>"0679764003"</f>
        <v>0679764003</v>
      </c>
      <c r="G60" s="17" t="str">
        <f>"9780679764007"</f>
        <v>9780679764007</v>
      </c>
      <c r="H60" s="17">
        <v>0.0</v>
      </c>
      <c r="I60" s="17">
        <v>3.81</v>
      </c>
      <c r="J60" s="17" t="s">
        <v>69</v>
      </c>
      <c r="K60" s="17" t="s">
        <v>44</v>
      </c>
      <c r="L60" s="17">
        <v>192.0</v>
      </c>
      <c r="M60" s="17">
        <v>1995.0</v>
      </c>
      <c r="N60" s="17">
        <v>1971.0</v>
      </c>
      <c r="O60" s="18"/>
      <c r="P60" s="19">
        <v>41306.0</v>
      </c>
      <c r="Q60" s="20" t="s">
        <v>332</v>
      </c>
      <c r="R60" s="17" t="s">
        <v>333</v>
      </c>
      <c r="S60" s="17" t="s">
        <v>32</v>
      </c>
      <c r="T60" s="18"/>
      <c r="U60" s="18"/>
      <c r="V60" s="18"/>
      <c r="W60" s="17">
        <v>0.0</v>
      </c>
      <c r="X60" s="17">
        <v>1.0</v>
      </c>
    </row>
    <row r="61" spans="1:24" ht="15.75" customHeight="1">
      <c r="A61" s="1">
        <v>216125.0</v>
      </c>
      <c r="B61" s="1" t="s">
        <v>334</v>
      </c>
      <c r="C61" s="1" t="s">
        <v>335</v>
      </c>
      <c r="D61" s="1" t="s">
        <v>336</v>
      </c>
      <c r="F61" s="1" t="str">
        <f>"1555973213"</f>
        <v>1555973213</v>
      </c>
      <c r="G61" s="1" t="str">
        <f>"9781555973216"</f>
        <v>9781555973216</v>
      </c>
      <c r="H61" s="1">
        <v>0.0</v>
      </c>
      <c r="I61" s="1">
        <v>4.43</v>
      </c>
      <c r="J61" s="1" t="s">
        <v>337</v>
      </c>
      <c r="K61" s="1" t="s">
        <v>44</v>
      </c>
      <c r="L61" s="1">
        <v>276.0</v>
      </c>
      <c r="M61" s="1">
        <v>2001.0</v>
      </c>
      <c r="N61" s="1">
        <v>2001.0</v>
      </c>
      <c r="P61" s="2">
        <v>43984.0</v>
      </c>
      <c r="Q61" s="1" t="s">
        <v>338</v>
      </c>
      <c r="R61" s="1" t="s">
        <v>339</v>
      </c>
      <c r="S61" s="1" t="s">
        <v>32</v>
      </c>
      <c r="W61" s="1">
        <v>0.0</v>
      </c>
      <c r="X61" s="1">
        <v>0.0</v>
      </c>
    </row>
    <row r="62" spans="1:24" ht="15.75" customHeight="1">
      <c r="A62" s="1">
        <v>154643.0</v>
      </c>
      <c r="B62" s="1" t="s">
        <v>340</v>
      </c>
      <c r="C62" s="1" t="s">
        <v>341</v>
      </c>
      <c r="D62" s="1" t="s">
        <v>342</v>
      </c>
      <c r="F62" s="1" t="str">
        <f t="shared" si="6" ref="F62:G62">""</f>
        <v/>
      </c>
      <c r="G62" s="1" t="str">
        <f t="shared" si="6"/>
        <v/>
      </c>
      <c r="H62" s="1">
        <v>0.0</v>
      </c>
      <c r="I62" s="1">
        <v>4.05</v>
      </c>
      <c r="J62" s="1" t="s">
        <v>343</v>
      </c>
      <c r="K62" s="1" t="s">
        <v>44</v>
      </c>
      <c r="L62" s="1">
        <v>224.0</v>
      </c>
      <c r="M62" s="1">
        <v>1991.0</v>
      </c>
      <c r="N62" s="1">
        <v>1991.0</v>
      </c>
      <c r="P62" s="2">
        <v>44802.0</v>
      </c>
      <c r="Q62" s="1" t="s">
        <v>32</v>
      </c>
      <c r="R62" s="1" t="s">
        <v>344</v>
      </c>
      <c r="S62" s="1" t="s">
        <v>32</v>
      </c>
      <c r="W62" s="1">
        <v>0.0</v>
      </c>
      <c r="X62" s="1">
        <v>0.0</v>
      </c>
    </row>
    <row r="63" spans="1:24" ht="15.75" customHeight="1">
      <c r="A63" s="1">
        <v>3232810.0</v>
      </c>
      <c r="B63" s="1" t="s">
        <v>345</v>
      </c>
      <c r="C63" s="1" t="s">
        <v>346</v>
      </c>
      <c r="D63" s="1" t="s">
        <v>347</v>
      </c>
      <c r="F63" s="1" t="str">
        <f>"9509051349"</f>
        <v>9509051349</v>
      </c>
      <c r="G63" s="1" t="str">
        <f>"9789509051348"</f>
        <v>9789509051348</v>
      </c>
      <c r="H63" s="1">
        <v>0.0</v>
      </c>
      <c r="I63" s="1">
        <v>4.14</v>
      </c>
      <c r="J63" s="1" t="s">
        <v>348</v>
      </c>
      <c r="K63" s="1" t="s">
        <v>37</v>
      </c>
      <c r="L63" s="1">
        <v>1328.0</v>
      </c>
      <c r="M63" s="1">
        <v>2004.0</v>
      </c>
      <c r="N63" s="1">
        <v>1998.0</v>
      </c>
      <c r="P63" s="2">
        <v>45129.0</v>
      </c>
      <c r="Q63" s="1" t="s">
        <v>145</v>
      </c>
      <c r="R63" s="1" t="s">
        <v>349</v>
      </c>
      <c r="S63" s="1" t="s">
        <v>32</v>
      </c>
      <c r="W63" s="1">
        <v>0.0</v>
      </c>
      <c r="X63" s="1">
        <v>0.0</v>
      </c>
    </row>
    <row r="64" spans="1:24" ht="15.75" customHeight="1">
      <c r="A64" s="21">
        <v>53085.0</v>
      </c>
      <c r="B64" s="21" t="s">
        <v>350</v>
      </c>
      <c r="C64" s="21" t="s">
        <v>351</v>
      </c>
      <c r="D64" s="21" t="s">
        <v>352</v>
      </c>
      <c r="E64" s="22"/>
      <c r="F64" s="21" t="str">
        <f>"0140166548"</f>
        <v>0140166548</v>
      </c>
      <c r="G64" s="21" t="str">
        <f>"9780140166545"</f>
        <v>9780140166545</v>
      </c>
      <c r="H64" s="21">
        <v>0.0</v>
      </c>
      <c r="I64" s="21">
        <v>3.98</v>
      </c>
      <c r="J64" s="21" t="s">
        <v>309</v>
      </c>
      <c r="K64" s="21" t="s">
        <v>44</v>
      </c>
      <c r="L64" s="21">
        <v>372.0</v>
      </c>
      <c r="M64" s="21">
        <v>1997.0</v>
      </c>
      <c r="N64" s="21">
        <v>1996.0</v>
      </c>
      <c r="O64" s="22"/>
      <c r="P64" s="23">
        <v>45143.0</v>
      </c>
      <c r="Q64" s="24" t="s">
        <v>306</v>
      </c>
      <c r="R64" s="21" t="s">
        <v>354</v>
      </c>
      <c r="S64" s="21" t="s">
        <v>32</v>
      </c>
      <c r="T64" s="22"/>
      <c r="U64" s="22"/>
      <c r="V64" s="22"/>
      <c r="W64" s="21">
        <v>0.0</v>
      </c>
      <c r="X64" s="21">
        <v>0.0</v>
      </c>
    </row>
    <row r="65" spans="1:24" ht="15.75" customHeight="1">
      <c r="A65" s="21">
        <v>44038.0</v>
      </c>
      <c r="B65" s="21" t="s">
        <v>355</v>
      </c>
      <c r="C65" s="21" t="s">
        <v>351</v>
      </c>
      <c r="D65" s="21" t="s">
        <v>352</v>
      </c>
      <c r="E65" s="22"/>
      <c r="F65" s="21" t="str">
        <f>"1846590051"</f>
        <v>1846590051</v>
      </c>
      <c r="G65" s="21" t="str">
        <f>"9781846590054"</f>
        <v>9781846590054</v>
      </c>
      <c r="H65" s="21">
        <v>0.0</v>
      </c>
      <c r="I65" s="21">
        <v>3.67</v>
      </c>
      <c r="J65" s="21" t="s">
        <v>356</v>
      </c>
      <c r="K65" s="21" t="s">
        <v>44</v>
      </c>
      <c r="L65" s="21">
        <v>104.0</v>
      </c>
      <c r="M65" s="21">
        <v>2006.0</v>
      </c>
      <c r="N65" s="21">
        <v>2002.0</v>
      </c>
      <c r="O65" s="22"/>
      <c r="P65" s="23">
        <v>42603.0</v>
      </c>
      <c r="Q65" s="24" t="s">
        <v>306</v>
      </c>
      <c r="R65" s="21" t="s">
        <v>357</v>
      </c>
      <c r="S65" s="21" t="s">
        <v>32</v>
      </c>
      <c r="T65" s="22"/>
      <c r="U65" s="22"/>
      <c r="V65" s="22"/>
      <c r="W65" s="21">
        <v>0.0</v>
      </c>
      <c r="X65" s="21">
        <v>0.0</v>
      </c>
    </row>
    <row r="66" spans="1:24" ht="15.75" customHeight="1">
      <c r="A66" s="1">
        <v>67145.0</v>
      </c>
      <c r="B66" s="1" t="s">
        <v>358</v>
      </c>
      <c r="C66" s="1" t="s">
        <v>359</v>
      </c>
      <c r="D66" s="1" t="s">
        <v>360</v>
      </c>
      <c r="E66" s="1" t="s">
        <v>361</v>
      </c>
      <c r="F66" s="1" t="str">
        <f>"1586420054"</f>
        <v>1586420054</v>
      </c>
      <c r="G66" s="1" t="str">
        <f>"9781586420055"</f>
        <v>9781586420055</v>
      </c>
      <c r="H66" s="1">
        <v>0.0</v>
      </c>
      <c r="I66" s="1">
        <v>3.74</v>
      </c>
      <c r="J66" s="1" t="s">
        <v>362</v>
      </c>
      <c r="K66" s="1" t="s">
        <v>44</v>
      </c>
      <c r="L66" s="1">
        <v>400.0</v>
      </c>
      <c r="M66" s="1">
        <v>2000.0</v>
      </c>
      <c r="N66" s="1">
        <v>1929.0</v>
      </c>
      <c r="P66" s="3">
        <v>44158.0</v>
      </c>
      <c r="Q66" s="1" t="s">
        <v>32</v>
      </c>
      <c r="R66" s="1" t="s">
        <v>363</v>
      </c>
      <c r="S66" s="1" t="s">
        <v>32</v>
      </c>
      <c r="W66" s="1">
        <v>0.0</v>
      </c>
      <c r="X66" s="1">
        <v>0.0</v>
      </c>
    </row>
    <row r="67" spans="1:24" ht="15.75" customHeight="1">
      <c r="A67" s="1">
        <v>5.4959652E7</v>
      </c>
      <c r="B67" s="1" t="s">
        <v>364</v>
      </c>
      <c r="C67" s="1" t="s">
        <v>365</v>
      </c>
      <c r="D67" s="1" t="s">
        <v>366</v>
      </c>
      <c r="F67" s="1" t="str">
        <f>"1786630559"</f>
        <v>1786630559</v>
      </c>
      <c r="G67" s="1" t="str">
        <f>"9781786630551"</f>
        <v>9781786630551</v>
      </c>
      <c r="H67" s="1">
        <v>0.0</v>
      </c>
      <c r="I67" s="1">
        <v>3.86</v>
      </c>
      <c r="J67" s="1" t="s">
        <v>367</v>
      </c>
      <c r="K67" s="1" t="s">
        <v>29</v>
      </c>
      <c r="L67" s="1">
        <v>352.0</v>
      </c>
      <c r="M67" s="1">
        <v>2017.0</v>
      </c>
      <c r="N67" s="1">
        <v>2009.0</v>
      </c>
      <c r="P67" s="2">
        <v>45113.0</v>
      </c>
      <c r="Q67" s="1" t="s">
        <v>115</v>
      </c>
      <c r="R67" s="1" t="s">
        <v>368</v>
      </c>
      <c r="S67" s="1" t="s">
        <v>32</v>
      </c>
      <c r="W67" s="1">
        <v>0.0</v>
      </c>
      <c r="X67" s="1">
        <v>1.0</v>
      </c>
    </row>
    <row r="68" spans="1:24" ht="15.75" customHeight="1">
      <c r="A68" s="1">
        <v>1.56427331E8</v>
      </c>
      <c r="B68" s="1" t="s">
        <v>369</v>
      </c>
      <c r="C68" s="1" t="s">
        <v>370</v>
      </c>
      <c r="D68" s="1" t="s">
        <v>371</v>
      </c>
      <c r="F68" s="1" t="str">
        <f>"6125037193"</f>
        <v>6125037193</v>
      </c>
      <c r="G68" s="1" t="str">
        <f>"9786125037190"</f>
        <v>9786125037190</v>
      </c>
      <c r="H68" s="1">
        <v>0.0</v>
      </c>
      <c r="I68" s="1">
        <v>4.28</v>
      </c>
      <c r="J68" s="1" t="s">
        <v>372</v>
      </c>
      <c r="K68" s="1" t="s">
        <v>29</v>
      </c>
      <c r="L68" s="1">
        <v>301.0</v>
      </c>
      <c r="M68" s="1">
        <v>2023.0</v>
      </c>
      <c r="P68" s="2">
        <v>45313.0</v>
      </c>
      <c r="Q68" s="1" t="s">
        <v>55</v>
      </c>
      <c r="R68" s="1" t="s">
        <v>373</v>
      </c>
      <c r="S68" s="1" t="s">
        <v>32</v>
      </c>
      <c r="W68" s="1">
        <v>0.0</v>
      </c>
      <c r="X68" s="1">
        <v>0.0</v>
      </c>
    </row>
    <row r="69" spans="1:24" ht="15.75" customHeight="1">
      <c r="A69" s="1">
        <v>5.7697529E7</v>
      </c>
      <c r="B69" s="1" t="s">
        <v>374</v>
      </c>
      <c r="C69" s="1" t="s">
        <v>375</v>
      </c>
      <c r="D69" s="1" t="s">
        <v>376</v>
      </c>
      <c r="E69" s="1" t="s">
        <v>377</v>
      </c>
      <c r="F69" s="1" t="str">
        <f>"8412303601"</f>
        <v>8412303601</v>
      </c>
      <c r="G69" s="1" t="str">
        <f>"9788412303605"</f>
        <v>9788412303605</v>
      </c>
      <c r="H69" s="1">
        <v>0.0</v>
      </c>
      <c r="I69" s="1">
        <v>3.77</v>
      </c>
      <c r="J69" s="1" t="s">
        <v>378</v>
      </c>
      <c r="K69" s="1" t="s">
        <v>44</v>
      </c>
      <c r="L69" s="1">
        <v>176.0</v>
      </c>
      <c r="M69" s="1">
        <v>2021.0</v>
      </c>
      <c r="N69" s="1">
        <v>1995.0</v>
      </c>
      <c r="P69" s="2">
        <v>44312.0</v>
      </c>
      <c r="Q69" s="1" t="s">
        <v>32</v>
      </c>
      <c r="R69" s="1" t="s">
        <v>379</v>
      </c>
      <c r="S69" s="1" t="s">
        <v>32</v>
      </c>
      <c r="W69" s="1">
        <v>0.0</v>
      </c>
      <c r="X69" s="1">
        <v>0.0</v>
      </c>
    </row>
    <row r="70" spans="1:24" ht="15.75" customHeight="1">
      <c r="A70" s="1">
        <v>916592.0</v>
      </c>
      <c r="B70" s="1" t="s">
        <v>380</v>
      </c>
      <c r="C70" s="1" t="s">
        <v>381</v>
      </c>
      <c r="D70" s="1" t="s">
        <v>382</v>
      </c>
      <c r="F70" s="1" t="str">
        <f>"1555973566"</f>
        <v>1555973566</v>
      </c>
      <c r="G70" s="1" t="str">
        <f>"9781555973568"</f>
        <v>9781555973568</v>
      </c>
      <c r="H70" s="1">
        <v>0.0</v>
      </c>
      <c r="I70" s="1">
        <v>3.71</v>
      </c>
      <c r="J70" s="1" t="s">
        <v>337</v>
      </c>
      <c r="K70" s="1" t="s">
        <v>44</v>
      </c>
      <c r="M70" s="1">
        <v>2001.0</v>
      </c>
      <c r="N70" s="1">
        <v>2001.0</v>
      </c>
      <c r="P70" s="2">
        <v>45116.0</v>
      </c>
      <c r="Q70" s="1" t="s">
        <v>383</v>
      </c>
      <c r="R70" s="1" t="s">
        <v>384</v>
      </c>
      <c r="S70" s="1" t="s">
        <v>32</v>
      </c>
      <c r="W70" s="1">
        <v>0.0</v>
      </c>
      <c r="X70" s="1">
        <v>1.0</v>
      </c>
    </row>
    <row r="71" spans="1:24" ht="15.75" customHeight="1">
      <c r="A71" s="1">
        <v>3.6422677E7</v>
      </c>
      <c r="B71" s="1" t="s">
        <v>385</v>
      </c>
      <c r="C71" s="1" t="s">
        <v>386</v>
      </c>
      <c r="D71" s="1" t="s">
        <v>387</v>
      </c>
      <c r="F71" s="1" t="str">
        <f>"1316832368"</f>
        <v>1316832368</v>
      </c>
      <c r="G71" s="1" t="str">
        <f>"9781316832363"</f>
        <v>9781316832363</v>
      </c>
      <c r="H71" s="1">
        <v>0.0</v>
      </c>
      <c r="I71" s="1">
        <v>4.33</v>
      </c>
      <c r="J71" s="1" t="s">
        <v>388</v>
      </c>
      <c r="K71" s="1" t="s">
        <v>29</v>
      </c>
      <c r="L71" s="1">
        <v>274.0</v>
      </c>
      <c r="M71" s="1">
        <v>2017.0</v>
      </c>
      <c r="P71" s="2">
        <v>44199.0</v>
      </c>
      <c r="Q71" s="1" t="s">
        <v>32</v>
      </c>
      <c r="R71" s="1" t="s">
        <v>389</v>
      </c>
      <c r="S71" s="1" t="s">
        <v>32</v>
      </c>
      <c r="W71" s="1">
        <v>0.0</v>
      </c>
      <c r="X71" s="1">
        <v>0.0</v>
      </c>
    </row>
    <row r="72" spans="1:24" ht="15.75" customHeight="1">
      <c r="A72" s="25">
        <v>53673.0</v>
      </c>
      <c r="B72" s="25" t="s">
        <v>390</v>
      </c>
      <c r="C72" s="25" t="s">
        <v>391</v>
      </c>
      <c r="D72" s="25" t="s">
        <v>392</v>
      </c>
      <c r="E72" s="26"/>
      <c r="F72" s="25" t="str">
        <f t="shared" si="7" ref="F72:G72">""</f>
        <v/>
      </c>
      <c r="G72" s="25" t="str">
        <f t="shared" si="7"/>
        <v/>
      </c>
      <c r="H72" s="25">
        <v>0.0</v>
      </c>
      <c r="I72" s="25">
        <v>3.87</v>
      </c>
      <c r="J72" s="25" t="s">
        <v>393</v>
      </c>
      <c r="K72" s="25" t="s">
        <v>44</v>
      </c>
      <c r="L72" s="25">
        <v>400.0</v>
      </c>
      <c r="M72" s="25">
        <v>2005.0</v>
      </c>
      <c r="N72" s="25">
        <v>1952.0</v>
      </c>
      <c r="O72" s="26"/>
      <c r="P72" s="27">
        <v>42512.0</v>
      </c>
      <c r="Q72" s="28" t="s">
        <v>353</v>
      </c>
      <c r="R72" s="25" t="s">
        <v>395</v>
      </c>
      <c r="S72" s="25" t="s">
        <v>32</v>
      </c>
      <c r="T72" s="26"/>
      <c r="U72" s="26"/>
      <c r="V72" s="26"/>
      <c r="W72" s="25">
        <v>0.0</v>
      </c>
      <c r="X72" s="25">
        <v>0.0</v>
      </c>
    </row>
    <row r="73" spans="1:24" ht="15.75" customHeight="1">
      <c r="A73" s="25">
        <v>5485.0</v>
      </c>
      <c r="B73" s="25" t="s">
        <v>396</v>
      </c>
      <c r="C73" s="25" t="s">
        <v>391</v>
      </c>
      <c r="D73" s="25" t="s">
        <v>392</v>
      </c>
      <c r="E73" s="26"/>
      <c r="F73" s="25" t="str">
        <f>"0060850523"</f>
        <v>0060850523</v>
      </c>
      <c r="G73" s="25" t="str">
        <f>"9780060850524"</f>
        <v>9780060850524</v>
      </c>
      <c r="H73" s="25">
        <v>3.0</v>
      </c>
      <c r="I73" s="25">
        <v>3.99</v>
      </c>
      <c r="J73" s="25" t="s">
        <v>397</v>
      </c>
      <c r="K73" s="25" t="s">
        <v>44</v>
      </c>
      <c r="L73" s="25">
        <v>288.0</v>
      </c>
      <c r="M73" s="25">
        <v>2006.0</v>
      </c>
      <c r="N73" s="25">
        <v>1932.0</v>
      </c>
      <c r="O73" s="27">
        <v>41350.0</v>
      </c>
      <c r="P73" s="27">
        <v>41335.0</v>
      </c>
      <c r="Q73" s="28" t="s">
        <v>353</v>
      </c>
      <c r="R73" s="25" t="s">
        <v>398</v>
      </c>
      <c r="S73" s="25" t="s">
        <v>32</v>
      </c>
      <c r="T73" s="26"/>
      <c r="U73" s="26"/>
      <c r="V73" s="26"/>
      <c r="W73" s="25">
        <v>1.0</v>
      </c>
      <c r="X73" s="25">
        <v>0.0</v>
      </c>
    </row>
    <row r="74" spans="1:24" ht="15.75" customHeight="1">
      <c r="A74" s="25">
        <v>5128.0</v>
      </c>
      <c r="B74" s="25" t="s">
        <v>399</v>
      </c>
      <c r="C74" s="25" t="s">
        <v>391</v>
      </c>
      <c r="D74" s="25" t="s">
        <v>392</v>
      </c>
      <c r="E74" s="26"/>
      <c r="F74" s="25" t="str">
        <f>"0060595183"</f>
        <v>0060595183</v>
      </c>
      <c r="G74" s="25" t="str">
        <f>"9780060595180"</f>
        <v>9780060595180</v>
      </c>
      <c r="H74" s="25">
        <v>0.0</v>
      </c>
      <c r="I74" s="25">
        <v>3.93</v>
      </c>
      <c r="J74" s="25" t="s">
        <v>397</v>
      </c>
      <c r="K74" s="25" t="s">
        <v>44</v>
      </c>
      <c r="L74" s="25">
        <v>187.0</v>
      </c>
      <c r="M74" s="25">
        <v>2004.0</v>
      </c>
      <c r="N74" s="25">
        <v>1956.0</v>
      </c>
      <c r="O74" s="26"/>
      <c r="P74" s="27">
        <v>41053.0</v>
      </c>
      <c r="Q74" s="28" t="s">
        <v>353</v>
      </c>
      <c r="R74" s="25" t="s">
        <v>400</v>
      </c>
      <c r="S74" s="25" t="s">
        <v>32</v>
      </c>
      <c r="T74" s="26"/>
      <c r="U74" s="26"/>
      <c r="V74" s="26"/>
      <c r="W74" s="25">
        <v>0.0</v>
      </c>
      <c r="X74" s="25">
        <v>0.0</v>
      </c>
    </row>
    <row r="75" spans="1:24" ht="15.75" customHeight="1">
      <c r="A75" s="1">
        <v>215460.0</v>
      </c>
      <c r="B75" s="1" t="s">
        <v>401</v>
      </c>
      <c r="C75" s="1" t="s">
        <v>402</v>
      </c>
      <c r="D75" s="1" t="s">
        <v>403</v>
      </c>
      <c r="E75" s="1" t="s">
        <v>404</v>
      </c>
      <c r="F75" s="1" t="str">
        <f>"0877289085"</f>
        <v>0877289085</v>
      </c>
      <c r="G75" s="1" t="str">
        <f>"9780877289081"</f>
        <v>9780877289081</v>
      </c>
      <c r="H75" s="1">
        <v>0.0</v>
      </c>
      <c r="I75" s="1">
        <v>4.25</v>
      </c>
      <c r="J75" s="1" t="s">
        <v>405</v>
      </c>
      <c r="K75" s="1" t="s">
        <v>37</v>
      </c>
      <c r="L75" s="1">
        <v>640.0</v>
      </c>
      <c r="M75" s="1">
        <v>2002.0</v>
      </c>
      <c r="N75" s="1">
        <v>2002.0</v>
      </c>
      <c r="P75" s="2">
        <v>45140.0</v>
      </c>
      <c r="Q75" s="1" t="s">
        <v>32</v>
      </c>
      <c r="R75" s="1" t="s">
        <v>406</v>
      </c>
      <c r="S75" s="1" t="s">
        <v>32</v>
      </c>
      <c r="W75" s="1">
        <v>0.0</v>
      </c>
      <c r="X75" s="1">
        <v>0.0</v>
      </c>
    </row>
    <row r="76" spans="1:24" ht="15.75" customHeight="1">
      <c r="A76" s="1">
        <v>123656.0</v>
      </c>
      <c r="B76" s="1" t="s">
        <v>407</v>
      </c>
      <c r="C76" s="1" t="s">
        <v>402</v>
      </c>
      <c r="D76" s="1" t="s">
        <v>403</v>
      </c>
      <c r="F76" s="1" t="str">
        <f>"0877285160"</f>
        <v>0877285160</v>
      </c>
      <c r="G76" s="1" t="str">
        <f>"9780877285168"</f>
        <v>9780877285168</v>
      </c>
      <c r="H76" s="1">
        <v>0.0</v>
      </c>
      <c r="I76" s="1">
        <v>3.82</v>
      </c>
      <c r="J76" s="1" t="s">
        <v>408</v>
      </c>
      <c r="K76" s="1" t="s">
        <v>44</v>
      </c>
      <c r="L76" s="1">
        <v>196.0</v>
      </c>
      <c r="M76" s="1">
        <v>2010.0</v>
      </c>
      <c r="N76" s="1">
        <v>1913.0</v>
      </c>
      <c r="P76" s="2">
        <v>45059.0</v>
      </c>
      <c r="Q76" s="1" t="s">
        <v>32</v>
      </c>
      <c r="R76" s="1" t="s">
        <v>409</v>
      </c>
      <c r="S76" s="1" t="s">
        <v>32</v>
      </c>
      <c r="W76" s="1">
        <v>0.0</v>
      </c>
      <c r="X76" s="1">
        <v>0.0</v>
      </c>
    </row>
    <row r="77" spans="1:24" ht="15.75" customHeight="1">
      <c r="A77" s="1">
        <v>4.5573014E7</v>
      </c>
      <c r="B77" s="1" t="s">
        <v>410</v>
      </c>
      <c r="C77" s="1" t="s">
        <v>411</v>
      </c>
      <c r="D77" s="1" t="s">
        <v>412</v>
      </c>
      <c r="F77" s="1" t="str">
        <f>""</f>
        <v/>
      </c>
      <c r="G77" s="1" t="str">
        <f>"9789874696236"</f>
        <v>9789874696236</v>
      </c>
      <c r="H77" s="1">
        <v>0.0</v>
      </c>
      <c r="I77" s="1">
        <v>4.07</v>
      </c>
      <c r="J77" s="1" t="s">
        <v>413</v>
      </c>
      <c r="K77" s="1" t="s">
        <v>44</v>
      </c>
      <c r="L77" s="1">
        <v>153.0</v>
      </c>
      <c r="M77" s="1">
        <v>2019.0</v>
      </c>
      <c r="N77" s="1">
        <v>2019.0</v>
      </c>
      <c r="P77" s="2">
        <v>44814.0</v>
      </c>
      <c r="Q77" s="1" t="s">
        <v>383</v>
      </c>
      <c r="R77" s="1" t="s">
        <v>414</v>
      </c>
      <c r="S77" s="1" t="s">
        <v>32</v>
      </c>
      <c r="W77" s="1">
        <v>0.0</v>
      </c>
      <c r="X77" s="1">
        <v>1.0</v>
      </c>
    </row>
    <row r="78" spans="1:24" ht="15.75" customHeight="1">
      <c r="A78" s="1">
        <v>3.0047022E7</v>
      </c>
      <c r="B78" s="1" t="s">
        <v>415</v>
      </c>
      <c r="C78" s="1" t="s">
        <v>416</v>
      </c>
      <c r="D78" s="1" t="s">
        <v>417</v>
      </c>
      <c r="E78" s="1" t="s">
        <v>418</v>
      </c>
      <c r="F78" s="1" t="str">
        <f>"0811216438"</f>
        <v>0811216438</v>
      </c>
      <c r="G78" s="1" t="str">
        <f>"9780811216432"</f>
        <v>9780811216432</v>
      </c>
      <c r="H78" s="1">
        <v>0.0</v>
      </c>
      <c r="I78" s="1">
        <v>4.26</v>
      </c>
      <c r="J78" s="1" t="s">
        <v>419</v>
      </c>
      <c r="K78" s="1" t="s">
        <v>420</v>
      </c>
      <c r="L78" s="1">
        <v>384.0</v>
      </c>
      <c r="M78" s="1">
        <v>2016.0</v>
      </c>
      <c r="N78" s="1">
        <v>1968.0</v>
      </c>
      <c r="P78" s="2">
        <v>44252.0</v>
      </c>
      <c r="Q78" s="1" t="s">
        <v>421</v>
      </c>
      <c r="R78" s="1" t="s">
        <v>422</v>
      </c>
      <c r="S78" s="1" t="s">
        <v>32</v>
      </c>
      <c r="W78" s="1">
        <v>0.0</v>
      </c>
      <c r="X78" s="1">
        <v>0.0</v>
      </c>
    </row>
    <row r="79" spans="1:24" ht="15.75" customHeight="1">
      <c r="A79" s="1">
        <v>6.1114967E7</v>
      </c>
      <c r="B79" s="1" t="s">
        <v>423</v>
      </c>
      <c r="C79" s="1" t="s">
        <v>424</v>
      </c>
      <c r="D79" s="1" t="s">
        <v>425</v>
      </c>
      <c r="F79" s="1" t="str">
        <f>""</f>
        <v/>
      </c>
      <c r="G79" s="1" t="str">
        <f>"9789874810809"</f>
        <v>9789874810809</v>
      </c>
      <c r="H79" s="1">
        <v>0.0</v>
      </c>
      <c r="I79" s="1">
        <v>2.25</v>
      </c>
      <c r="J79" s="1" t="s">
        <v>426</v>
      </c>
      <c r="K79" s="1" t="s">
        <v>44</v>
      </c>
      <c r="L79" s="1">
        <v>112.0</v>
      </c>
      <c r="M79" s="1">
        <v>2021.0</v>
      </c>
      <c r="P79" s="2">
        <v>45318.0</v>
      </c>
      <c r="Q79" s="1" t="s">
        <v>32</v>
      </c>
      <c r="R79" s="1" t="s">
        <v>427</v>
      </c>
      <c r="S79" s="1" t="s">
        <v>32</v>
      </c>
      <c r="W79" s="1">
        <v>0.0</v>
      </c>
      <c r="X79" s="1">
        <v>0.0</v>
      </c>
    </row>
    <row r="80" spans="1:24" ht="15.75" customHeight="1">
      <c r="A80" s="1">
        <v>6551807.0</v>
      </c>
      <c r="B80" s="1" t="s">
        <v>428</v>
      </c>
      <c r="C80" s="1" t="s">
        <v>429</v>
      </c>
      <c r="D80" s="1" t="s">
        <v>430</v>
      </c>
      <c r="E80" s="1" t="s">
        <v>431</v>
      </c>
      <c r="F80" s="1" t="str">
        <f>"1594772630"</f>
        <v>1594772630</v>
      </c>
      <c r="G80" s="1" t="str">
        <f>"9781594772634"</f>
        <v>9781594772634</v>
      </c>
      <c r="H80" s="1">
        <v>0.0</v>
      </c>
      <c r="I80" s="1">
        <v>4.31</v>
      </c>
      <c r="J80" s="1" t="s">
        <v>432</v>
      </c>
      <c r="K80" s="1" t="s">
        <v>44</v>
      </c>
      <c r="L80" s="1">
        <v>552.0</v>
      </c>
      <c r="M80" s="1">
        <v>2009.0</v>
      </c>
      <c r="N80" s="1">
        <v>2004.0</v>
      </c>
      <c r="P80" s="2">
        <v>44790.0</v>
      </c>
      <c r="Q80" s="1" t="s">
        <v>32</v>
      </c>
      <c r="R80" s="1" t="s">
        <v>433</v>
      </c>
      <c r="S80" s="1" t="s">
        <v>32</v>
      </c>
      <c r="W80" s="1">
        <v>0.0</v>
      </c>
      <c r="X80" s="1">
        <v>0.0</v>
      </c>
    </row>
    <row r="81" spans="1:24" ht="15.75" customHeight="1">
      <c r="A81" s="1">
        <v>669450.0</v>
      </c>
      <c r="B81" s="1" t="s">
        <v>434</v>
      </c>
      <c r="C81" s="1" t="s">
        <v>435</v>
      </c>
      <c r="D81" s="1" t="s">
        <v>436</v>
      </c>
      <c r="E81" s="1" t="s">
        <v>437</v>
      </c>
      <c r="F81" s="1" t="str">
        <f>"0374521972"</f>
        <v>0374521972</v>
      </c>
      <c r="G81" s="1" t="str">
        <f>"9780374521974"</f>
        <v>9780374521974</v>
      </c>
      <c r="H81" s="1">
        <v>0.0</v>
      </c>
      <c r="I81" s="1">
        <v>3.77</v>
      </c>
      <c r="J81" s="1" t="s">
        <v>438</v>
      </c>
      <c r="K81" s="1" t="s">
        <v>44</v>
      </c>
      <c r="L81" s="1">
        <v>186.0</v>
      </c>
      <c r="M81" s="1">
        <v>1989.0</v>
      </c>
      <c r="N81" s="1">
        <v>1949.0</v>
      </c>
      <c r="P81" s="2">
        <v>44868.0</v>
      </c>
      <c r="Q81" s="1" t="s">
        <v>32</v>
      </c>
      <c r="R81" s="1" t="s">
        <v>439</v>
      </c>
      <c r="S81" s="1" t="s">
        <v>32</v>
      </c>
      <c r="W81" s="1">
        <v>0.0</v>
      </c>
      <c r="X81" s="1">
        <v>0.0</v>
      </c>
    </row>
    <row r="82" spans="1:24" ht="15.75" customHeight="1">
      <c r="A82" s="1">
        <v>17125.0</v>
      </c>
      <c r="B82" s="1" t="s">
        <v>440</v>
      </c>
      <c r="C82" s="1" t="s">
        <v>441</v>
      </c>
      <c r="D82" s="1" t="s">
        <v>442</v>
      </c>
      <c r="E82" s="1" t="s">
        <v>443</v>
      </c>
      <c r="F82" s="1" t="str">
        <f t="shared" si="8" ref="F82:G82">""</f>
        <v/>
      </c>
      <c r="G82" s="1" t="str">
        <f t="shared" si="8"/>
        <v/>
      </c>
      <c r="H82" s="1">
        <v>0.0</v>
      </c>
      <c r="I82" s="1">
        <v>3.98</v>
      </c>
      <c r="J82" s="1" t="s">
        <v>438</v>
      </c>
      <c r="K82" s="1" t="s">
        <v>44</v>
      </c>
      <c r="L82" s="1">
        <v>182.0</v>
      </c>
      <c r="M82" s="1">
        <v>2005.0</v>
      </c>
      <c r="N82" s="1">
        <v>1962.0</v>
      </c>
      <c r="P82" s="2">
        <v>44459.0</v>
      </c>
      <c r="Q82" s="1" t="s">
        <v>32</v>
      </c>
      <c r="R82" s="1" t="s">
        <v>444</v>
      </c>
      <c r="S82" s="1" t="s">
        <v>32</v>
      </c>
      <c r="W82" s="1">
        <v>0.0</v>
      </c>
      <c r="X82" s="1">
        <v>0.0</v>
      </c>
    </row>
    <row r="83" spans="1:24" ht="15.75" customHeight="1">
      <c r="A83" s="1">
        <v>5.1009761E7</v>
      </c>
      <c r="B83" s="1" t="s">
        <v>445</v>
      </c>
      <c r="C83" s="1" t="s">
        <v>446</v>
      </c>
      <c r="D83" s="1" t="s">
        <v>447</v>
      </c>
      <c r="F83" s="1" t="str">
        <f>"1556595999"</f>
        <v>1556595999</v>
      </c>
      <c r="G83" s="1" t="str">
        <f>"9781556595998"</f>
        <v>9781556595998</v>
      </c>
      <c r="H83" s="1">
        <v>0.0</v>
      </c>
      <c r="I83" s="1">
        <v>4.11</v>
      </c>
      <c r="J83" s="1" t="s">
        <v>448</v>
      </c>
      <c r="K83" s="1" t="s">
        <v>44</v>
      </c>
      <c r="L83" s="1">
        <v>116.0</v>
      </c>
      <c r="M83" s="1">
        <v>2020.0</v>
      </c>
      <c r="N83" s="1">
        <v>2021.0</v>
      </c>
      <c r="P83" s="2">
        <v>44220.0</v>
      </c>
      <c r="Q83" s="1" t="s">
        <v>449</v>
      </c>
      <c r="R83" s="1" t="s">
        <v>450</v>
      </c>
      <c r="S83" s="1" t="s">
        <v>32</v>
      </c>
      <c r="W83" s="1">
        <v>0.0</v>
      </c>
      <c r="X83" s="1">
        <v>1.0</v>
      </c>
    </row>
    <row r="84" spans="1:24" ht="15.75" customHeight="1">
      <c r="A84" s="1">
        <v>106373.0</v>
      </c>
      <c r="B84" s="1" t="s">
        <v>451</v>
      </c>
      <c r="C84" s="1" t="s">
        <v>452</v>
      </c>
      <c r="D84" s="1" t="s">
        <v>453</v>
      </c>
      <c r="F84" s="1" t="str">
        <f>"0571223109"</f>
        <v>0571223109</v>
      </c>
      <c r="G84" s="1" t="str">
        <f>"9780571223107"</f>
        <v>9780571223107</v>
      </c>
      <c r="H84" s="1">
        <v>0.0</v>
      </c>
      <c r="I84" s="1">
        <v>3.38</v>
      </c>
      <c r="J84" s="1" t="s">
        <v>454</v>
      </c>
      <c r="K84" s="1" t="s">
        <v>44</v>
      </c>
      <c r="L84" s="1">
        <v>192.0</v>
      </c>
      <c r="M84" s="1">
        <v>2005.0</v>
      </c>
      <c r="N84" s="1">
        <v>2004.0</v>
      </c>
      <c r="P84" s="2">
        <v>42372.0</v>
      </c>
      <c r="Q84" s="1" t="s">
        <v>32</v>
      </c>
      <c r="R84" s="1" t="s">
        <v>455</v>
      </c>
      <c r="S84" s="1" t="s">
        <v>32</v>
      </c>
      <c r="W84" s="1">
        <v>0.0</v>
      </c>
      <c r="X84" s="1">
        <v>0.0</v>
      </c>
    </row>
    <row r="85" spans="1:24" ht="15.75" customHeight="1">
      <c r="A85" s="1">
        <v>3.5403039E7</v>
      </c>
      <c r="B85" s="1" t="s">
        <v>456</v>
      </c>
      <c r="C85" s="1" t="s">
        <v>457</v>
      </c>
      <c r="D85" s="1" t="s">
        <v>458</v>
      </c>
      <c r="F85" s="1" t="str">
        <f>"1784782912"</f>
        <v>1784782912</v>
      </c>
      <c r="G85" s="1" t="str">
        <f>""</f>
        <v/>
      </c>
      <c r="H85" s="1">
        <v>0.0</v>
      </c>
      <c r="I85" s="1">
        <v>4.19</v>
      </c>
      <c r="J85" s="1" t="s">
        <v>367</v>
      </c>
      <c r="K85" s="1" t="s">
        <v>29</v>
      </c>
      <c r="L85" s="1">
        <v>273.0</v>
      </c>
      <c r="M85" s="1">
        <v>2017.0</v>
      </c>
      <c r="N85" s="1">
        <v>2017.0</v>
      </c>
      <c r="P85" s="3">
        <v>43038.0</v>
      </c>
      <c r="Q85" s="1" t="s">
        <v>32</v>
      </c>
      <c r="R85" s="1" t="s">
        <v>459</v>
      </c>
      <c r="S85" s="1" t="s">
        <v>32</v>
      </c>
      <c r="W85" s="1">
        <v>0.0</v>
      </c>
      <c r="X85" s="1">
        <v>0.0</v>
      </c>
    </row>
    <row r="86" spans="1:24" ht="15.75" customHeight="1">
      <c r="A86" s="1">
        <v>4.5894125E7</v>
      </c>
      <c r="B86" s="1" t="s">
        <v>460</v>
      </c>
      <c r="C86" s="1" t="s">
        <v>461</v>
      </c>
      <c r="D86" s="1" t="s">
        <v>462</v>
      </c>
      <c r="F86" s="1" t="str">
        <f>"0393634841"</f>
        <v>0393634841</v>
      </c>
      <c r="G86" s="1" t="str">
        <f>"9780393634846"</f>
        <v>9780393634846</v>
      </c>
      <c r="H86" s="1">
        <v>0.0</v>
      </c>
      <c r="I86" s="1">
        <v>3.9</v>
      </c>
      <c r="J86" s="1" t="s">
        <v>248</v>
      </c>
      <c r="K86" s="1" t="s">
        <v>37</v>
      </c>
      <c r="L86" s="1">
        <v>336.0</v>
      </c>
      <c r="M86" s="1">
        <v>2020.0</v>
      </c>
      <c r="P86" s="2">
        <v>45140.0</v>
      </c>
      <c r="Q86" s="1" t="s">
        <v>463</v>
      </c>
      <c r="R86" s="1" t="s">
        <v>464</v>
      </c>
      <c r="S86" s="1" t="s">
        <v>32</v>
      </c>
      <c r="W86" s="1">
        <v>0.0</v>
      </c>
      <c r="X86" s="1">
        <v>0.0</v>
      </c>
    </row>
    <row r="87" spans="1:24" ht="15.75" customHeight="1">
      <c r="A87" s="1">
        <v>3.5721123E7</v>
      </c>
      <c r="B87" s="1" t="s">
        <v>465</v>
      </c>
      <c r="C87" s="1" t="s">
        <v>466</v>
      </c>
      <c r="D87" s="1" t="s">
        <v>467</v>
      </c>
      <c r="F87" s="1" t="str">
        <f>"1328764524"</f>
        <v>1328764524</v>
      </c>
      <c r="G87" s="1" t="str">
        <f>"9781328764522"</f>
        <v>9781328764522</v>
      </c>
      <c r="H87" s="1">
        <v>4.0</v>
      </c>
      <c r="I87" s="1">
        <v>4.4</v>
      </c>
      <c r="J87" s="1" t="s">
        <v>468</v>
      </c>
      <c r="K87" s="1" t="s">
        <v>44</v>
      </c>
      <c r="L87" s="1">
        <v>277.0</v>
      </c>
      <c r="M87" s="1">
        <v>2018.0</v>
      </c>
      <c r="N87" s="1">
        <v>2018.0</v>
      </c>
      <c r="O87" s="2">
        <v>43932.0</v>
      </c>
      <c r="P87" s="2">
        <v>43919.0</v>
      </c>
      <c r="Q87" s="1" t="s">
        <v>469</v>
      </c>
      <c r="R87" s="1" t="s">
        <v>470</v>
      </c>
      <c r="S87" s="1" t="s">
        <v>271</v>
      </c>
      <c r="W87" s="1">
        <v>1.0</v>
      </c>
      <c r="X87" s="1">
        <v>0.0</v>
      </c>
    </row>
    <row r="88" spans="1:24" ht="15.75" customHeight="1">
      <c r="A88" s="1">
        <v>2.3951966E7</v>
      </c>
      <c r="B88" s="1" t="s">
        <v>471</v>
      </c>
      <c r="C88" s="1" t="s">
        <v>472</v>
      </c>
      <c r="D88" s="1" t="s">
        <v>473</v>
      </c>
      <c r="E88" s="1" t="s">
        <v>474</v>
      </c>
      <c r="F88" s="1" t="str">
        <f t="shared" si="9" ref="F88:G88">""</f>
        <v/>
      </c>
      <c r="G88" s="1" t="str">
        <f t="shared" si="9"/>
        <v/>
      </c>
      <c r="H88" s="1">
        <v>0.0</v>
      </c>
      <c r="I88" s="1">
        <v>4.18</v>
      </c>
      <c r="J88" s="1" t="s">
        <v>367</v>
      </c>
      <c r="K88" s="1" t="s">
        <v>29</v>
      </c>
      <c r="L88" s="1">
        <v>420.0</v>
      </c>
      <c r="M88" s="1">
        <v>2014.0</v>
      </c>
      <c r="N88" s="1">
        <v>1998.0</v>
      </c>
      <c r="P88" s="2">
        <v>45300.0</v>
      </c>
      <c r="Q88" s="1" t="s">
        <v>30</v>
      </c>
      <c r="R88" s="1" t="s">
        <v>475</v>
      </c>
      <c r="S88" s="1" t="s">
        <v>32</v>
      </c>
      <c r="W88" s="1">
        <v>0.0</v>
      </c>
      <c r="X88" s="1">
        <v>0.0</v>
      </c>
    </row>
    <row r="89" spans="1:24" ht="15.75" customHeight="1">
      <c r="A89" s="1">
        <v>762685.0</v>
      </c>
      <c r="B89" s="1" t="s">
        <v>476</v>
      </c>
      <c r="C89" s="1" t="s">
        <v>477</v>
      </c>
      <c r="D89" s="1" t="s">
        <v>478</v>
      </c>
      <c r="F89" s="1" t="str">
        <f>"063122355X"</f>
        <v>063122355X</v>
      </c>
      <c r="G89" s="1" t="str">
        <f>"9780631223559"</f>
        <v>9780631223559</v>
      </c>
      <c r="H89" s="1">
        <v>0.0</v>
      </c>
      <c r="I89" s="1">
        <v>3.67</v>
      </c>
      <c r="J89" s="1" t="s">
        <v>48</v>
      </c>
      <c r="K89" s="1" t="s">
        <v>44</v>
      </c>
      <c r="L89" s="1">
        <v>400.0</v>
      </c>
      <c r="M89" s="1">
        <v>2002.0</v>
      </c>
      <c r="N89" s="1">
        <v>2001.0</v>
      </c>
      <c r="P89" s="3">
        <v>45271.0</v>
      </c>
      <c r="Q89" s="1" t="s">
        <v>479</v>
      </c>
      <c r="R89" s="1" t="s">
        <v>480</v>
      </c>
      <c r="S89" s="1" t="s">
        <v>32</v>
      </c>
      <c r="W89" s="1">
        <v>0.0</v>
      </c>
      <c r="X89" s="1">
        <v>0.0</v>
      </c>
    </row>
    <row r="90" spans="1:24" ht="15.75" customHeight="1">
      <c r="A90" s="1">
        <v>1.8777894E7</v>
      </c>
      <c r="B90" s="1" t="s">
        <v>481</v>
      </c>
      <c r="C90" s="1" t="s">
        <v>482</v>
      </c>
      <c r="D90" s="1" t="s">
        <v>483</v>
      </c>
      <c r="F90" s="1" t="str">
        <f>"3836549360"</f>
        <v>3836549360</v>
      </c>
      <c r="G90" s="1" t="str">
        <f>"9783836549363"</f>
        <v>9783836549363</v>
      </c>
      <c r="H90" s="1">
        <v>0.0</v>
      </c>
      <c r="I90" s="1">
        <v>4.26</v>
      </c>
      <c r="J90" s="1" t="s">
        <v>484</v>
      </c>
      <c r="K90" s="1" t="s">
        <v>37</v>
      </c>
      <c r="L90" s="1">
        <v>575.0</v>
      </c>
      <c r="M90" s="1">
        <v>2014.0</v>
      </c>
      <c r="N90" s="1">
        <v>1996.0</v>
      </c>
      <c r="P90" s="2">
        <v>44814.0</v>
      </c>
      <c r="Q90" s="1" t="s">
        <v>485</v>
      </c>
      <c r="R90" s="1" t="s">
        <v>486</v>
      </c>
      <c r="S90" s="1" t="s">
        <v>32</v>
      </c>
      <c r="W90" s="1">
        <v>0.0</v>
      </c>
      <c r="X90" s="1">
        <v>1.0</v>
      </c>
    </row>
    <row r="91" spans="1:24" ht="15.75" customHeight="1">
      <c r="A91" s="1">
        <v>3410762.0</v>
      </c>
      <c r="B91" s="1" t="s">
        <v>487</v>
      </c>
      <c r="C91" s="1" t="s">
        <v>488</v>
      </c>
      <c r="D91" s="1" t="s">
        <v>489</v>
      </c>
      <c r="E91" s="1" t="s">
        <v>490</v>
      </c>
      <c r="F91" s="1" t="str">
        <f>"0140037373"</f>
        <v>0140037373</v>
      </c>
      <c r="G91" s="1" t="str">
        <f>"9780140037371"</f>
        <v>9780140037371</v>
      </c>
      <c r="H91" s="1">
        <v>0.0</v>
      </c>
      <c r="I91" s="1">
        <v>3.64</v>
      </c>
      <c r="J91" s="1" t="s">
        <v>309</v>
      </c>
      <c r="K91" s="1" t="s">
        <v>44</v>
      </c>
      <c r="L91" s="1">
        <v>240.0</v>
      </c>
      <c r="M91" s="1">
        <v>1973.0</v>
      </c>
      <c r="N91" s="1">
        <v>1972.0</v>
      </c>
      <c r="P91" s="3">
        <v>44908.0</v>
      </c>
      <c r="Q91" s="1" t="s">
        <v>491</v>
      </c>
      <c r="R91" s="1" t="s">
        <v>492</v>
      </c>
      <c r="S91" s="1" t="s">
        <v>32</v>
      </c>
      <c r="W91" s="1">
        <v>0.0</v>
      </c>
      <c r="X91" s="1">
        <v>0.0</v>
      </c>
    </row>
    <row r="92" spans="1:24" ht="15.75" customHeight="1">
      <c r="A92" s="1">
        <v>1.32827017E8</v>
      </c>
      <c r="B92" s="1" t="s">
        <v>493</v>
      </c>
      <c r="C92" s="1" t="s">
        <v>494</v>
      </c>
      <c r="D92" s="1" t="s">
        <v>495</v>
      </c>
      <c r="F92" s="1" t="str">
        <f t="shared" si="10" ref="F92:G92">""</f>
        <v/>
      </c>
      <c r="G92" s="1" t="str">
        <f t="shared" si="10"/>
        <v/>
      </c>
      <c r="H92" s="1">
        <v>0.0</v>
      </c>
      <c r="I92" s="1">
        <v>3.43</v>
      </c>
      <c r="J92" s="1" t="s">
        <v>496</v>
      </c>
      <c r="K92" s="1" t="s">
        <v>44</v>
      </c>
      <c r="L92" s="1">
        <v>0.0</v>
      </c>
      <c r="M92" s="1">
        <v>1967.0</v>
      </c>
      <c r="N92" s="1">
        <v>1960.0</v>
      </c>
      <c r="P92" s="2">
        <v>45113.0</v>
      </c>
      <c r="Q92" s="1" t="s">
        <v>115</v>
      </c>
      <c r="R92" s="1" t="s">
        <v>497</v>
      </c>
      <c r="S92" s="1" t="s">
        <v>32</v>
      </c>
      <c r="W92" s="1">
        <v>0.0</v>
      </c>
      <c r="X92" s="1">
        <v>1.0</v>
      </c>
    </row>
    <row r="93" spans="1:24" ht="15.75" customHeight="1">
      <c r="A93" s="1">
        <v>1.7262518E7</v>
      </c>
      <c r="B93" s="1" t="s">
        <v>498</v>
      </c>
      <c r="C93" s="1" t="s">
        <v>499</v>
      </c>
      <c r="D93" s="1" t="s">
        <v>500</v>
      </c>
      <c r="E93" s="1" t="s">
        <v>501</v>
      </c>
      <c r="F93" s="1" t="str">
        <f>"1590176677"</f>
        <v>1590176677</v>
      </c>
      <c r="G93" s="1" t="str">
        <f>"9781590176672"</f>
        <v>9781590176672</v>
      </c>
      <c r="H93" s="1">
        <v>0.0</v>
      </c>
      <c r="I93" s="1">
        <v>3.73</v>
      </c>
      <c r="J93" s="1" t="s">
        <v>204</v>
      </c>
      <c r="K93" s="1" t="s">
        <v>44</v>
      </c>
      <c r="L93" s="1">
        <v>131.0</v>
      </c>
      <c r="M93" s="1">
        <v>2013.0</v>
      </c>
      <c r="N93" s="1">
        <v>1958.0</v>
      </c>
      <c r="P93" s="2">
        <v>44814.0</v>
      </c>
      <c r="Q93" s="1" t="s">
        <v>502</v>
      </c>
      <c r="R93" s="1" t="s">
        <v>503</v>
      </c>
      <c r="S93" s="1" t="s">
        <v>32</v>
      </c>
      <c r="W93" s="1">
        <v>0.0</v>
      </c>
      <c r="X93" s="1">
        <v>0.0</v>
      </c>
    </row>
    <row r="94" spans="1:24" ht="15.75" customHeight="1">
      <c r="A94" s="1">
        <v>160893.0</v>
      </c>
      <c r="B94" s="1" t="s">
        <v>504</v>
      </c>
      <c r="C94" s="1" t="s">
        <v>505</v>
      </c>
      <c r="D94" s="1" t="s">
        <v>506</v>
      </c>
      <c r="F94" s="1" t="str">
        <f>"0805082484"</f>
        <v>0805082484</v>
      </c>
      <c r="G94" s="1" t="str">
        <f>"9780805082487"</f>
        <v>9780805082487</v>
      </c>
      <c r="H94" s="1">
        <v>0.0</v>
      </c>
      <c r="I94" s="1">
        <v>4.15</v>
      </c>
      <c r="J94" s="1" t="s">
        <v>507</v>
      </c>
      <c r="K94" s="1" t="s">
        <v>44</v>
      </c>
      <c r="L94" s="1">
        <v>320.0</v>
      </c>
      <c r="M94" s="1">
        <v>2006.0</v>
      </c>
      <c r="N94" s="1">
        <v>2006.0</v>
      </c>
      <c r="O94" s="2">
        <v>45312.0</v>
      </c>
      <c r="P94" s="3">
        <v>45271.0</v>
      </c>
      <c r="Q94" s="1" t="s">
        <v>508</v>
      </c>
      <c r="R94" s="1" t="s">
        <v>509</v>
      </c>
      <c r="S94" s="1" t="s">
        <v>271</v>
      </c>
      <c r="W94" s="1">
        <v>1.0</v>
      </c>
      <c r="X94" s="1">
        <v>0.0</v>
      </c>
    </row>
    <row r="95" spans="1:24" ht="15.75" customHeight="1">
      <c r="A95" s="1">
        <v>1.3115657E7</v>
      </c>
      <c r="B95" s="1" t="s">
        <v>510</v>
      </c>
      <c r="C95" s="1" t="s">
        <v>511</v>
      </c>
      <c r="D95" s="1" t="s">
        <v>512</v>
      </c>
      <c r="F95" s="1" t="str">
        <f>"1908092076"</f>
        <v>1908092076</v>
      </c>
      <c r="G95" s="1" t="str">
        <f>"9781908092076"</f>
        <v>9781908092076</v>
      </c>
      <c r="H95" s="1">
        <v>0.0</v>
      </c>
      <c r="I95" s="1">
        <v>4.22</v>
      </c>
      <c r="J95" s="1" t="s">
        <v>513</v>
      </c>
      <c r="K95" s="1" t="s">
        <v>44</v>
      </c>
      <c r="L95" s="1">
        <v>118.0</v>
      </c>
      <c r="M95" s="1">
        <v>2011.0</v>
      </c>
      <c r="N95" s="1">
        <v>2011.0</v>
      </c>
      <c r="P95" s="3">
        <v>44484.0</v>
      </c>
      <c r="Q95" s="1" t="s">
        <v>514</v>
      </c>
      <c r="R95" s="1" t="s">
        <v>515</v>
      </c>
      <c r="S95" s="1" t="s">
        <v>32</v>
      </c>
      <c r="W95" s="1">
        <v>0.0</v>
      </c>
      <c r="X95" s="1">
        <v>0.0</v>
      </c>
    </row>
    <row r="96" spans="1:24" ht="15.75" customHeight="1">
      <c r="A96" s="1">
        <v>1.2381053E7</v>
      </c>
      <c r="B96" s="1" t="s">
        <v>516</v>
      </c>
      <c r="C96" s="1" t="s">
        <v>517</v>
      </c>
      <c r="D96" s="1" t="s">
        <v>518</v>
      </c>
      <c r="E96" s="1" t="s">
        <v>519</v>
      </c>
      <c r="F96" s="1" t="str">
        <f>"1118114957"</f>
        <v>1118114957</v>
      </c>
      <c r="G96" s="1" t="str">
        <f>"9781118114957"</f>
        <v>9781118114957</v>
      </c>
      <c r="H96" s="1">
        <v>0.0</v>
      </c>
      <c r="I96" s="1">
        <v>3.48</v>
      </c>
      <c r="J96" s="1" t="s">
        <v>93</v>
      </c>
      <c r="K96" s="1" t="s">
        <v>37</v>
      </c>
      <c r="L96" s="1">
        <v>208.0</v>
      </c>
      <c r="M96" s="1">
        <v>2011.0</v>
      </c>
      <c r="N96" s="1">
        <v>2011.0</v>
      </c>
      <c r="P96" s="2">
        <v>44199.0</v>
      </c>
      <c r="Q96" s="1" t="s">
        <v>32</v>
      </c>
      <c r="R96" s="1" t="s">
        <v>520</v>
      </c>
      <c r="S96" s="1" t="s">
        <v>32</v>
      </c>
      <c r="W96" s="1">
        <v>0.0</v>
      </c>
      <c r="X96" s="1">
        <v>0.0</v>
      </c>
    </row>
    <row r="97" spans="1:24" ht="15.75" customHeight="1">
      <c r="A97" s="1">
        <v>676701.0</v>
      </c>
      <c r="B97" s="1" t="s">
        <v>521</v>
      </c>
      <c r="C97" s="1" t="s">
        <v>522</v>
      </c>
      <c r="D97" s="1" t="s">
        <v>523</v>
      </c>
      <c r="E97" s="1" t="s">
        <v>524</v>
      </c>
      <c r="F97" s="1" t="str">
        <f>"0156001373"</f>
        <v>0156001373</v>
      </c>
      <c r="G97" s="1" t="str">
        <f>"9780156001373"</f>
        <v>9780156001373</v>
      </c>
      <c r="H97" s="1">
        <v>0.0</v>
      </c>
      <c r="I97" s="1">
        <v>3.88</v>
      </c>
      <c r="J97" s="1" t="s">
        <v>525</v>
      </c>
      <c r="K97" s="1" t="s">
        <v>44</v>
      </c>
      <c r="L97" s="1">
        <v>288.0</v>
      </c>
      <c r="M97" s="1">
        <v>1995.0</v>
      </c>
      <c r="N97" s="1">
        <v>1993.0</v>
      </c>
      <c r="P97" s="2">
        <v>44563.0</v>
      </c>
      <c r="Q97" s="1" t="s">
        <v>32</v>
      </c>
      <c r="R97" s="1" t="s">
        <v>526</v>
      </c>
      <c r="S97" s="1" t="s">
        <v>32</v>
      </c>
      <c r="W97" s="1">
        <v>0.0</v>
      </c>
      <c r="X97" s="1">
        <v>0.0</v>
      </c>
    </row>
    <row r="98" spans="1:24" ht="15.75" customHeight="1">
      <c r="A98" s="1">
        <v>6464937.0</v>
      </c>
      <c r="B98" s="1" t="s">
        <v>527</v>
      </c>
      <c r="C98" s="1" t="s">
        <v>528</v>
      </c>
      <c r="D98" s="1" t="s">
        <v>529</v>
      </c>
      <c r="F98" s="1" t="str">
        <f>"0307269760"</f>
        <v>0307269760</v>
      </c>
      <c r="G98" s="1" t="str">
        <f>"9780307269768"</f>
        <v>9780307269768</v>
      </c>
      <c r="H98" s="1">
        <v>0.0</v>
      </c>
      <c r="I98" s="1">
        <v>3.83</v>
      </c>
      <c r="J98" s="1" t="s">
        <v>530</v>
      </c>
      <c r="K98" s="1" t="s">
        <v>37</v>
      </c>
      <c r="L98" s="1">
        <v>304.0</v>
      </c>
      <c r="M98" s="1">
        <v>2009.0</v>
      </c>
      <c r="N98" s="1">
        <v>2009.0</v>
      </c>
      <c r="P98" s="2">
        <v>45114.0</v>
      </c>
      <c r="Q98" s="1" t="s">
        <v>383</v>
      </c>
      <c r="R98" s="1" t="s">
        <v>531</v>
      </c>
      <c r="S98" s="1" t="s">
        <v>32</v>
      </c>
      <c r="W98" s="1">
        <v>0.0</v>
      </c>
      <c r="X98" s="1">
        <v>1.0</v>
      </c>
    </row>
    <row r="99" spans="1:24" ht="15.75" customHeight="1">
      <c r="A99" s="1">
        <v>90286.0</v>
      </c>
      <c r="B99" s="1" t="s">
        <v>532</v>
      </c>
      <c r="C99" s="1" t="s">
        <v>533</v>
      </c>
      <c r="D99" s="1" t="s">
        <v>534</v>
      </c>
      <c r="F99" s="1" t="str">
        <f>"0028740173"</f>
        <v>0028740173</v>
      </c>
      <c r="G99" s="1" t="str">
        <f>"9780028740171"</f>
        <v>9780028740171</v>
      </c>
      <c r="H99" s="1">
        <v>0.0</v>
      </c>
      <c r="I99" s="1">
        <v>3.96</v>
      </c>
      <c r="J99" s="1" t="s">
        <v>535</v>
      </c>
      <c r="K99" s="1" t="s">
        <v>44</v>
      </c>
      <c r="L99" s="1">
        <v>244.0</v>
      </c>
      <c r="M99" s="1">
        <v>1995.0</v>
      </c>
      <c r="N99" s="1">
        <v>1993.0</v>
      </c>
      <c r="P99" s="2">
        <v>45137.0</v>
      </c>
      <c r="Q99" s="1" t="s">
        <v>32</v>
      </c>
      <c r="R99" s="1" t="s">
        <v>536</v>
      </c>
      <c r="S99" s="1" t="s">
        <v>32</v>
      </c>
      <c r="W99" s="1">
        <v>0.0</v>
      </c>
      <c r="X99" s="1">
        <v>0.0</v>
      </c>
    </row>
    <row r="100" spans="1:24" ht="15.75" customHeight="1">
      <c r="A100" s="1">
        <v>151431.0</v>
      </c>
      <c r="B100" s="1" t="s">
        <v>537</v>
      </c>
      <c r="C100" s="1" t="s">
        <v>538</v>
      </c>
      <c r="D100" s="1" t="s">
        <v>539</v>
      </c>
      <c r="F100" s="1" t="str">
        <f>"1573440299"</f>
        <v>1573440299</v>
      </c>
      <c r="G100" s="1" t="str">
        <f>"9781573440295"</f>
        <v>9781573440295</v>
      </c>
      <c r="H100" s="1">
        <v>0.0</v>
      </c>
      <c r="I100" s="1">
        <v>4.02</v>
      </c>
      <c r="J100" s="1" t="s">
        <v>540</v>
      </c>
      <c r="K100" s="1" t="s">
        <v>44</v>
      </c>
      <c r="L100" s="1">
        <v>136.0</v>
      </c>
      <c r="M100" s="1">
        <v>1998.0</v>
      </c>
      <c r="N100" s="1">
        <v>1986.0</v>
      </c>
      <c r="P100" s="2">
        <v>45235.0</v>
      </c>
      <c r="Q100" s="1" t="s">
        <v>541</v>
      </c>
      <c r="R100" s="1" t="s">
        <v>542</v>
      </c>
      <c r="S100" s="1" t="s">
        <v>32</v>
      </c>
      <c r="W100" s="1">
        <v>0.0</v>
      </c>
      <c r="X100" s="1">
        <v>0.0</v>
      </c>
    </row>
    <row r="101" spans="1:24" ht="15.75" customHeight="1">
      <c r="A101" s="1">
        <v>1126350.0</v>
      </c>
      <c r="B101" s="1" t="s">
        <v>543</v>
      </c>
      <c r="C101" s="1" t="s">
        <v>544</v>
      </c>
      <c r="D101" s="1" t="s">
        <v>545</v>
      </c>
      <c r="F101" s="1" t="str">
        <f>"0750912103"</f>
        <v>0750912103</v>
      </c>
      <c r="G101" s="1" t="str">
        <f>"9780750912105"</f>
        <v>9780750912105</v>
      </c>
      <c r="H101" s="1">
        <v>0.0</v>
      </c>
      <c r="I101" s="1">
        <v>3.67</v>
      </c>
      <c r="J101" s="1" t="s">
        <v>546</v>
      </c>
      <c r="K101" s="1" t="s">
        <v>37</v>
      </c>
      <c r="L101" s="1">
        <v>176.0</v>
      </c>
      <c r="M101" s="1">
        <v>1997.0</v>
      </c>
      <c r="N101" s="1">
        <v>1997.0</v>
      </c>
      <c r="P101" s="2">
        <v>45181.0</v>
      </c>
      <c r="Q101" s="1" t="s">
        <v>249</v>
      </c>
      <c r="R101" s="1" t="s">
        <v>547</v>
      </c>
      <c r="S101" s="1" t="s">
        <v>32</v>
      </c>
      <c r="W101" s="1">
        <v>0.0</v>
      </c>
      <c r="X101" s="1">
        <v>0.0</v>
      </c>
    </row>
    <row r="102" spans="1:24" ht="15.75" customHeight="1">
      <c r="A102" s="1">
        <v>608001.0</v>
      </c>
      <c r="B102" s="1" t="s">
        <v>548</v>
      </c>
      <c r="C102" s="1" t="s">
        <v>549</v>
      </c>
      <c r="D102" s="1" t="s">
        <v>550</v>
      </c>
      <c r="E102" s="1" t="s">
        <v>551</v>
      </c>
      <c r="F102" s="1" t="str">
        <f>"0520240790"</f>
        <v>0520240790</v>
      </c>
      <c r="G102" s="1" t="str">
        <f>"9780520240797"</f>
        <v>9780520240797</v>
      </c>
      <c r="H102" s="1">
        <v>0.0</v>
      </c>
      <c r="I102" s="1">
        <v>4.27</v>
      </c>
      <c r="J102" s="1" t="s">
        <v>552</v>
      </c>
      <c r="K102" s="1" t="s">
        <v>44</v>
      </c>
      <c r="L102" s="1">
        <v>297.0</v>
      </c>
      <c r="M102" s="1">
        <v>2003.0</v>
      </c>
      <c r="N102" s="1">
        <v>1993.0</v>
      </c>
      <c r="P102" s="2">
        <v>42160.0</v>
      </c>
      <c r="Q102" s="1" t="s">
        <v>553</v>
      </c>
      <c r="R102" s="1" t="s">
        <v>554</v>
      </c>
      <c r="S102" s="1" t="s">
        <v>32</v>
      </c>
      <c r="W102" s="1">
        <v>0.0</v>
      </c>
      <c r="X102" s="1">
        <v>0.0</v>
      </c>
    </row>
    <row r="103" spans="1:24" ht="15.75" customHeight="1">
      <c r="A103" s="29">
        <v>556109.0</v>
      </c>
      <c r="B103" s="29" t="s">
        <v>555</v>
      </c>
      <c r="C103" s="29" t="s">
        <v>556</v>
      </c>
      <c r="D103" s="29" t="s">
        <v>557</v>
      </c>
      <c r="E103" s="30"/>
      <c r="F103" s="29" t="str">
        <f>"0060192941"</f>
        <v>0060192941</v>
      </c>
      <c r="G103" s="29" t="str">
        <f>"9780060192945"</f>
        <v>9780060192945</v>
      </c>
      <c r="H103" s="29">
        <v>4.0</v>
      </c>
      <c r="I103" s="29">
        <v>4.12</v>
      </c>
      <c r="J103" s="29" t="s">
        <v>558</v>
      </c>
      <c r="K103" s="29" t="s">
        <v>559</v>
      </c>
      <c r="L103" s="29">
        <v>560.0</v>
      </c>
      <c r="M103" s="29">
        <v>2000.0</v>
      </c>
      <c r="N103" s="29">
        <v>2000.0</v>
      </c>
      <c r="O103" s="31">
        <v>41611.0</v>
      </c>
      <c r="P103" s="31">
        <v>41464.0</v>
      </c>
      <c r="Q103" s="32" t="s">
        <v>560</v>
      </c>
      <c r="R103" s="29" t="s">
        <v>561</v>
      </c>
      <c r="S103" s="29" t="s">
        <v>32</v>
      </c>
      <c r="T103" s="30"/>
      <c r="U103" s="30"/>
      <c r="V103" s="30"/>
      <c r="W103" s="29">
        <v>1.0</v>
      </c>
      <c r="X103" s="29">
        <v>0.0</v>
      </c>
    </row>
    <row r="104" spans="1:24" ht="15.75" customHeight="1">
      <c r="A104" s="29">
        <v>81666.0</v>
      </c>
      <c r="B104" s="29" t="s">
        <v>562</v>
      </c>
      <c r="C104" s="29" t="s">
        <v>556</v>
      </c>
      <c r="D104" s="29" t="s">
        <v>557</v>
      </c>
      <c r="E104" s="29" t="s">
        <v>563</v>
      </c>
      <c r="F104" s="29" t="str">
        <f>"0306814625"</f>
        <v>0306814625</v>
      </c>
      <c r="G104" s="29" t="str">
        <f>"9780306814624"</f>
        <v>9780306814624</v>
      </c>
      <c r="H104" s="29">
        <v>0.0</v>
      </c>
      <c r="I104" s="29">
        <v>3.9</v>
      </c>
      <c r="J104" s="29" t="s">
        <v>564</v>
      </c>
      <c r="K104" s="29" t="s">
        <v>37</v>
      </c>
      <c r="L104" s="29">
        <v>544.0</v>
      </c>
      <c r="M104" s="29">
        <v>2006.0</v>
      </c>
      <c r="N104" s="29">
        <v>2006.0</v>
      </c>
      <c r="O104" s="30"/>
      <c r="P104" s="31">
        <v>40978.0</v>
      </c>
      <c r="Q104" s="32" t="s">
        <v>565</v>
      </c>
      <c r="R104" s="29" t="s">
        <v>566</v>
      </c>
      <c r="S104" s="29" t="s">
        <v>32</v>
      </c>
      <c r="T104" s="30"/>
      <c r="U104" s="30"/>
      <c r="V104" s="30"/>
      <c r="W104" s="29">
        <v>0.0</v>
      </c>
      <c r="X104" s="29">
        <v>0.0</v>
      </c>
    </row>
    <row r="105" spans="1:24" ht="15.75" customHeight="1">
      <c r="A105" s="29">
        <v>385216.0</v>
      </c>
      <c r="B105" s="29" t="s">
        <v>567</v>
      </c>
      <c r="C105" s="29" t="s">
        <v>556</v>
      </c>
      <c r="D105" s="29" t="s">
        <v>557</v>
      </c>
      <c r="E105" s="30"/>
      <c r="F105" s="29" t="str">
        <f>"0872860175"</f>
        <v>0872860175</v>
      </c>
      <c r="G105" s="29" t="str">
        <f>"9780872860179"</f>
        <v>9780872860179</v>
      </c>
      <c r="H105" s="29">
        <v>4.0</v>
      </c>
      <c r="I105" s="29">
        <v>4.13</v>
      </c>
      <c r="J105" s="29" t="s">
        <v>568</v>
      </c>
      <c r="K105" s="29" t="s">
        <v>44</v>
      </c>
      <c r="L105" s="29">
        <v>57.0</v>
      </c>
      <c r="M105" s="29">
        <v>2001.0</v>
      </c>
      <c r="N105" s="29">
        <v>1956.0</v>
      </c>
      <c r="O105" s="31">
        <v>40986.0</v>
      </c>
      <c r="P105" s="31">
        <v>40971.0</v>
      </c>
      <c r="Q105" s="32" t="s">
        <v>10988</v>
      </c>
      <c r="R105" s="29" t="s">
        <v>570</v>
      </c>
      <c r="S105" s="29" t="s">
        <v>271</v>
      </c>
      <c r="T105" s="30"/>
      <c r="U105" s="30"/>
      <c r="V105" s="30"/>
      <c r="W105" s="29">
        <v>1.0</v>
      </c>
      <c r="X105" s="29">
        <v>1.0</v>
      </c>
    </row>
    <row r="106" spans="1:24" ht="15.75" customHeight="1">
      <c r="A106" s="29">
        <v>50316.0</v>
      </c>
      <c r="B106" s="29" t="s">
        <v>571</v>
      </c>
      <c r="C106" s="29" t="s">
        <v>556</v>
      </c>
      <c r="D106" s="29" t="s">
        <v>557</v>
      </c>
      <c r="E106" s="30"/>
      <c r="F106" s="29" t="str">
        <f>"0061139742"</f>
        <v>0061139742</v>
      </c>
      <c r="G106" s="29" t="str">
        <f>"9780061139741"</f>
        <v>9780061139741</v>
      </c>
      <c r="H106" s="29">
        <v>4.0</v>
      </c>
      <c r="I106" s="29">
        <v>4.34</v>
      </c>
      <c r="J106" s="29" t="s">
        <v>558</v>
      </c>
      <c r="K106" s="29" t="s">
        <v>37</v>
      </c>
      <c r="L106" s="29">
        <v>1216.0</v>
      </c>
      <c r="M106" s="29">
        <v>2006.0</v>
      </c>
      <c r="N106" s="29">
        <v>2006.0</v>
      </c>
      <c r="O106" s="31">
        <v>41611.0</v>
      </c>
      <c r="P106" s="31">
        <v>41364.0</v>
      </c>
      <c r="Q106" s="32" t="s">
        <v>10988</v>
      </c>
      <c r="R106" s="29" t="s">
        <v>572</v>
      </c>
      <c r="S106" s="29" t="s">
        <v>271</v>
      </c>
      <c r="T106" s="30"/>
      <c r="U106" s="30"/>
      <c r="V106" s="30"/>
      <c r="W106" s="29">
        <v>1.0</v>
      </c>
      <c r="X106" s="29">
        <v>0.0</v>
      </c>
    </row>
    <row r="107" spans="1:24" ht="15.75" customHeight="1">
      <c r="A107" s="1">
        <v>361877.0</v>
      </c>
      <c r="B107" s="1" t="s">
        <v>573</v>
      </c>
      <c r="C107" s="1" t="s">
        <v>574</v>
      </c>
      <c r="D107" s="1" t="s">
        <v>575</v>
      </c>
      <c r="F107" s="1" t="str">
        <f>"0375725822"</f>
        <v>0375725822</v>
      </c>
      <c r="G107" s="1" t="str">
        <f>"9780375725821"</f>
        <v>9780375725821</v>
      </c>
      <c r="H107" s="1">
        <v>0.0</v>
      </c>
      <c r="I107" s="1">
        <v>3.91</v>
      </c>
      <c r="J107" s="1" t="s">
        <v>69</v>
      </c>
      <c r="K107" s="1" t="s">
        <v>44</v>
      </c>
      <c r="L107" s="1">
        <v>320.0</v>
      </c>
      <c r="M107" s="1">
        <v>2002.0</v>
      </c>
      <c r="N107" s="1">
        <v>2001.0</v>
      </c>
      <c r="P107" s="3">
        <v>44165.0</v>
      </c>
      <c r="Q107" s="1" t="s">
        <v>32</v>
      </c>
      <c r="R107" s="1" t="s">
        <v>576</v>
      </c>
      <c r="S107" s="1" t="s">
        <v>32</v>
      </c>
      <c r="W107" s="1">
        <v>0.0</v>
      </c>
      <c r="X107" s="1">
        <v>0.0</v>
      </c>
    </row>
    <row r="108" spans="1:24" ht="15.75" customHeight="1">
      <c r="A108" s="1">
        <v>4891709.0</v>
      </c>
      <c r="B108" s="1" t="s">
        <v>577</v>
      </c>
      <c r="C108" s="1" t="s">
        <v>578</v>
      </c>
      <c r="D108" s="1" t="s">
        <v>579</v>
      </c>
      <c r="E108" s="1" t="s">
        <v>580</v>
      </c>
      <c r="F108" s="1" t="str">
        <f>"0520248953"</f>
        <v>0520248953</v>
      </c>
      <c r="G108" s="1" t="str">
        <f>"9780520248953"</f>
        <v>9780520248953</v>
      </c>
      <c r="H108" s="1">
        <v>0.0</v>
      </c>
      <c r="I108" s="1">
        <v>3.92</v>
      </c>
      <c r="J108" s="1" t="s">
        <v>552</v>
      </c>
      <c r="K108" s="1" t="s">
        <v>37</v>
      </c>
      <c r="L108" s="1">
        <v>240.0</v>
      </c>
      <c r="M108" s="1">
        <v>2011.0</v>
      </c>
      <c r="N108" s="1">
        <v>2005.0</v>
      </c>
      <c r="P108" s="3">
        <v>44484.0</v>
      </c>
      <c r="Q108" s="1" t="s">
        <v>581</v>
      </c>
      <c r="R108" s="1" t="s">
        <v>582</v>
      </c>
      <c r="S108" s="1" t="s">
        <v>32</v>
      </c>
      <c r="W108" s="1">
        <v>0.0</v>
      </c>
      <c r="X108" s="1">
        <v>0.0</v>
      </c>
    </row>
    <row r="109" spans="1:24" ht="15.75" customHeight="1">
      <c r="A109" s="1">
        <v>4.3352954E7</v>
      </c>
      <c r="B109" s="1" t="s">
        <v>583</v>
      </c>
      <c r="C109" s="1" t="s">
        <v>584</v>
      </c>
      <c r="D109" s="1" t="s">
        <v>585</v>
      </c>
      <c r="E109" s="1" t="s">
        <v>586</v>
      </c>
      <c r="F109" s="1" t="str">
        <f t="shared" si="11" ref="F109:G109">""</f>
        <v/>
      </c>
      <c r="G109" s="1" t="str">
        <f t="shared" si="11"/>
        <v/>
      </c>
      <c r="H109" s="1">
        <v>0.0</v>
      </c>
      <c r="I109" s="1">
        <v>3.92</v>
      </c>
      <c r="J109" s="1" t="s">
        <v>587</v>
      </c>
      <c r="K109" s="1" t="s">
        <v>29</v>
      </c>
      <c r="L109" s="1">
        <v>209.0</v>
      </c>
      <c r="M109" s="1">
        <v>2019.0</v>
      </c>
      <c r="N109" s="1">
        <v>2019.0</v>
      </c>
      <c r="P109" s="3">
        <v>45291.0</v>
      </c>
      <c r="Q109" s="1" t="s">
        <v>145</v>
      </c>
      <c r="R109" s="1" t="s">
        <v>588</v>
      </c>
      <c r="S109" s="1" t="s">
        <v>32</v>
      </c>
      <c r="W109" s="1">
        <v>0.0</v>
      </c>
      <c r="X109" s="1">
        <v>0.0</v>
      </c>
    </row>
    <row r="110" spans="1:24" ht="15.75" customHeight="1">
      <c r="A110" s="1">
        <v>3229855.0</v>
      </c>
      <c r="B110" s="1" t="s">
        <v>589</v>
      </c>
      <c r="C110" s="1" t="s">
        <v>590</v>
      </c>
      <c r="D110" s="1" t="s">
        <v>591</v>
      </c>
      <c r="E110" s="1" t="s">
        <v>592</v>
      </c>
      <c r="F110" s="1" t="str">
        <f>"1933372613"</f>
        <v>1933372613</v>
      </c>
      <c r="G110" s="1" t="str">
        <f>"9781933372617"</f>
        <v>9781933372617</v>
      </c>
      <c r="H110" s="1">
        <v>3.0</v>
      </c>
      <c r="I110" s="1">
        <v>3.71</v>
      </c>
      <c r="J110" s="1" t="s">
        <v>593</v>
      </c>
      <c r="K110" s="1" t="s">
        <v>44</v>
      </c>
      <c r="L110" s="1">
        <v>131.0</v>
      </c>
      <c r="M110" s="1">
        <v>2008.0</v>
      </c>
      <c r="N110" s="1">
        <v>2006.0</v>
      </c>
      <c r="O110" s="2">
        <v>43332.0</v>
      </c>
      <c r="P110" s="2">
        <v>43319.0</v>
      </c>
      <c r="Q110" s="1" t="s">
        <v>594</v>
      </c>
      <c r="R110" s="1" t="s">
        <v>595</v>
      </c>
      <c r="S110" s="1" t="s">
        <v>271</v>
      </c>
      <c r="W110" s="1">
        <v>1.0</v>
      </c>
      <c r="X110" s="1">
        <v>1.0</v>
      </c>
    </row>
    <row r="111" spans="1:24" ht="15.75" customHeight="1">
      <c r="A111" s="1">
        <v>49256.0</v>
      </c>
      <c r="B111" s="1" t="s">
        <v>596</v>
      </c>
      <c r="C111" s="1" t="s">
        <v>597</v>
      </c>
      <c r="D111" s="1" t="s">
        <v>598</v>
      </c>
      <c r="E111" s="1" t="s">
        <v>599</v>
      </c>
      <c r="F111" s="1" t="str">
        <f>"0820324019"</f>
        <v>0820324019</v>
      </c>
      <c r="G111" s="1" t="str">
        <f>"9780820324012"</f>
        <v>9780820324012</v>
      </c>
      <c r="H111" s="1">
        <v>0.0</v>
      </c>
      <c r="I111" s="1">
        <v>4.06</v>
      </c>
      <c r="J111" s="1" t="s">
        <v>600</v>
      </c>
      <c r="K111" s="1" t="s">
        <v>44</v>
      </c>
      <c r="L111" s="1">
        <v>404.0</v>
      </c>
      <c r="M111" s="1">
        <v>2002.0</v>
      </c>
      <c r="N111" s="1">
        <v>1911.0</v>
      </c>
      <c r="P111" s="2">
        <v>43934.0</v>
      </c>
      <c r="Q111" s="1" t="s">
        <v>49</v>
      </c>
      <c r="R111" s="1" t="s">
        <v>601</v>
      </c>
      <c r="S111" s="1" t="s">
        <v>32</v>
      </c>
      <c r="W111" s="1">
        <v>0.0</v>
      </c>
      <c r="X111" s="1">
        <v>0.0</v>
      </c>
    </row>
    <row r="112" spans="1:24" ht="15.75" customHeight="1">
      <c r="A112" s="1">
        <v>9321125.0</v>
      </c>
      <c r="B112" s="1" t="s">
        <v>602</v>
      </c>
      <c r="C112" s="1" t="s">
        <v>603</v>
      </c>
      <c r="D112" s="1" t="s">
        <v>604</v>
      </c>
      <c r="E112" s="1" t="s">
        <v>605</v>
      </c>
      <c r="F112" s="1" t="str">
        <f>"3836514486"</f>
        <v>3836514486</v>
      </c>
      <c r="G112" s="1" t="str">
        <f>"9783836514484"</f>
        <v>9783836514484</v>
      </c>
      <c r="H112" s="1">
        <v>0.0</v>
      </c>
      <c r="I112" s="1">
        <v>4.44</v>
      </c>
      <c r="J112" s="1" t="s">
        <v>484</v>
      </c>
      <c r="K112" s="1" t="s">
        <v>37</v>
      </c>
      <c r="L112" s="1">
        <v>807.0</v>
      </c>
      <c r="M112" s="1">
        <v>2010.0</v>
      </c>
      <c r="N112" s="1">
        <v>2010.0</v>
      </c>
      <c r="P112" s="2">
        <v>44814.0</v>
      </c>
      <c r="Q112" s="1" t="s">
        <v>606</v>
      </c>
      <c r="R112" s="1" t="s">
        <v>607</v>
      </c>
      <c r="S112" s="1" t="s">
        <v>32</v>
      </c>
      <c r="W112" s="1">
        <v>0.0</v>
      </c>
      <c r="X112" s="1">
        <v>1.0</v>
      </c>
    </row>
    <row r="113" spans="1:24" ht="15.75" customHeight="1">
      <c r="A113" s="1">
        <v>2.566449E7</v>
      </c>
      <c r="B113" s="1" t="s">
        <v>608</v>
      </c>
      <c r="C113" s="1" t="s">
        <v>609</v>
      </c>
      <c r="D113" s="1" t="s">
        <v>610</v>
      </c>
      <c r="F113" s="1" t="str">
        <f>"0374293864"</f>
        <v>0374293864</v>
      </c>
      <c r="G113" s="1" t="str">
        <f>"9780374293864"</f>
        <v>9780374293864</v>
      </c>
      <c r="H113" s="1">
        <v>0.0</v>
      </c>
      <c r="I113" s="1">
        <v>3.38</v>
      </c>
      <c r="J113" s="1" t="s">
        <v>611</v>
      </c>
      <c r="K113" s="1" t="s">
        <v>44</v>
      </c>
      <c r="L113" s="1">
        <v>208.0</v>
      </c>
      <c r="M113" s="1">
        <v>2016.0</v>
      </c>
      <c r="N113" s="1">
        <v>2016.0</v>
      </c>
      <c r="P113" s="2">
        <v>44199.0</v>
      </c>
      <c r="Q113" s="1" t="s">
        <v>127</v>
      </c>
      <c r="R113" s="1" t="s">
        <v>612</v>
      </c>
      <c r="S113" s="1" t="s">
        <v>32</v>
      </c>
      <c r="W113" s="1">
        <v>0.0</v>
      </c>
      <c r="X113" s="1">
        <v>0.0</v>
      </c>
    </row>
    <row r="114" spans="1:24" ht="15.75" customHeight="1">
      <c r="A114" s="1">
        <v>1.9919931E7</v>
      </c>
      <c r="B114" s="1" t="s">
        <v>613</v>
      </c>
      <c r="C114" s="1" t="s">
        <v>614</v>
      </c>
      <c r="D114" s="1" t="s">
        <v>615</v>
      </c>
      <c r="F114" s="1" t="str">
        <f t="shared" si="12" ref="F114:G114">""</f>
        <v/>
      </c>
      <c r="G114" s="1" t="str">
        <f t="shared" si="12"/>
        <v/>
      </c>
      <c r="H114" s="1">
        <v>0.0</v>
      </c>
      <c r="I114" s="1">
        <v>3.91</v>
      </c>
      <c r="J114" s="1" t="s">
        <v>616</v>
      </c>
      <c r="K114" s="1" t="s">
        <v>29</v>
      </c>
      <c r="L114" s="1">
        <v>188.0</v>
      </c>
      <c r="M114" s="1">
        <v>2011.0</v>
      </c>
      <c r="N114" s="1">
        <v>1998.0</v>
      </c>
      <c r="P114" s="3">
        <v>44480.0</v>
      </c>
      <c r="Q114" s="1" t="s">
        <v>32</v>
      </c>
      <c r="R114" s="1" t="s">
        <v>617</v>
      </c>
      <c r="S114" s="1" t="s">
        <v>32</v>
      </c>
      <c r="W114" s="1">
        <v>0.0</v>
      </c>
      <c r="X114" s="1">
        <v>0.0</v>
      </c>
    </row>
    <row r="115" spans="1:24" ht="15.75" customHeight="1">
      <c r="A115" s="1">
        <v>4.1649489E7</v>
      </c>
      <c r="B115" s="1" t="s">
        <v>618</v>
      </c>
      <c r="C115" s="1" t="s">
        <v>619</v>
      </c>
      <c r="D115" s="1" t="s">
        <v>620</v>
      </c>
      <c r="E115" s="1" t="s">
        <v>621</v>
      </c>
      <c r="F115" s="1" t="str">
        <f t="shared" si="13" ref="F115:G115">""</f>
        <v/>
      </c>
      <c r="G115" s="1" t="str">
        <f t="shared" si="13"/>
        <v/>
      </c>
      <c r="H115" s="1">
        <v>0.0</v>
      </c>
      <c r="I115" s="1">
        <v>3.76</v>
      </c>
      <c r="J115" s="1" t="s">
        <v>622</v>
      </c>
      <c r="M115" s="1">
        <v>2020.0</v>
      </c>
      <c r="N115" s="1">
        <v>2020.0</v>
      </c>
      <c r="P115" s="2">
        <v>43934.0</v>
      </c>
      <c r="Q115" s="1" t="s">
        <v>32</v>
      </c>
      <c r="R115" s="1" t="s">
        <v>623</v>
      </c>
      <c r="S115" s="1" t="s">
        <v>32</v>
      </c>
      <c r="W115" s="1">
        <v>0.0</v>
      </c>
      <c r="X115" s="1">
        <v>0.0</v>
      </c>
    </row>
    <row r="116" spans="1:24" ht="15.75" customHeight="1">
      <c r="A116" s="1">
        <v>5786.0</v>
      </c>
      <c r="B116" s="1" t="s">
        <v>624</v>
      </c>
      <c r="C116" s="1" t="s">
        <v>625</v>
      </c>
      <c r="D116" s="1" t="s">
        <v>626</v>
      </c>
      <c r="F116" s="1" t="str">
        <f>"0743422996"</f>
        <v>0743422996</v>
      </c>
      <c r="G116" s="1" t="str">
        <f>"9780743422994"</f>
        <v>9780743422994</v>
      </c>
      <c r="H116" s="1">
        <v>0.0</v>
      </c>
      <c r="I116" s="1">
        <v>3.88</v>
      </c>
      <c r="J116" s="1" t="s">
        <v>627</v>
      </c>
      <c r="K116" s="1" t="s">
        <v>44</v>
      </c>
      <c r="L116" s="1">
        <v>258.0</v>
      </c>
      <c r="M116" s="1">
        <v>2001.0</v>
      </c>
      <c r="N116" s="1">
        <v>2000.0</v>
      </c>
      <c r="P116" s="2">
        <v>45153.0</v>
      </c>
      <c r="Q116" s="1" t="s">
        <v>32</v>
      </c>
      <c r="R116" s="1" t="s">
        <v>628</v>
      </c>
      <c r="S116" s="1" t="s">
        <v>32</v>
      </c>
      <c r="W116" s="1">
        <v>0.0</v>
      </c>
      <c r="X116" s="1">
        <v>0.0</v>
      </c>
    </row>
    <row r="117" spans="1:24" ht="15.75" customHeight="1">
      <c r="A117" s="1">
        <v>2.5330101E7</v>
      </c>
      <c r="B117" s="1" t="s">
        <v>629</v>
      </c>
      <c r="C117" s="1" t="s">
        <v>630</v>
      </c>
      <c r="D117" s="1" t="s">
        <v>631</v>
      </c>
      <c r="F117" s="1" t="str">
        <f>"1617753963"</f>
        <v>1617753963</v>
      </c>
      <c r="G117" s="1" t="str">
        <f>"9781617753961"</f>
        <v>9781617753961</v>
      </c>
      <c r="H117" s="1">
        <v>0.0</v>
      </c>
      <c r="I117" s="1">
        <v>3.99</v>
      </c>
      <c r="J117" s="1" t="s">
        <v>632</v>
      </c>
      <c r="K117" s="1" t="s">
        <v>44</v>
      </c>
      <c r="L117" s="1">
        <v>160.0</v>
      </c>
      <c r="M117" s="1">
        <v>2016.0</v>
      </c>
      <c r="N117" s="1">
        <v>1965.0</v>
      </c>
      <c r="P117" s="2">
        <v>45129.0</v>
      </c>
      <c r="Q117" s="1" t="s">
        <v>633</v>
      </c>
      <c r="R117" s="1" t="s">
        <v>634</v>
      </c>
      <c r="S117" s="1" t="s">
        <v>32</v>
      </c>
      <c r="W117" s="1">
        <v>0.0</v>
      </c>
      <c r="X117" s="1">
        <v>0.0</v>
      </c>
    </row>
    <row r="118" spans="1:24" ht="15.75" customHeight="1">
      <c r="A118" s="1">
        <v>1960749.0</v>
      </c>
      <c r="B118" s="1" t="s">
        <v>635</v>
      </c>
      <c r="C118" s="1" t="s">
        <v>636</v>
      </c>
      <c r="D118" s="1" t="s">
        <v>637</v>
      </c>
      <c r="F118" s="1" t="str">
        <f>"847844792X"</f>
        <v>847844792X</v>
      </c>
      <c r="G118" s="1" t="str">
        <f>"9788478447923"</f>
        <v>9788478447923</v>
      </c>
      <c r="H118" s="1">
        <v>0.0</v>
      </c>
      <c r="I118" s="1">
        <v>4.23</v>
      </c>
      <c r="J118" s="1" t="s">
        <v>638</v>
      </c>
      <c r="K118" s="1" t="s">
        <v>44</v>
      </c>
      <c r="L118" s="1">
        <v>644.0</v>
      </c>
      <c r="M118" s="1">
        <v>2010.0</v>
      </c>
      <c r="N118" s="1">
        <v>2002.0</v>
      </c>
      <c r="P118" s="2">
        <v>43968.0</v>
      </c>
      <c r="Q118" s="1" t="s">
        <v>32</v>
      </c>
      <c r="R118" s="1" t="s">
        <v>639</v>
      </c>
      <c r="S118" s="1" t="s">
        <v>32</v>
      </c>
      <c r="W118" s="1">
        <v>0.0</v>
      </c>
      <c r="X118" s="1">
        <v>0.0</v>
      </c>
    </row>
    <row r="119" spans="1:24" ht="15.75" customHeight="1">
      <c r="A119" s="1">
        <v>6.1089544E7</v>
      </c>
      <c r="B119" s="1" t="s">
        <v>640</v>
      </c>
      <c r="C119" s="1" t="s">
        <v>641</v>
      </c>
      <c r="D119" s="1" t="s">
        <v>642</v>
      </c>
      <c r="F119" s="1" t="str">
        <f>"1324091738"</f>
        <v>1324091738</v>
      </c>
      <c r="G119" s="1" t="str">
        <f>"9781324091738"</f>
        <v>9781324091738</v>
      </c>
      <c r="H119" s="1">
        <v>0.0</v>
      </c>
      <c r="I119" s="1">
        <v>3.92</v>
      </c>
      <c r="J119" s="1" t="s">
        <v>643</v>
      </c>
      <c r="K119" s="1" t="s">
        <v>37</v>
      </c>
      <c r="L119" s="1">
        <v>240.0</v>
      </c>
      <c r="M119" s="1">
        <v>2023.0</v>
      </c>
      <c r="N119" s="1">
        <v>2023.0</v>
      </c>
      <c r="P119" s="2">
        <v>45044.0</v>
      </c>
      <c r="Q119" s="1" t="s">
        <v>338</v>
      </c>
      <c r="R119" s="1" t="s">
        <v>644</v>
      </c>
      <c r="S119" s="1" t="s">
        <v>32</v>
      </c>
      <c r="W119" s="1">
        <v>0.0</v>
      </c>
      <c r="X119" s="1">
        <v>0.0</v>
      </c>
    </row>
    <row r="120" spans="1:24" ht="15.75" customHeight="1">
      <c r="A120" s="1">
        <v>1.3594204E7</v>
      </c>
      <c r="B120" s="1" t="s">
        <v>645</v>
      </c>
      <c r="C120" s="1" t="s">
        <v>646</v>
      </c>
      <c r="D120" s="1" t="s">
        <v>647</v>
      </c>
      <c r="E120" s="1" t="s">
        <v>648</v>
      </c>
      <c r="F120" s="1" t="str">
        <f>"0803239777"</f>
        <v>0803239777</v>
      </c>
      <c r="G120" s="1" t="str">
        <f>"9780803239777"</f>
        <v>9780803239777</v>
      </c>
      <c r="H120" s="1">
        <v>0.0</v>
      </c>
      <c r="I120" s="1">
        <v>3.02</v>
      </c>
      <c r="J120" s="1" t="s">
        <v>649</v>
      </c>
      <c r="K120" s="1" t="s">
        <v>44</v>
      </c>
      <c r="L120" s="1">
        <v>200.0</v>
      </c>
      <c r="M120" s="1">
        <v>2012.0</v>
      </c>
      <c r="N120" s="1">
        <v>2007.0</v>
      </c>
      <c r="P120" s="2">
        <v>45147.0</v>
      </c>
      <c r="Q120" s="1" t="s">
        <v>32</v>
      </c>
      <c r="R120" s="1" t="s">
        <v>650</v>
      </c>
      <c r="S120" s="1" t="s">
        <v>32</v>
      </c>
      <c r="W120" s="1">
        <v>0.0</v>
      </c>
      <c r="X120" s="1">
        <v>0.0</v>
      </c>
    </row>
    <row r="121" spans="1:24" ht="15.75" customHeight="1">
      <c r="A121" s="1">
        <v>4.9019227E7</v>
      </c>
      <c r="B121" s="1" t="s">
        <v>651</v>
      </c>
      <c r="C121" s="1" t="s">
        <v>652</v>
      </c>
      <c r="D121" s="1" t="s">
        <v>653</v>
      </c>
      <c r="F121" s="1" t="str">
        <f>""</f>
        <v/>
      </c>
      <c r="G121" s="1" t="str">
        <f>"9789874702630"</f>
        <v>9789874702630</v>
      </c>
      <c r="H121" s="1">
        <v>0.0</v>
      </c>
      <c r="I121" s="1">
        <v>3.8</v>
      </c>
      <c r="J121" s="1" t="s">
        <v>654</v>
      </c>
      <c r="K121" s="1" t="s">
        <v>44</v>
      </c>
      <c r="L121" s="1">
        <v>148.0</v>
      </c>
      <c r="M121" s="1">
        <v>2019.0</v>
      </c>
      <c r="N121" s="1">
        <v>2019.0</v>
      </c>
      <c r="P121" s="2">
        <v>43970.0</v>
      </c>
      <c r="Q121" s="1" t="s">
        <v>32</v>
      </c>
      <c r="R121" s="1" t="s">
        <v>655</v>
      </c>
      <c r="S121" s="1" t="s">
        <v>32</v>
      </c>
      <c r="W121" s="1">
        <v>0.0</v>
      </c>
      <c r="X121" s="1">
        <v>0.0</v>
      </c>
    </row>
    <row r="122" spans="1:24" ht="15.75" customHeight="1">
      <c r="A122" s="1">
        <v>826084.0</v>
      </c>
      <c r="B122" s="1" t="s">
        <v>656</v>
      </c>
      <c r="C122" s="1" t="s">
        <v>657</v>
      </c>
      <c r="D122" s="1" t="s">
        <v>658</v>
      </c>
      <c r="E122" s="1" t="s">
        <v>659</v>
      </c>
      <c r="F122" s="1" t="str">
        <f>"0873488229"</f>
        <v>0873488229</v>
      </c>
      <c r="G122" s="1" t="str">
        <f>"9780873488228"</f>
        <v>9780873488228</v>
      </c>
      <c r="H122" s="1">
        <v>0.0</v>
      </c>
      <c r="I122" s="1">
        <v>4.09</v>
      </c>
      <c r="J122" s="1" t="s">
        <v>660</v>
      </c>
      <c r="K122" s="1" t="s">
        <v>44</v>
      </c>
      <c r="L122" s="1">
        <v>756.0</v>
      </c>
      <c r="M122" s="1">
        <v>1978.0</v>
      </c>
      <c r="N122" s="1">
        <v>1986.0</v>
      </c>
      <c r="P122" s="2">
        <v>43969.0</v>
      </c>
      <c r="Q122" s="1" t="s">
        <v>338</v>
      </c>
      <c r="R122" s="1" t="s">
        <v>661</v>
      </c>
      <c r="S122" s="1" t="s">
        <v>32</v>
      </c>
      <c r="W122" s="1">
        <v>0.0</v>
      </c>
      <c r="X122" s="1">
        <v>0.0</v>
      </c>
    </row>
    <row r="123" spans="1:24" ht="15.75" customHeight="1">
      <c r="A123" s="1">
        <v>110457.0</v>
      </c>
      <c r="B123" s="1" t="s">
        <v>662</v>
      </c>
      <c r="C123" s="1" t="s">
        <v>657</v>
      </c>
      <c r="D123" s="1" t="s">
        <v>658</v>
      </c>
      <c r="E123" s="1" t="s">
        <v>331</v>
      </c>
      <c r="F123" s="1" t="str">
        <f>"0802150268"</f>
        <v>0802150268</v>
      </c>
      <c r="G123" s="1" t="str">
        <f>"9780802150264"</f>
        <v>9780802150264</v>
      </c>
      <c r="H123" s="1">
        <v>0.0</v>
      </c>
      <c r="I123" s="1">
        <v>3.56</v>
      </c>
      <c r="J123" s="1" t="s">
        <v>663</v>
      </c>
      <c r="K123" s="1" t="s">
        <v>44</v>
      </c>
      <c r="L123" s="1">
        <v>160.0</v>
      </c>
      <c r="M123" s="1">
        <v>1994.0</v>
      </c>
      <c r="N123" s="1">
        <v>1928.0</v>
      </c>
      <c r="P123" s="2">
        <v>45081.0</v>
      </c>
      <c r="Q123" s="1" t="s">
        <v>502</v>
      </c>
      <c r="R123" s="1" t="s">
        <v>664</v>
      </c>
      <c r="S123" s="1" t="s">
        <v>32</v>
      </c>
      <c r="W123" s="1">
        <v>0.0</v>
      </c>
      <c r="X123" s="1">
        <v>0.0</v>
      </c>
    </row>
    <row r="124" spans="1:24" ht="15.75" customHeight="1">
      <c r="A124" s="1">
        <v>110455.0</v>
      </c>
      <c r="B124" s="1" t="s">
        <v>665</v>
      </c>
      <c r="C124" s="1" t="s">
        <v>657</v>
      </c>
      <c r="D124" s="1" t="s">
        <v>658</v>
      </c>
      <c r="E124" s="1" t="s">
        <v>666</v>
      </c>
      <c r="F124" s="1" t="str">
        <f>"0803260725"</f>
        <v>0803260725</v>
      </c>
      <c r="G124" s="1" t="str">
        <f>"9780803260726"</f>
        <v>9780803260726</v>
      </c>
      <c r="H124" s="1">
        <v>0.0</v>
      </c>
      <c r="I124" s="1">
        <v>3.74</v>
      </c>
      <c r="J124" s="1" t="s">
        <v>667</v>
      </c>
      <c r="K124" s="1" t="s">
        <v>44</v>
      </c>
      <c r="L124" s="1">
        <v>131.0</v>
      </c>
      <c r="M124" s="1">
        <v>1988.0</v>
      </c>
      <c r="N124" s="1">
        <v>1937.0</v>
      </c>
      <c r="P124" s="3">
        <v>44484.0</v>
      </c>
      <c r="Q124" s="1" t="s">
        <v>32</v>
      </c>
      <c r="R124" s="1" t="s">
        <v>668</v>
      </c>
      <c r="S124" s="1" t="s">
        <v>32</v>
      </c>
      <c r="W124" s="1">
        <v>0.0</v>
      </c>
      <c r="X124" s="1">
        <v>0.0</v>
      </c>
    </row>
    <row r="125" spans="1:24" ht="15.75" customHeight="1">
      <c r="A125" s="1">
        <v>8720682.0</v>
      </c>
      <c r="B125" s="1" t="s">
        <v>669</v>
      </c>
      <c r="C125" s="1" t="s">
        <v>670</v>
      </c>
      <c r="D125" s="1" t="s">
        <v>671</v>
      </c>
      <c r="F125" s="1" t="str">
        <f>"0851241603"</f>
        <v>0851241603</v>
      </c>
      <c r="G125" s="1" t="str">
        <f>"9780851241609"</f>
        <v>9780851241609</v>
      </c>
      <c r="H125" s="1">
        <v>0.0</v>
      </c>
      <c r="I125" s="1">
        <v>5.0</v>
      </c>
      <c r="J125" s="1" t="s">
        <v>672</v>
      </c>
      <c r="K125" s="1" t="s">
        <v>44</v>
      </c>
      <c r="L125" s="1">
        <v>87.0</v>
      </c>
      <c r="M125" s="1">
        <v>1976.0</v>
      </c>
      <c r="P125" s="2">
        <v>45269.0</v>
      </c>
      <c r="Q125" s="1" t="s">
        <v>479</v>
      </c>
      <c r="R125" s="1" t="s">
        <v>673</v>
      </c>
      <c r="S125" s="1" t="s">
        <v>32</v>
      </c>
      <c r="W125" s="1">
        <v>0.0</v>
      </c>
      <c r="X125" s="1">
        <v>0.0</v>
      </c>
    </row>
    <row r="126" spans="1:24" ht="15.75" customHeight="1">
      <c r="A126" s="1">
        <v>65249.0</v>
      </c>
      <c r="B126" s="1" t="s">
        <v>674</v>
      </c>
      <c r="C126" s="1" t="s">
        <v>675</v>
      </c>
      <c r="D126" s="1" t="s">
        <v>676</v>
      </c>
      <c r="F126" s="1" t="str">
        <f>"0061138630"</f>
        <v>0061138630</v>
      </c>
      <c r="G126" s="1" t="str">
        <f>"9780061138638"</f>
        <v>9780061138638</v>
      </c>
      <c r="H126" s="1">
        <v>0.0</v>
      </c>
      <c r="I126" s="1">
        <v>4.07</v>
      </c>
      <c r="J126" s="1" t="s">
        <v>677</v>
      </c>
      <c r="K126" s="1" t="s">
        <v>44</v>
      </c>
      <c r="L126" s="1">
        <v>316.0</v>
      </c>
      <c r="M126" s="1">
        <v>2006.0</v>
      </c>
      <c r="N126" s="1">
        <v>1979.0</v>
      </c>
      <c r="P126" s="2">
        <v>45175.0</v>
      </c>
      <c r="Q126" s="1" t="s">
        <v>502</v>
      </c>
      <c r="R126" s="1" t="s">
        <v>678</v>
      </c>
      <c r="S126" s="1" t="s">
        <v>32</v>
      </c>
      <c r="W126" s="1">
        <v>0.0</v>
      </c>
      <c r="X126" s="1">
        <v>0.0</v>
      </c>
    </row>
    <row r="127" spans="1:24" ht="15.75" customHeight="1">
      <c r="A127" s="1">
        <v>3425041.0</v>
      </c>
      <c r="B127" s="1" t="s">
        <v>679</v>
      </c>
      <c r="C127" s="1" t="s">
        <v>680</v>
      </c>
      <c r="D127" s="1" t="s">
        <v>681</v>
      </c>
      <c r="F127" s="1" t="str">
        <f>"0981521304"</f>
        <v>0981521304</v>
      </c>
      <c r="G127" s="1" t="str">
        <f>"9780981521305"</f>
        <v>9780981521305</v>
      </c>
      <c r="H127" s="1">
        <v>0.0</v>
      </c>
      <c r="I127" s="1">
        <v>4.48</v>
      </c>
      <c r="J127" s="1" t="s">
        <v>682</v>
      </c>
      <c r="K127" s="1" t="s">
        <v>44</v>
      </c>
      <c r="L127" s="1">
        <v>99.0</v>
      </c>
      <c r="M127" s="1">
        <v>2010.0</v>
      </c>
      <c r="N127" s="1">
        <v>2008.0</v>
      </c>
      <c r="P127" s="2">
        <v>45143.0</v>
      </c>
      <c r="Q127" s="1" t="s">
        <v>449</v>
      </c>
      <c r="R127" s="1" t="s">
        <v>683</v>
      </c>
      <c r="S127" s="1" t="s">
        <v>32</v>
      </c>
      <c r="W127" s="1">
        <v>0.0</v>
      </c>
      <c r="X127" s="1">
        <v>1.0</v>
      </c>
    </row>
    <row r="128" spans="1:24" ht="15.75" customHeight="1">
      <c r="A128" s="1">
        <v>3.0257776E7</v>
      </c>
      <c r="B128" s="1" t="s">
        <v>684</v>
      </c>
      <c r="C128" s="1" t="s">
        <v>685</v>
      </c>
      <c r="D128" s="1" t="s">
        <v>686</v>
      </c>
      <c r="F128" s="1" t="str">
        <f>"0190618175"</f>
        <v>0190618175</v>
      </c>
      <c r="G128" s="1" t="str">
        <f>"9780190618179"</f>
        <v>9780190618179</v>
      </c>
      <c r="H128" s="1">
        <v>0.0</v>
      </c>
      <c r="I128" s="1">
        <v>3.33</v>
      </c>
      <c r="J128" s="1" t="s">
        <v>181</v>
      </c>
      <c r="K128" s="1" t="s">
        <v>37</v>
      </c>
      <c r="L128" s="1">
        <v>248.0</v>
      </c>
      <c r="M128" s="1">
        <v>2016.0</v>
      </c>
      <c r="P128" s="2">
        <v>45176.0</v>
      </c>
      <c r="Q128" s="1" t="s">
        <v>32</v>
      </c>
      <c r="R128" s="1" t="s">
        <v>687</v>
      </c>
      <c r="S128" s="1" t="s">
        <v>32</v>
      </c>
      <c r="W128" s="1">
        <v>0.0</v>
      </c>
      <c r="X128" s="1">
        <v>0.0</v>
      </c>
    </row>
    <row r="129" spans="1:24" ht="15.75" customHeight="1">
      <c r="A129" s="1">
        <v>823647.0</v>
      </c>
      <c r="B129" s="1" t="s">
        <v>688</v>
      </c>
      <c r="C129" s="1" t="s">
        <v>689</v>
      </c>
      <c r="D129" s="1" t="s">
        <v>690</v>
      </c>
      <c r="E129" s="1" t="s">
        <v>691</v>
      </c>
      <c r="F129" s="1" t="str">
        <f>"0231073054"</f>
        <v>0231073054</v>
      </c>
      <c r="G129" s="1" t="str">
        <f>"9780231073059"</f>
        <v>9780231073059</v>
      </c>
      <c r="H129" s="1">
        <v>0.0</v>
      </c>
      <c r="I129" s="1">
        <v>3.48</v>
      </c>
      <c r="J129" s="1" t="s">
        <v>692</v>
      </c>
      <c r="K129" s="1" t="s">
        <v>44</v>
      </c>
      <c r="L129" s="1">
        <v>228.0</v>
      </c>
      <c r="M129" s="1">
        <v>1990.0</v>
      </c>
      <c r="N129" s="1">
        <v>1186.0</v>
      </c>
      <c r="P129" s="2">
        <v>45020.0</v>
      </c>
      <c r="Q129" s="1" t="s">
        <v>32</v>
      </c>
      <c r="R129" s="1" t="s">
        <v>693</v>
      </c>
      <c r="S129" s="1" t="s">
        <v>32</v>
      </c>
      <c r="W129" s="1">
        <v>0.0</v>
      </c>
      <c r="X129" s="1">
        <v>0.0</v>
      </c>
    </row>
    <row r="130" spans="1:24" ht="15.75" customHeight="1">
      <c r="A130" s="21">
        <v>2659806.0</v>
      </c>
      <c r="B130" s="21" t="s">
        <v>694</v>
      </c>
      <c r="C130" s="21" t="s">
        <v>695</v>
      </c>
      <c r="D130" s="21" t="s">
        <v>696</v>
      </c>
      <c r="E130" s="22"/>
      <c r="F130" s="21" t="str">
        <f>"843396853X"</f>
        <v>843396853X</v>
      </c>
      <c r="G130" s="21" t="str">
        <f>"9788433968531"</f>
        <v>9788433968531</v>
      </c>
      <c r="H130" s="21">
        <v>0.0</v>
      </c>
      <c r="I130" s="21">
        <v>3.7</v>
      </c>
      <c r="J130" s="21" t="s">
        <v>275</v>
      </c>
      <c r="K130" s="21" t="s">
        <v>44</v>
      </c>
      <c r="L130" s="21">
        <v>256.0</v>
      </c>
      <c r="M130" s="21">
        <v>2003.0</v>
      </c>
      <c r="N130" s="21">
        <v>2003.0</v>
      </c>
      <c r="O130" s="22"/>
      <c r="P130" s="23">
        <v>44166.0</v>
      </c>
      <c r="Q130" s="24" t="s">
        <v>697</v>
      </c>
      <c r="R130" s="21" t="s">
        <v>698</v>
      </c>
      <c r="S130" s="21" t="s">
        <v>32</v>
      </c>
      <c r="T130" s="22"/>
      <c r="U130" s="22"/>
      <c r="V130" s="22"/>
      <c r="W130" s="21">
        <v>0.0</v>
      </c>
      <c r="X130" s="21">
        <v>0.0</v>
      </c>
    </row>
    <row r="131" spans="1:24" ht="15.75" customHeight="1">
      <c r="A131" s="21">
        <v>2.8010267E7</v>
      </c>
      <c r="B131" s="21" t="s">
        <v>699</v>
      </c>
      <c r="C131" s="21" t="s">
        <v>695</v>
      </c>
      <c r="D131" s="21" t="s">
        <v>696</v>
      </c>
      <c r="E131" s="21" t="s">
        <v>700</v>
      </c>
      <c r="F131" s="21" t="str">
        <f>"1632060558"</f>
        <v>1632060558</v>
      </c>
      <c r="G131" s="21" t="str">
        <f>"9781632060556"</f>
        <v>9781632060556</v>
      </c>
      <c r="H131" s="21">
        <v>0.0</v>
      </c>
      <c r="I131" s="21">
        <v>3.65</v>
      </c>
      <c r="J131" s="21" t="s">
        <v>701</v>
      </c>
      <c r="K131" s="21" t="s">
        <v>44</v>
      </c>
      <c r="L131" s="21">
        <v>252.0</v>
      </c>
      <c r="M131" s="21">
        <v>2016.0</v>
      </c>
      <c r="N131" s="21">
        <v>2010.0</v>
      </c>
      <c r="O131" s="22"/>
      <c r="P131" s="23">
        <v>44166.0</v>
      </c>
      <c r="Q131" s="24" t="s">
        <v>569</v>
      </c>
      <c r="R131" s="21" t="s">
        <v>703</v>
      </c>
      <c r="S131" s="21" t="s">
        <v>32</v>
      </c>
      <c r="T131" s="22"/>
      <c r="U131" s="22"/>
      <c r="V131" s="22"/>
      <c r="W131" s="21">
        <v>0.0</v>
      </c>
      <c r="X131" s="21">
        <v>0.0</v>
      </c>
    </row>
    <row r="132" spans="1:24" ht="15.75" customHeight="1">
      <c r="A132" s="21">
        <v>2.4796169E7</v>
      </c>
      <c r="B132" s="21" t="s">
        <v>704</v>
      </c>
      <c r="C132" s="21" t="s">
        <v>695</v>
      </c>
      <c r="D132" s="21" t="s">
        <v>696</v>
      </c>
      <c r="E132" s="21" t="s">
        <v>705</v>
      </c>
      <c r="F132" s="21" t="str">
        <f>"1940953189"</f>
        <v>1940953189</v>
      </c>
      <c r="G132" s="21" t="str">
        <f>"9781940953182"</f>
        <v>9781940953182</v>
      </c>
      <c r="H132" s="21">
        <v>0.0</v>
      </c>
      <c r="I132" s="21">
        <v>3.82</v>
      </c>
      <c r="J132" s="21" t="s">
        <v>706</v>
      </c>
      <c r="K132" s="21" t="s">
        <v>44</v>
      </c>
      <c r="L132" s="21">
        <v>190.0</v>
      </c>
      <c r="M132" s="21">
        <v>2015.0</v>
      </c>
      <c r="N132" s="21">
        <v>2014.0</v>
      </c>
      <c r="O132" s="22"/>
      <c r="P132" s="23">
        <v>42345.0</v>
      </c>
      <c r="Q132" s="24" t="s">
        <v>569</v>
      </c>
      <c r="R132" s="21" t="s">
        <v>707</v>
      </c>
      <c r="S132" s="21" t="s">
        <v>32</v>
      </c>
      <c r="T132" s="22"/>
      <c r="U132" s="22"/>
      <c r="V132" s="22"/>
      <c r="W132" s="21">
        <v>0.0</v>
      </c>
      <c r="X132" s="21">
        <v>0.0</v>
      </c>
    </row>
    <row r="133" spans="1:24" ht="15.75" customHeight="1">
      <c r="A133" s="1">
        <v>382468.0</v>
      </c>
      <c r="B133" s="1" t="s">
        <v>708</v>
      </c>
      <c r="C133" s="1" t="s">
        <v>709</v>
      </c>
      <c r="D133" s="1" t="s">
        <v>710</v>
      </c>
      <c r="F133" s="1" t="str">
        <f>"0156006006"</f>
        <v>0156006006</v>
      </c>
      <c r="G133" s="1" t="str">
        <f>"9780156006002"</f>
        <v>9780156006002</v>
      </c>
      <c r="H133" s="1">
        <v>0.0</v>
      </c>
      <c r="I133" s="1">
        <v>3.71</v>
      </c>
      <c r="J133" s="1" t="s">
        <v>468</v>
      </c>
      <c r="K133" s="1" t="s">
        <v>44</v>
      </c>
      <c r="L133" s="1">
        <v>352.0</v>
      </c>
      <c r="M133" s="1">
        <v>1998.0</v>
      </c>
      <c r="N133" s="1">
        <v>1997.0</v>
      </c>
      <c r="P133" s="2">
        <v>45129.0</v>
      </c>
      <c r="Q133" s="1" t="s">
        <v>711</v>
      </c>
      <c r="R133" s="1" t="s">
        <v>712</v>
      </c>
      <c r="S133" s="1" t="s">
        <v>32</v>
      </c>
      <c r="W133" s="1">
        <v>0.0</v>
      </c>
      <c r="X133" s="1">
        <v>0.0</v>
      </c>
    </row>
    <row r="134" spans="1:24" ht="15.75" customHeight="1">
      <c r="A134" s="1">
        <v>317338.0</v>
      </c>
      <c r="B134" s="1" t="s">
        <v>713</v>
      </c>
      <c r="C134" s="1" t="s">
        <v>714</v>
      </c>
      <c r="D134" s="1" t="s">
        <v>715</v>
      </c>
      <c r="F134" s="1" t="str">
        <f>"0415103479"</f>
        <v>0415103479</v>
      </c>
      <c r="G134" s="1" t="str">
        <f>"9780415103473"</f>
        <v>9780415103473</v>
      </c>
      <c r="H134" s="1">
        <v>0.0</v>
      </c>
      <c r="I134" s="1">
        <v>3.96</v>
      </c>
      <c r="J134" s="1" t="s">
        <v>280</v>
      </c>
      <c r="K134" s="1" t="s">
        <v>44</v>
      </c>
      <c r="L134" s="1">
        <v>222.0</v>
      </c>
      <c r="M134" s="1">
        <v>1993.0</v>
      </c>
      <c r="N134" s="1">
        <v>1993.0</v>
      </c>
      <c r="P134" s="2">
        <v>45182.0</v>
      </c>
      <c r="Q134" s="1" t="s">
        <v>249</v>
      </c>
      <c r="R134" s="1" t="s">
        <v>716</v>
      </c>
      <c r="S134" s="1" t="s">
        <v>32</v>
      </c>
      <c r="W134" s="1">
        <v>0.0</v>
      </c>
      <c r="X134" s="1">
        <v>0.0</v>
      </c>
    </row>
    <row r="135" spans="1:24" ht="15.75" customHeight="1">
      <c r="A135" s="1">
        <v>1.0436432E7</v>
      </c>
      <c r="B135" s="1" t="s">
        <v>717</v>
      </c>
      <c r="C135" s="1" t="s">
        <v>718</v>
      </c>
      <c r="D135" s="1" t="s">
        <v>719</v>
      </c>
      <c r="F135" s="1" t="str">
        <f>"1844671283"</f>
        <v>1844671283</v>
      </c>
      <c r="G135" s="1" t="str">
        <f>"9781844671281"</f>
        <v>9781844671281</v>
      </c>
      <c r="H135" s="1">
        <v>0.0</v>
      </c>
      <c r="I135" s="1">
        <v>3.75</v>
      </c>
      <c r="J135" s="1" t="s">
        <v>720</v>
      </c>
      <c r="K135" s="1" t="s">
        <v>37</v>
      </c>
      <c r="L135" s="1">
        <v>224.0</v>
      </c>
      <c r="M135" s="1">
        <v>2007.0</v>
      </c>
      <c r="N135" s="1">
        <v>2007.0</v>
      </c>
      <c r="P135" s="3">
        <v>45278.0</v>
      </c>
      <c r="Q135" s="1" t="s">
        <v>479</v>
      </c>
      <c r="R135" s="1" t="s">
        <v>721</v>
      </c>
      <c r="S135" s="1" t="s">
        <v>32</v>
      </c>
      <c r="W135" s="1">
        <v>0.0</v>
      </c>
      <c r="X135" s="1">
        <v>0.0</v>
      </c>
    </row>
    <row r="136" spans="1:24" ht="15.75" customHeight="1">
      <c r="A136" s="1">
        <v>120179.0</v>
      </c>
      <c r="B136" s="1" t="s">
        <v>722</v>
      </c>
      <c r="C136" s="1" t="s">
        <v>723</v>
      </c>
      <c r="D136" s="1" t="s">
        <v>724</v>
      </c>
      <c r="F136" s="1" t="str">
        <f>"0892367423"</f>
        <v>0892367423</v>
      </c>
      <c r="G136" s="1" t="str">
        <f>"9780892367429"</f>
        <v>9780892367429</v>
      </c>
      <c r="H136" s="1">
        <v>0.0</v>
      </c>
      <c r="I136" s="1">
        <v>3.93</v>
      </c>
      <c r="J136" s="1" t="s">
        <v>181</v>
      </c>
      <c r="K136" s="1" t="s">
        <v>44</v>
      </c>
      <c r="L136" s="1">
        <v>168.0</v>
      </c>
      <c r="M136" s="1">
        <v>2004.0</v>
      </c>
      <c r="N136" s="1">
        <v>2003.0</v>
      </c>
      <c r="P136" s="2">
        <v>45117.0</v>
      </c>
      <c r="Q136" s="1" t="s">
        <v>725</v>
      </c>
      <c r="R136" s="1" t="s">
        <v>726</v>
      </c>
      <c r="S136" s="1" t="s">
        <v>32</v>
      </c>
      <c r="W136" s="1">
        <v>0.0</v>
      </c>
      <c r="X136" s="1">
        <v>0.0</v>
      </c>
    </row>
    <row r="137" spans="1:24" ht="15.75" customHeight="1">
      <c r="A137" s="1">
        <v>1.3356852E7</v>
      </c>
      <c r="B137" s="1" t="s">
        <v>727</v>
      </c>
      <c r="C137" s="1" t="s">
        <v>728</v>
      </c>
      <c r="D137" s="1" t="s">
        <v>729</v>
      </c>
      <c r="F137" s="1" t="str">
        <f>"1934103241"</f>
        <v>1934103241</v>
      </c>
      <c r="G137" s="1" t="str">
        <f>"9781934103241"</f>
        <v>9781934103241</v>
      </c>
      <c r="H137" s="1">
        <v>0.0</v>
      </c>
      <c r="I137" s="1">
        <v>4.28</v>
      </c>
      <c r="J137" s="1" t="s">
        <v>730</v>
      </c>
      <c r="K137" s="1" t="s">
        <v>44</v>
      </c>
      <c r="L137" s="1">
        <v>96.0</v>
      </c>
      <c r="M137" s="1">
        <v>2012.0</v>
      </c>
      <c r="N137" s="1">
        <v>2012.0</v>
      </c>
      <c r="P137" s="2">
        <v>45143.0</v>
      </c>
      <c r="Q137" s="1" t="s">
        <v>449</v>
      </c>
      <c r="R137" s="1" t="s">
        <v>731</v>
      </c>
      <c r="S137" s="1" t="s">
        <v>32</v>
      </c>
      <c r="W137" s="1">
        <v>0.0</v>
      </c>
      <c r="X137" s="1">
        <v>1.0</v>
      </c>
    </row>
    <row r="138" spans="1:24" ht="15.75" customHeight="1">
      <c r="A138" s="1">
        <v>2.5213585E7</v>
      </c>
      <c r="B138" s="1" t="s">
        <v>732</v>
      </c>
      <c r="C138" s="1" t="s">
        <v>733</v>
      </c>
      <c r="D138" s="1" t="s">
        <v>734</v>
      </c>
      <c r="F138" s="1" t="str">
        <f>"0500252122"</f>
        <v>0500252122</v>
      </c>
      <c r="G138" s="1" t="str">
        <f>"9780500252123"</f>
        <v>9780500252123</v>
      </c>
      <c r="H138" s="1">
        <v>0.0</v>
      </c>
      <c r="I138" s="1">
        <v>3.94</v>
      </c>
      <c r="J138" s="1" t="s">
        <v>192</v>
      </c>
      <c r="K138" s="1" t="s">
        <v>37</v>
      </c>
      <c r="L138" s="1">
        <v>448.0</v>
      </c>
      <c r="M138" s="1">
        <v>2015.0</v>
      </c>
      <c r="N138" s="1">
        <v>2015.0</v>
      </c>
      <c r="P138" s="2">
        <v>45143.0</v>
      </c>
      <c r="Q138" s="1" t="s">
        <v>32</v>
      </c>
      <c r="R138" s="1" t="s">
        <v>735</v>
      </c>
      <c r="S138" s="1" t="s">
        <v>32</v>
      </c>
      <c r="W138" s="1">
        <v>0.0</v>
      </c>
      <c r="X138" s="1">
        <v>0.0</v>
      </c>
    </row>
    <row r="139" spans="1:24" ht="15.75" customHeight="1">
      <c r="A139" s="1">
        <v>13932.0</v>
      </c>
      <c r="B139" s="1" t="s">
        <v>736</v>
      </c>
      <c r="C139" s="1" t="s">
        <v>737</v>
      </c>
      <c r="D139" s="1" t="s">
        <v>738</v>
      </c>
      <c r="F139" s="1" t="str">
        <f>"0684854678"</f>
        <v>0684854678</v>
      </c>
      <c r="G139" s="1" t="str">
        <f>"9780684854670"</f>
        <v>9780684854670</v>
      </c>
      <c r="H139" s="1">
        <v>0.0</v>
      </c>
      <c r="I139" s="1">
        <v>4.2</v>
      </c>
      <c r="J139" s="1" t="s">
        <v>88</v>
      </c>
      <c r="K139" s="1" t="s">
        <v>44</v>
      </c>
      <c r="L139" s="1">
        <v>578.0</v>
      </c>
      <c r="M139" s="1">
        <v>2002.0</v>
      </c>
      <c r="N139" s="1">
        <v>2000.0</v>
      </c>
      <c r="P139" s="2">
        <v>45126.0</v>
      </c>
      <c r="Q139" s="1" t="s">
        <v>739</v>
      </c>
      <c r="R139" s="1" t="s">
        <v>740</v>
      </c>
      <c r="S139" s="1" t="s">
        <v>32</v>
      </c>
      <c r="W139" s="1">
        <v>0.0</v>
      </c>
      <c r="X139" s="1">
        <v>0.0</v>
      </c>
    </row>
    <row r="140" spans="1:24" ht="15.75" customHeight="1">
      <c r="A140" s="1">
        <v>2.2363242E7</v>
      </c>
      <c r="B140" s="1" t="s">
        <v>741</v>
      </c>
      <c r="C140" s="1" t="s">
        <v>737</v>
      </c>
      <c r="D140" s="1" t="s">
        <v>738</v>
      </c>
      <c r="F140" s="1" t="str">
        <f t="shared" si="14" ref="F140:G140">""</f>
        <v/>
      </c>
      <c r="G140" s="1" t="str">
        <f t="shared" si="14"/>
        <v/>
      </c>
      <c r="H140" s="1">
        <v>0.0</v>
      </c>
      <c r="I140" s="1">
        <v>3.89</v>
      </c>
      <c r="J140" s="1" t="s">
        <v>88</v>
      </c>
      <c r="K140" s="1" t="s">
        <v>29</v>
      </c>
      <c r="L140" s="1">
        <v>30.0</v>
      </c>
      <c r="M140" s="1">
        <v>2014.0</v>
      </c>
      <c r="N140" s="1">
        <v>2014.0</v>
      </c>
      <c r="P140" s="2">
        <v>45164.0</v>
      </c>
      <c r="Q140" s="1" t="s">
        <v>32</v>
      </c>
      <c r="R140" s="1" t="s">
        <v>742</v>
      </c>
      <c r="S140" s="1" t="s">
        <v>32</v>
      </c>
      <c r="W140" s="1">
        <v>0.0</v>
      </c>
      <c r="X140" s="1">
        <v>0.0</v>
      </c>
    </row>
    <row r="141" spans="1:24" ht="15.75" customHeight="1">
      <c r="A141" s="1">
        <v>4099.0</v>
      </c>
      <c r="B141" s="1" t="s">
        <v>743</v>
      </c>
      <c r="C141" s="1" t="s">
        <v>744</v>
      </c>
      <c r="D141" s="1" t="s">
        <v>745</v>
      </c>
      <c r="E141" s="1" t="s">
        <v>746</v>
      </c>
      <c r="F141" s="1" t="str">
        <f>"020161622X"</f>
        <v>020161622X</v>
      </c>
      <c r="G141" s="1" t="str">
        <f>"9780201616224"</f>
        <v>9780201616224</v>
      </c>
      <c r="H141" s="1">
        <v>0.0</v>
      </c>
      <c r="I141" s="1">
        <v>4.33</v>
      </c>
      <c r="J141" s="1" t="s">
        <v>747</v>
      </c>
      <c r="K141" s="1" t="s">
        <v>44</v>
      </c>
      <c r="L141" s="1">
        <v>321.0</v>
      </c>
      <c r="M141" s="1">
        <v>1999.0</v>
      </c>
      <c r="N141" s="1">
        <v>1999.0</v>
      </c>
      <c r="P141" s="2">
        <v>45169.0</v>
      </c>
      <c r="Q141" s="1" t="s">
        <v>32</v>
      </c>
      <c r="R141" s="1" t="s">
        <v>748</v>
      </c>
      <c r="S141" s="1" t="s">
        <v>32</v>
      </c>
      <c r="W141" s="1">
        <v>0.0</v>
      </c>
      <c r="X141" s="1">
        <v>0.0</v>
      </c>
    </row>
    <row r="142" spans="1:24" ht="15.75" customHeight="1">
      <c r="A142" s="1">
        <v>8944483.0</v>
      </c>
      <c r="B142" s="1" t="s">
        <v>749</v>
      </c>
      <c r="C142" s="1" t="s">
        <v>750</v>
      </c>
      <c r="D142" s="1" t="s">
        <v>751</v>
      </c>
      <c r="E142" s="1" t="s">
        <v>752</v>
      </c>
      <c r="F142" s="1" t="str">
        <f>"8437618797"</f>
        <v>8437618797</v>
      </c>
      <c r="G142" s="1" t="str">
        <f>"9788437618791"</f>
        <v>9788437618791</v>
      </c>
      <c r="H142" s="1">
        <v>0.0</v>
      </c>
      <c r="I142" s="1">
        <v>3.98</v>
      </c>
      <c r="J142" s="1" t="s">
        <v>753</v>
      </c>
      <c r="K142" s="1" t="s">
        <v>44</v>
      </c>
      <c r="L142" s="1">
        <v>387.0</v>
      </c>
      <c r="M142" s="1">
        <v>2005.0</v>
      </c>
      <c r="N142" s="1">
        <v>1976.0</v>
      </c>
      <c r="P142" s="2">
        <v>43938.0</v>
      </c>
      <c r="Q142" s="1" t="s">
        <v>32</v>
      </c>
      <c r="R142" s="1" t="s">
        <v>754</v>
      </c>
      <c r="S142" s="1" t="s">
        <v>32</v>
      </c>
      <c r="W142" s="1">
        <v>0.0</v>
      </c>
      <c r="X142" s="1">
        <v>0.0</v>
      </c>
    </row>
    <row r="143" spans="1:24" ht="15.75" customHeight="1">
      <c r="A143" s="1">
        <v>5.2128695E7</v>
      </c>
      <c r="B143" s="1" t="s">
        <v>755</v>
      </c>
      <c r="C143" s="1" t="s">
        <v>756</v>
      </c>
      <c r="D143" s="1" t="s">
        <v>757</v>
      </c>
      <c r="F143" s="1" t="str">
        <f>"080701379X"</f>
        <v>080701379X</v>
      </c>
      <c r="G143" s="1" t="str">
        <f>"9780807013793"</f>
        <v>9780807013793</v>
      </c>
      <c r="H143" s="1">
        <v>2.0</v>
      </c>
      <c r="I143" s="1">
        <v>4.37</v>
      </c>
      <c r="J143" s="1" t="s">
        <v>758</v>
      </c>
      <c r="K143" s="1" t="s">
        <v>37</v>
      </c>
      <c r="L143" s="1">
        <v>210.0</v>
      </c>
      <c r="M143" s="1">
        <v>2020.0</v>
      </c>
      <c r="N143" s="1">
        <v>2020.0</v>
      </c>
      <c r="P143" s="2">
        <v>45169.0</v>
      </c>
      <c r="S143" s="1" t="s">
        <v>271</v>
      </c>
      <c r="W143" s="1">
        <v>1.0</v>
      </c>
      <c r="X143" s="1">
        <v>0.0</v>
      </c>
    </row>
    <row r="144" spans="1:24" ht="15.75" customHeight="1">
      <c r="A144" s="1">
        <v>4.366674E7</v>
      </c>
      <c r="B144" s="1" t="s">
        <v>759</v>
      </c>
      <c r="C144" s="1" t="s">
        <v>760</v>
      </c>
      <c r="D144" s="1" t="s">
        <v>761</v>
      </c>
      <c r="E144" s="1" t="s">
        <v>762</v>
      </c>
      <c r="F144" s="1" t="str">
        <f>"0999296353"</f>
        <v>0999296353</v>
      </c>
      <c r="G144" s="1" t="str">
        <f>"9780999296356"</f>
        <v>9780999296356</v>
      </c>
      <c r="H144" s="1">
        <v>0.0</v>
      </c>
      <c r="I144" s="1">
        <v>4.51</v>
      </c>
      <c r="J144" s="1" t="s">
        <v>763</v>
      </c>
      <c r="K144" s="1" t="s">
        <v>29</v>
      </c>
      <c r="L144" s="1">
        <v>308.0</v>
      </c>
      <c r="M144" s="1">
        <v>2019.0</v>
      </c>
      <c r="N144" s="1">
        <v>2012.0</v>
      </c>
      <c r="P144" s="2">
        <v>43934.0</v>
      </c>
      <c r="Q144" s="1" t="s">
        <v>49</v>
      </c>
      <c r="R144" s="1" t="s">
        <v>764</v>
      </c>
      <c r="S144" s="1" t="s">
        <v>32</v>
      </c>
      <c r="W144" s="1">
        <v>0.0</v>
      </c>
      <c r="X144" s="1">
        <v>0.0</v>
      </c>
    </row>
    <row r="145" spans="1:24" ht="15.75" customHeight="1">
      <c r="A145" s="1">
        <v>198483.0</v>
      </c>
      <c r="B145" s="1" t="s">
        <v>765</v>
      </c>
      <c r="C145" s="1" t="s">
        <v>766</v>
      </c>
      <c r="D145" s="1" t="s">
        <v>767</v>
      </c>
      <c r="F145" s="1" t="str">
        <f>"0140235191"</f>
        <v>0140235191</v>
      </c>
      <c r="G145" s="1" t="str">
        <f>"9780140235197"</f>
        <v>9780140235197</v>
      </c>
      <c r="H145" s="1">
        <v>0.0</v>
      </c>
      <c r="I145" s="1">
        <v>3.75</v>
      </c>
      <c r="J145" s="1" t="s">
        <v>309</v>
      </c>
      <c r="K145" s="1" t="s">
        <v>44</v>
      </c>
      <c r="L145" s="1">
        <v>221.0</v>
      </c>
      <c r="M145" s="1">
        <v>1986.0</v>
      </c>
      <c r="N145" s="1">
        <v>1972.0</v>
      </c>
      <c r="P145" s="2">
        <v>45081.0</v>
      </c>
      <c r="Q145" s="1" t="s">
        <v>502</v>
      </c>
      <c r="R145" s="1" t="s">
        <v>768</v>
      </c>
      <c r="S145" s="1" t="s">
        <v>32</v>
      </c>
      <c r="W145" s="1">
        <v>0.0</v>
      </c>
      <c r="X145" s="1">
        <v>0.0</v>
      </c>
    </row>
    <row r="146" spans="1:24" ht="15.75" customHeight="1">
      <c r="A146" s="1">
        <v>2.8007953E7</v>
      </c>
      <c r="B146" s="1" t="s">
        <v>769</v>
      </c>
      <c r="C146" s="1" t="s">
        <v>770</v>
      </c>
      <c r="D146" s="1" t="s">
        <v>771</v>
      </c>
      <c r="F146" s="1" t="str">
        <f>"110187127X"</f>
        <v>110187127X</v>
      </c>
      <c r="G146" s="1" t="str">
        <f>"9781101871270"</f>
        <v>9781101871270</v>
      </c>
      <c r="H146" s="1">
        <v>0.0</v>
      </c>
      <c r="I146" s="1">
        <v>4.2</v>
      </c>
      <c r="J146" s="1" t="s">
        <v>772</v>
      </c>
      <c r="K146" s="1" t="s">
        <v>37</v>
      </c>
      <c r="L146" s="1">
        <v>352.0</v>
      </c>
      <c r="M146" s="1">
        <v>2017.0</v>
      </c>
      <c r="N146" s="1">
        <v>2017.0</v>
      </c>
      <c r="P146" s="2">
        <v>43985.0</v>
      </c>
      <c r="Q146" s="1" t="s">
        <v>32</v>
      </c>
      <c r="R146" s="1" t="s">
        <v>773</v>
      </c>
      <c r="S146" s="1" t="s">
        <v>32</v>
      </c>
      <c r="W146" s="1">
        <v>0.0</v>
      </c>
      <c r="X146" s="1">
        <v>0.0</v>
      </c>
    </row>
    <row r="147" spans="1:24" ht="15.75" customHeight="1">
      <c r="A147" s="1">
        <v>3.4858587E7</v>
      </c>
      <c r="B147" s="1" t="s">
        <v>774</v>
      </c>
      <c r="C147" s="1" t="s">
        <v>775</v>
      </c>
      <c r="D147" s="1" t="s">
        <v>776</v>
      </c>
      <c r="F147" s="1" t="str">
        <f>"1785355449"</f>
        <v>1785355449</v>
      </c>
      <c r="G147" s="1" t="str">
        <f>"9781785355448"</f>
        <v>9781785355448</v>
      </c>
      <c r="H147" s="1">
        <v>0.0</v>
      </c>
      <c r="I147" s="1">
        <v>3.46</v>
      </c>
      <c r="J147" s="1" t="s">
        <v>777</v>
      </c>
      <c r="K147" s="1" t="s">
        <v>420</v>
      </c>
      <c r="L147" s="1">
        <v>136.0</v>
      </c>
      <c r="M147" s="1">
        <v>2017.0</v>
      </c>
      <c r="N147" s="1">
        <v>2017.0</v>
      </c>
      <c r="P147" s="2">
        <v>45153.0</v>
      </c>
      <c r="Q147" s="1" t="s">
        <v>32</v>
      </c>
      <c r="R147" s="1" t="s">
        <v>778</v>
      </c>
      <c r="S147" s="1" t="s">
        <v>32</v>
      </c>
      <c r="W147" s="1">
        <v>0.0</v>
      </c>
      <c r="X147" s="1">
        <v>0.0</v>
      </c>
    </row>
    <row r="148" spans="1:24" ht="15.75" customHeight="1">
      <c r="A148" s="1">
        <v>3.6537921E7</v>
      </c>
      <c r="B148" s="1" t="s">
        <v>779</v>
      </c>
      <c r="C148" s="1" t="s">
        <v>780</v>
      </c>
      <c r="D148" s="1" t="s">
        <v>781</v>
      </c>
      <c r="E148" s="1" t="s">
        <v>782</v>
      </c>
      <c r="F148" s="1" t="str">
        <f t="shared" si="15" ref="F148:G148">""</f>
        <v/>
      </c>
      <c r="G148" s="1" t="str">
        <f t="shared" si="15"/>
        <v/>
      </c>
      <c r="H148" s="1">
        <v>0.0</v>
      </c>
      <c r="I148" s="1">
        <v>3.73</v>
      </c>
      <c r="J148" s="1" t="s">
        <v>783</v>
      </c>
      <c r="K148" s="1" t="s">
        <v>29</v>
      </c>
      <c r="L148" s="1">
        <v>204.0</v>
      </c>
      <c r="M148" s="1">
        <v>2017.0</v>
      </c>
      <c r="P148" s="3">
        <v>44122.0</v>
      </c>
      <c r="Q148" s="1" t="s">
        <v>32</v>
      </c>
      <c r="R148" s="1" t="s">
        <v>784</v>
      </c>
      <c r="S148" s="1" t="s">
        <v>32</v>
      </c>
      <c r="W148" s="1">
        <v>0.0</v>
      </c>
      <c r="X148" s="1">
        <v>0.0</v>
      </c>
    </row>
    <row r="149" spans="1:24" ht="15.75" customHeight="1">
      <c r="A149" s="1">
        <v>3.3156595E7</v>
      </c>
      <c r="B149" s="1" t="s">
        <v>785</v>
      </c>
      <c r="C149" s="1" t="s">
        <v>786</v>
      </c>
      <c r="D149" s="1" t="s">
        <v>787</v>
      </c>
      <c r="F149" s="1" t="str">
        <f>"178478771X"</f>
        <v>178478771X</v>
      </c>
      <c r="G149" s="1" t="str">
        <f>"9781784787714"</f>
        <v>9781784787714</v>
      </c>
      <c r="H149" s="1">
        <v>0.0</v>
      </c>
      <c r="I149" s="1">
        <v>4.45</v>
      </c>
      <c r="J149" s="1" t="s">
        <v>367</v>
      </c>
      <c r="K149" s="1" t="s">
        <v>29</v>
      </c>
      <c r="L149" s="1">
        <v>288.0</v>
      </c>
      <c r="M149" s="1">
        <v>2016.0</v>
      </c>
      <c r="N149" s="1">
        <v>1971.0</v>
      </c>
      <c r="P149" s="2">
        <v>45113.0</v>
      </c>
      <c r="Q149" s="1" t="s">
        <v>788</v>
      </c>
      <c r="R149" s="1" t="s">
        <v>789</v>
      </c>
      <c r="S149" s="1" t="s">
        <v>32</v>
      </c>
      <c r="W149" s="1">
        <v>0.0</v>
      </c>
      <c r="X149" s="1">
        <v>1.0</v>
      </c>
    </row>
    <row r="150" spans="1:24" ht="15.75" customHeight="1">
      <c r="A150" s="1">
        <v>2.5330108E7</v>
      </c>
      <c r="B150" s="1" t="s">
        <v>790</v>
      </c>
      <c r="C150" s="1" t="s">
        <v>786</v>
      </c>
      <c r="D150" s="1" t="s">
        <v>787</v>
      </c>
      <c r="E150" s="1" t="s">
        <v>791</v>
      </c>
      <c r="F150" s="1" t="str">
        <f>"1608465640"</f>
        <v>1608465640</v>
      </c>
      <c r="G150" s="1" t="str">
        <f>"9781608465644"</f>
        <v>9781608465644</v>
      </c>
      <c r="H150" s="1">
        <v>0.0</v>
      </c>
      <c r="I150" s="1">
        <v>4.44</v>
      </c>
      <c r="J150" s="1" t="s">
        <v>792</v>
      </c>
      <c r="K150" s="1" t="s">
        <v>44</v>
      </c>
      <c r="L150" s="1">
        <v>158.0</v>
      </c>
      <c r="M150" s="1">
        <v>2016.0</v>
      </c>
      <c r="N150" s="1">
        <v>2015.0</v>
      </c>
      <c r="P150" s="2">
        <v>43070.0</v>
      </c>
      <c r="Q150" s="1" t="s">
        <v>32</v>
      </c>
      <c r="R150" s="1" t="s">
        <v>793</v>
      </c>
      <c r="S150" s="1" t="s">
        <v>32</v>
      </c>
      <c r="W150" s="1">
        <v>0.0</v>
      </c>
      <c r="X150" s="1">
        <v>0.0</v>
      </c>
    </row>
    <row r="151" spans="1:24" ht="15.75" customHeight="1">
      <c r="A151" s="1">
        <v>534595.0</v>
      </c>
      <c r="B151" s="1" t="s">
        <v>794</v>
      </c>
      <c r="C151" s="1" t="s">
        <v>795</v>
      </c>
      <c r="D151" s="1" t="s">
        <v>796</v>
      </c>
      <c r="E151" s="1" t="s">
        <v>797</v>
      </c>
      <c r="F151" s="1" t="str">
        <f>"1931520054"</f>
        <v>1931520054</v>
      </c>
      <c r="G151" s="1" t="str">
        <f>"9781931520058"</f>
        <v>9781931520058</v>
      </c>
      <c r="H151" s="1">
        <v>0.0</v>
      </c>
      <c r="I151" s="1">
        <v>3.93</v>
      </c>
      <c r="J151" s="1" t="s">
        <v>798</v>
      </c>
      <c r="K151" s="1" t="s">
        <v>44</v>
      </c>
      <c r="L151" s="1">
        <v>246.0</v>
      </c>
      <c r="M151" s="1">
        <v>2003.0</v>
      </c>
      <c r="N151" s="1">
        <v>1983.0</v>
      </c>
      <c r="P151" s="2">
        <v>45123.0</v>
      </c>
      <c r="Q151" s="1" t="s">
        <v>32</v>
      </c>
      <c r="R151" s="1" t="s">
        <v>799</v>
      </c>
      <c r="S151" s="1" t="s">
        <v>32</v>
      </c>
      <c r="W151" s="1">
        <v>0.0</v>
      </c>
      <c r="X151" s="1">
        <v>0.0</v>
      </c>
    </row>
    <row r="152" spans="1:24" ht="15.75" customHeight="1">
      <c r="A152" s="1">
        <v>5.9808037E7</v>
      </c>
      <c r="B152" s="1" t="s">
        <v>800</v>
      </c>
      <c r="C152" s="1" t="s">
        <v>801</v>
      </c>
      <c r="D152" s="1" t="s">
        <v>802</v>
      </c>
      <c r="F152" s="1" t="str">
        <f>"1250208459"</f>
        <v>1250208459</v>
      </c>
      <c r="G152" s="1" t="str">
        <f>"9781250208453"</f>
        <v>9781250208453</v>
      </c>
      <c r="H152" s="1">
        <v>0.0</v>
      </c>
      <c r="I152" s="1">
        <v>3.9</v>
      </c>
      <c r="J152" s="1" t="s">
        <v>803</v>
      </c>
      <c r="K152" s="1" t="s">
        <v>37</v>
      </c>
      <c r="L152" s="1">
        <v>195.0</v>
      </c>
      <c r="M152" s="1">
        <v>2022.0</v>
      </c>
      <c r="N152" s="1">
        <v>2022.0</v>
      </c>
      <c r="P152" s="2">
        <v>45065.0</v>
      </c>
      <c r="Q152" s="1" t="s">
        <v>32</v>
      </c>
      <c r="R152" s="1" t="s">
        <v>804</v>
      </c>
      <c r="S152" s="1" t="s">
        <v>32</v>
      </c>
      <c r="W152" s="1">
        <v>0.0</v>
      </c>
      <c r="X152" s="1">
        <v>0.0</v>
      </c>
    </row>
    <row r="153" spans="1:24" ht="15.75" customHeight="1">
      <c r="A153" s="1">
        <v>2.148748E7</v>
      </c>
      <c r="B153" s="1" t="s">
        <v>805</v>
      </c>
      <c r="C153" s="1" t="s">
        <v>806</v>
      </c>
      <c r="D153" s="1" t="s">
        <v>807</v>
      </c>
      <c r="F153" s="1" t="str">
        <f>"1593275854"</f>
        <v>1593275854</v>
      </c>
      <c r="G153" s="1" t="str">
        <f>"9781593275853"</f>
        <v>9781593275853</v>
      </c>
      <c r="H153" s="1">
        <v>0.0</v>
      </c>
      <c r="I153" s="1">
        <v>4.09</v>
      </c>
      <c r="J153" s="1" t="s">
        <v>808</v>
      </c>
      <c r="K153" s="1" t="s">
        <v>44</v>
      </c>
      <c r="L153" s="1">
        <v>192.0</v>
      </c>
      <c r="M153" s="1">
        <v>2014.0</v>
      </c>
      <c r="N153" s="1">
        <v>2014.0</v>
      </c>
      <c r="P153" s="2">
        <v>45114.0</v>
      </c>
      <c r="Q153" s="1" t="s">
        <v>115</v>
      </c>
      <c r="R153" s="1" t="s">
        <v>809</v>
      </c>
      <c r="S153" s="1" t="s">
        <v>32</v>
      </c>
      <c r="W153" s="1">
        <v>0.0</v>
      </c>
      <c r="X153" s="1">
        <v>1.0</v>
      </c>
    </row>
    <row r="154" spans="1:24" ht="15.75" customHeight="1">
      <c r="A154" s="1">
        <v>251665.0</v>
      </c>
      <c r="B154" s="1" t="s">
        <v>810</v>
      </c>
      <c r="C154" s="1" t="s">
        <v>811</v>
      </c>
      <c r="D154" s="1" t="s">
        <v>812</v>
      </c>
      <c r="F154" s="1" t="str">
        <f>"0679759328"</f>
        <v>0679759328</v>
      </c>
      <c r="G154" s="1" t="str">
        <f>"9780679759324"</f>
        <v>9780679759324</v>
      </c>
      <c r="H154" s="1">
        <v>0.0</v>
      </c>
      <c r="I154" s="1">
        <v>3.6</v>
      </c>
      <c r="J154" s="1" t="s">
        <v>813</v>
      </c>
      <c r="K154" s="1" t="s">
        <v>44</v>
      </c>
      <c r="L154" s="1">
        <v>184.0</v>
      </c>
      <c r="M154" s="1">
        <v>1995.0</v>
      </c>
      <c r="N154" s="1">
        <v>1984.0</v>
      </c>
      <c r="P154" s="2">
        <v>45111.0</v>
      </c>
      <c r="Q154" s="1" t="s">
        <v>261</v>
      </c>
      <c r="R154" s="1" t="s">
        <v>814</v>
      </c>
      <c r="S154" s="1" t="s">
        <v>32</v>
      </c>
      <c r="W154" s="1">
        <v>0.0</v>
      </c>
      <c r="X154" s="1">
        <v>0.0</v>
      </c>
    </row>
    <row r="155" spans="1:24" ht="15.75" customHeight="1">
      <c r="A155" s="1">
        <v>186926.0</v>
      </c>
      <c r="B155" s="1" t="s">
        <v>815</v>
      </c>
      <c r="C155" s="1" t="s">
        <v>816</v>
      </c>
      <c r="D155" s="1" t="s">
        <v>817</v>
      </c>
      <c r="F155" s="1" t="str">
        <f>"0395901499"</f>
        <v>0395901499</v>
      </c>
      <c r="G155" s="1" t="str">
        <f>"9780395901496"</f>
        <v>9780395901496</v>
      </c>
      <c r="H155" s="1">
        <v>0.0</v>
      </c>
      <c r="I155" s="1">
        <v>4.26</v>
      </c>
      <c r="J155" s="1" t="s">
        <v>468</v>
      </c>
      <c r="K155" s="1" t="s">
        <v>44</v>
      </c>
      <c r="L155" s="1">
        <v>435.0</v>
      </c>
      <c r="M155" s="1">
        <v>1998.0</v>
      </c>
      <c r="N155" s="1">
        <v>1946.0</v>
      </c>
      <c r="P155" s="2">
        <v>45160.0</v>
      </c>
      <c r="Q155" s="1" t="s">
        <v>818</v>
      </c>
      <c r="R155" s="1" t="s">
        <v>819</v>
      </c>
      <c r="S155" s="1" t="s">
        <v>32</v>
      </c>
      <c r="W155" s="1">
        <v>0.0</v>
      </c>
      <c r="X155" s="1">
        <v>1.0</v>
      </c>
    </row>
    <row r="156" spans="1:24" ht="15.75" customHeight="1">
      <c r="A156" s="1">
        <v>6.1212756E7</v>
      </c>
      <c r="B156" s="1" t="s">
        <v>820</v>
      </c>
      <c r="C156" s="1" t="s">
        <v>821</v>
      </c>
      <c r="D156" s="1" t="s">
        <v>822</v>
      </c>
      <c r="F156" s="1" t="str">
        <f>"1681377063"</f>
        <v>1681377063</v>
      </c>
      <c r="G156" s="1" t="str">
        <f>"9781681377063"</f>
        <v>9781681377063</v>
      </c>
      <c r="H156" s="1">
        <v>0.0</v>
      </c>
      <c r="I156" s="1">
        <v>3.86</v>
      </c>
      <c r="J156" s="1" t="s">
        <v>823</v>
      </c>
      <c r="K156" s="1" t="s">
        <v>44</v>
      </c>
      <c r="L156" s="1">
        <v>192.0</v>
      </c>
      <c r="M156" s="1">
        <v>2022.0</v>
      </c>
      <c r="N156" s="1">
        <v>2022.0</v>
      </c>
      <c r="P156" s="2">
        <v>45102.0</v>
      </c>
      <c r="Q156" s="1" t="s">
        <v>338</v>
      </c>
      <c r="R156" s="1" t="s">
        <v>824</v>
      </c>
      <c r="S156" s="1" t="s">
        <v>32</v>
      </c>
      <c r="W156" s="1">
        <v>0.0</v>
      </c>
      <c r="X156" s="1">
        <v>0.0</v>
      </c>
    </row>
    <row r="157" spans="1:24" ht="15.75" customHeight="1">
      <c r="A157" s="1">
        <v>3.604786E7</v>
      </c>
      <c r="B157" s="1" t="s">
        <v>825</v>
      </c>
      <c r="C157" s="1" t="s">
        <v>826</v>
      </c>
      <c r="D157" s="1" t="s">
        <v>827</v>
      </c>
      <c r="F157" s="1" t="str">
        <f>"0571338763"</f>
        <v>0571338763</v>
      </c>
      <c r="G157" s="1" t="str">
        <f>"9780571338764"</f>
        <v>9780571338764</v>
      </c>
      <c r="H157" s="1">
        <v>0.0</v>
      </c>
      <c r="I157" s="1">
        <v>3.54</v>
      </c>
      <c r="J157" s="1" t="s">
        <v>454</v>
      </c>
      <c r="K157" s="1" t="s">
        <v>29</v>
      </c>
      <c r="L157" s="1">
        <v>352.0</v>
      </c>
      <c r="M157" s="1">
        <v>2018.0</v>
      </c>
      <c r="N157" s="1">
        <v>2018.0</v>
      </c>
      <c r="P157" s="2">
        <v>45111.0</v>
      </c>
      <c r="Q157" s="1" t="s">
        <v>261</v>
      </c>
      <c r="R157" s="1" t="s">
        <v>828</v>
      </c>
      <c r="S157" s="1" t="s">
        <v>32</v>
      </c>
      <c r="W157" s="1">
        <v>0.0</v>
      </c>
      <c r="X157" s="1">
        <v>0.0</v>
      </c>
    </row>
    <row r="158" spans="1:24" ht="15.75" customHeight="1">
      <c r="A158" s="1">
        <v>2.5330039E7</v>
      </c>
      <c r="B158" s="1" t="s">
        <v>829</v>
      </c>
      <c r="C158" s="1" t="s">
        <v>830</v>
      </c>
      <c r="D158" s="1" t="s">
        <v>831</v>
      </c>
      <c r="E158" s="1" t="s">
        <v>832</v>
      </c>
      <c r="F158" s="1" t="str">
        <f>"190871428X"</f>
        <v>190871428X</v>
      </c>
      <c r="G158" s="1" t="str">
        <f>"9781908714282"</f>
        <v>9781908714282</v>
      </c>
      <c r="H158" s="1">
        <v>0.0</v>
      </c>
      <c r="I158" s="1">
        <v>4.23</v>
      </c>
      <c r="J158" s="1" t="s">
        <v>833</v>
      </c>
      <c r="K158" s="1" t="s">
        <v>37</v>
      </c>
      <c r="L158" s="1">
        <v>112.0</v>
      </c>
      <c r="M158" s="1">
        <v>2015.0</v>
      </c>
      <c r="N158" s="1">
        <v>2015.0</v>
      </c>
      <c r="P158" s="2">
        <v>45145.0</v>
      </c>
      <c r="Q158" s="1" t="s">
        <v>32</v>
      </c>
      <c r="R158" s="1" t="s">
        <v>834</v>
      </c>
      <c r="S158" s="1" t="s">
        <v>32</v>
      </c>
      <c r="W158" s="1">
        <v>0.0</v>
      </c>
      <c r="X158" s="1">
        <v>0.0</v>
      </c>
    </row>
    <row r="159" spans="1:24" ht="15.75" customHeight="1">
      <c r="A159" s="1">
        <v>4.5186565E7</v>
      </c>
      <c r="B159" s="1" t="s">
        <v>835</v>
      </c>
      <c r="C159" s="1" t="s">
        <v>836</v>
      </c>
      <c r="D159" s="1" t="s">
        <v>837</v>
      </c>
      <c r="F159" s="1" t="str">
        <f>"0374278016"</f>
        <v>0374278016</v>
      </c>
      <c r="G159" s="1" t="str">
        <f>"9780374278014"</f>
        <v>9780374278014</v>
      </c>
      <c r="H159" s="1">
        <v>0.0</v>
      </c>
      <c r="I159" s="1">
        <v>3.64</v>
      </c>
      <c r="J159" s="1" t="s">
        <v>838</v>
      </c>
      <c r="K159" s="1" t="s">
        <v>37</v>
      </c>
      <c r="L159" s="1">
        <v>281.0</v>
      </c>
      <c r="M159" s="1">
        <v>2020.0</v>
      </c>
      <c r="N159" s="1">
        <v>2020.0</v>
      </c>
      <c r="P159" s="2">
        <v>43999.0</v>
      </c>
      <c r="Q159" s="1" t="s">
        <v>109</v>
      </c>
      <c r="R159" s="1" t="s">
        <v>839</v>
      </c>
      <c r="S159" s="1" t="s">
        <v>32</v>
      </c>
      <c r="W159" s="1">
        <v>0.0</v>
      </c>
      <c r="X159" s="1">
        <v>0.0</v>
      </c>
    </row>
    <row r="160" spans="1:24" ht="15.75" customHeight="1">
      <c r="A160" s="1">
        <v>2.2749909E7</v>
      </c>
      <c r="B160" s="1" t="s">
        <v>840</v>
      </c>
      <c r="C160" s="1" t="s">
        <v>841</v>
      </c>
      <c r="D160" s="1" t="s">
        <v>842</v>
      </c>
      <c r="F160" s="1" t="str">
        <f>"054445619X"</f>
        <v>054445619X</v>
      </c>
      <c r="G160" s="1" t="str">
        <f>"9780544456198"</f>
        <v>9780544456198</v>
      </c>
      <c r="H160" s="1">
        <v>0.0</v>
      </c>
      <c r="I160" s="1">
        <v>4.02</v>
      </c>
      <c r="J160" s="1" t="s">
        <v>843</v>
      </c>
      <c r="K160" s="1" t="s">
        <v>37</v>
      </c>
      <c r="L160" s="1">
        <v>112.0</v>
      </c>
      <c r="M160" s="1">
        <v>2015.0</v>
      </c>
      <c r="N160" s="1">
        <v>2015.0</v>
      </c>
      <c r="P160" s="2">
        <v>43155.0</v>
      </c>
      <c r="Q160" s="1" t="s">
        <v>32</v>
      </c>
      <c r="R160" s="1" t="s">
        <v>844</v>
      </c>
      <c r="S160" s="1" t="s">
        <v>32</v>
      </c>
      <c r="W160" s="1">
        <v>0.0</v>
      </c>
      <c r="X160" s="1">
        <v>0.0</v>
      </c>
    </row>
    <row r="161" spans="1:24" ht="15.75" customHeight="1">
      <c r="A161" s="1">
        <v>61049.0</v>
      </c>
      <c r="B161" s="1" t="s">
        <v>845</v>
      </c>
      <c r="C161" s="1" t="s">
        <v>846</v>
      </c>
      <c r="D161" s="1" t="s">
        <v>847</v>
      </c>
      <c r="F161" s="1" t="str">
        <f>"037570129X"</f>
        <v>037570129X</v>
      </c>
      <c r="G161" s="1" t="str">
        <f>"9780375701290"</f>
        <v>9780375701290</v>
      </c>
      <c r="H161" s="1">
        <v>5.0</v>
      </c>
      <c r="I161" s="1">
        <v>4.28</v>
      </c>
      <c r="J161" s="1" t="s">
        <v>69</v>
      </c>
      <c r="K161" s="1" t="s">
        <v>44</v>
      </c>
      <c r="L161" s="1">
        <v>160.0</v>
      </c>
      <c r="M161" s="1">
        <v>1998.0</v>
      </c>
      <c r="N161" s="1">
        <v>1998.0</v>
      </c>
      <c r="O161" s="2">
        <v>43880.0</v>
      </c>
      <c r="P161" s="2">
        <v>43101.0</v>
      </c>
      <c r="Q161" s="1" t="s">
        <v>848</v>
      </c>
      <c r="R161" s="1" t="s">
        <v>849</v>
      </c>
      <c r="S161" s="1" t="s">
        <v>271</v>
      </c>
      <c r="W161" s="1">
        <v>1.0</v>
      </c>
      <c r="X161" s="1">
        <v>0.0</v>
      </c>
    </row>
    <row r="162" spans="1:24" ht="15.75" customHeight="1">
      <c r="A162" s="1">
        <v>150252.0</v>
      </c>
      <c r="B162" s="1" t="s">
        <v>850</v>
      </c>
      <c r="C162" s="1" t="s">
        <v>846</v>
      </c>
      <c r="D162" s="1" t="s">
        <v>847</v>
      </c>
      <c r="F162" s="1" t="str">
        <f>"0375707573"</f>
        <v>0375707573</v>
      </c>
      <c r="G162" s="1" t="str">
        <f>"9780375707575"</f>
        <v>9780375707575</v>
      </c>
      <c r="H162" s="1">
        <v>5.0</v>
      </c>
      <c r="I162" s="1">
        <v>4.23</v>
      </c>
      <c r="J162" s="1" t="s">
        <v>69</v>
      </c>
      <c r="K162" s="1" t="s">
        <v>44</v>
      </c>
      <c r="L162" s="1">
        <v>160.0</v>
      </c>
      <c r="M162" s="1">
        <v>2002.0</v>
      </c>
      <c r="N162" s="1">
        <v>2001.0</v>
      </c>
      <c r="O162" s="3">
        <v>44195.0</v>
      </c>
      <c r="P162" s="3">
        <v>44193.0</v>
      </c>
      <c r="Q162" s="1" t="s">
        <v>851</v>
      </c>
      <c r="R162" s="1" t="s">
        <v>852</v>
      </c>
      <c r="S162" s="1" t="s">
        <v>32</v>
      </c>
      <c r="W162" s="1">
        <v>2.0</v>
      </c>
      <c r="X162" s="1">
        <v>1.0</v>
      </c>
    </row>
    <row r="163" spans="1:24" ht="15.75" customHeight="1">
      <c r="A163" s="1">
        <v>7812408.0</v>
      </c>
      <c r="B163" s="1" t="s">
        <v>853</v>
      </c>
      <c r="C163" s="1" t="s">
        <v>846</v>
      </c>
      <c r="D163" s="1" t="s">
        <v>847</v>
      </c>
      <c r="E163" s="1" t="s">
        <v>854</v>
      </c>
      <c r="F163" s="1" t="str">
        <f>"086547916X"</f>
        <v>086547916X</v>
      </c>
      <c r="G163" s="1" t="str">
        <f>"9780865479166"</f>
        <v>9780865479166</v>
      </c>
      <c r="H163" s="1">
        <v>0.0</v>
      </c>
      <c r="I163" s="1">
        <v>4.38</v>
      </c>
      <c r="J163" s="1" t="s">
        <v>438</v>
      </c>
      <c r="K163" s="1" t="s">
        <v>44</v>
      </c>
      <c r="L163" s="1">
        <v>272.0</v>
      </c>
      <c r="M163" s="1">
        <v>2009.0</v>
      </c>
      <c r="N163" s="1">
        <v>2009.0</v>
      </c>
      <c r="P163" s="2">
        <v>45102.0</v>
      </c>
      <c r="Q163" s="1" t="s">
        <v>855</v>
      </c>
      <c r="R163" s="1" t="s">
        <v>856</v>
      </c>
      <c r="S163" s="1" t="s">
        <v>32</v>
      </c>
      <c r="W163" s="1">
        <v>0.0</v>
      </c>
      <c r="X163" s="1">
        <v>0.0</v>
      </c>
    </row>
    <row r="164" spans="1:24" ht="15.75" customHeight="1">
      <c r="A164" s="33">
        <v>3.1057755E7</v>
      </c>
      <c r="B164" s="33" t="s">
        <v>857</v>
      </c>
      <c r="C164" s="33" t="s">
        <v>846</v>
      </c>
      <c r="D164" s="33" t="s">
        <v>847</v>
      </c>
      <c r="E164" s="33" t="s">
        <v>858</v>
      </c>
      <c r="F164" s="33" t="str">
        <f>""</f>
        <v/>
      </c>
      <c r="G164" s="33" t="str">
        <f>"9789569235184"</f>
        <v>9789569235184</v>
      </c>
      <c r="H164" s="33">
        <v>0.0</v>
      </c>
      <c r="I164" s="33">
        <v>4.41</v>
      </c>
      <c r="J164" s="33" t="s">
        <v>859</v>
      </c>
      <c r="K164" s="33" t="s">
        <v>860</v>
      </c>
      <c r="L164" s="33">
        <v>25.0</v>
      </c>
      <c r="M164" s="33">
        <v>2016.0</v>
      </c>
      <c r="N164" s="33">
        <v>2008.0</v>
      </c>
      <c r="O164" s="34"/>
      <c r="P164" s="35">
        <v>45102.0</v>
      </c>
      <c r="Q164" s="36" t="s">
        <v>10989</v>
      </c>
      <c r="R164" s="33" t="s">
        <v>862</v>
      </c>
      <c r="S164" s="33" t="s">
        <v>32</v>
      </c>
      <c r="T164" s="34"/>
      <c r="U164" s="34"/>
      <c r="V164" s="34"/>
      <c r="W164" s="33">
        <v>0.0</v>
      </c>
      <c r="X164" s="33">
        <v>0.0</v>
      </c>
    </row>
    <row r="165" spans="1:24" ht="15.75" customHeight="1">
      <c r="A165" s="33">
        <v>5.6760369E7</v>
      </c>
      <c r="B165" s="33" t="s">
        <v>863</v>
      </c>
      <c r="C165" s="33" t="s">
        <v>846</v>
      </c>
      <c r="D165" s="33" t="s">
        <v>847</v>
      </c>
      <c r="E165" s="34"/>
      <c r="F165" s="33" t="str">
        <f>"0811231232"</f>
        <v>0811231232</v>
      </c>
      <c r="G165" s="33" t="str">
        <f>"9780811231237"</f>
        <v>9780811231237</v>
      </c>
      <c r="H165" s="33">
        <v>0.0</v>
      </c>
      <c r="I165" s="33">
        <v>4.42</v>
      </c>
      <c r="J165" s="33" t="s">
        <v>419</v>
      </c>
      <c r="K165" s="33" t="s">
        <v>37</v>
      </c>
      <c r="L165" s="33">
        <v>112.0</v>
      </c>
      <c r="M165" s="33">
        <v>2021.0</v>
      </c>
      <c r="N165" s="33">
        <v>2021.0</v>
      </c>
      <c r="O165" s="34"/>
      <c r="P165" s="35">
        <v>45078.0</v>
      </c>
      <c r="Q165" s="36" t="s">
        <v>10989</v>
      </c>
      <c r="R165" s="33" t="s">
        <v>864</v>
      </c>
      <c r="S165" s="33" t="s">
        <v>32</v>
      </c>
      <c r="T165" s="34"/>
      <c r="U165" s="34"/>
      <c r="V165" s="34"/>
      <c r="W165" s="33">
        <v>0.0</v>
      </c>
      <c r="X165" s="33">
        <v>0.0</v>
      </c>
    </row>
    <row r="166" spans="1:24" ht="15.75" customHeight="1">
      <c r="A166" s="33">
        <v>195725.0</v>
      </c>
      <c r="B166" s="33" t="s">
        <v>865</v>
      </c>
      <c r="C166" s="33" t="s">
        <v>846</v>
      </c>
      <c r="D166" s="33" t="s">
        <v>847</v>
      </c>
      <c r="E166" s="34"/>
      <c r="F166" s="33" t="str">
        <f>"0375707565"</f>
        <v>0375707565</v>
      </c>
      <c r="G166" s="33" t="str">
        <f>"9780375707568"</f>
        <v>9780375707568</v>
      </c>
      <c r="H166" s="33">
        <v>0.0</v>
      </c>
      <c r="I166" s="33">
        <v>4.08</v>
      </c>
      <c r="J166" s="33" t="s">
        <v>69</v>
      </c>
      <c r="K166" s="33" t="s">
        <v>44</v>
      </c>
      <c r="L166" s="33">
        <v>176.0</v>
      </c>
      <c r="M166" s="33">
        <v>2001.0</v>
      </c>
      <c r="N166" s="33">
        <v>2000.0</v>
      </c>
      <c r="O166" s="34"/>
      <c r="P166" s="35">
        <v>43922.0</v>
      </c>
      <c r="Q166" s="36" t="s">
        <v>10989</v>
      </c>
      <c r="R166" s="33" t="s">
        <v>866</v>
      </c>
      <c r="S166" s="33" t="s">
        <v>32</v>
      </c>
      <c r="T166" s="34"/>
      <c r="U166" s="34"/>
      <c r="V166" s="34"/>
      <c r="W166" s="33">
        <v>0.0</v>
      </c>
      <c r="X166" s="33">
        <v>0.0</v>
      </c>
    </row>
    <row r="167" spans="1:24" ht="15.75" customHeight="1">
      <c r="A167" s="33">
        <v>1.5797355E7</v>
      </c>
      <c r="B167" s="33" t="s">
        <v>867</v>
      </c>
      <c r="C167" s="33" t="s">
        <v>846</v>
      </c>
      <c r="D167" s="33" t="s">
        <v>847</v>
      </c>
      <c r="E167" s="34"/>
      <c r="F167" s="33" t="str">
        <f>"0307960587"</f>
        <v>0307960587</v>
      </c>
      <c r="G167" s="33" t="str">
        <f>"9780307960580"</f>
        <v>9780307960580</v>
      </c>
      <c r="H167" s="33">
        <v>0.0</v>
      </c>
      <c r="I167" s="33">
        <v>4.1</v>
      </c>
      <c r="J167" s="33" t="s">
        <v>530</v>
      </c>
      <c r="K167" s="33" t="s">
        <v>37</v>
      </c>
      <c r="L167" s="33">
        <v>171.0</v>
      </c>
      <c r="M167" s="33">
        <v>2013.0</v>
      </c>
      <c r="N167" s="33">
        <v>2013.0</v>
      </c>
      <c r="O167" s="34"/>
      <c r="P167" s="37">
        <v>44152.0</v>
      </c>
      <c r="Q167" s="36" t="s">
        <v>10989</v>
      </c>
      <c r="R167" s="33" t="s">
        <v>868</v>
      </c>
      <c r="S167" s="33" t="s">
        <v>32</v>
      </c>
      <c r="T167" s="34"/>
      <c r="U167" s="34"/>
      <c r="V167" s="34"/>
      <c r="W167" s="33">
        <v>0.0</v>
      </c>
      <c r="X167" s="33">
        <v>0.0</v>
      </c>
    </row>
    <row r="168" spans="1:24" ht="15.75" customHeight="1">
      <c r="A168" s="33">
        <v>4.4669663E7</v>
      </c>
      <c r="B168" s="33" t="s">
        <v>869</v>
      </c>
      <c r="C168" s="33" t="s">
        <v>846</v>
      </c>
      <c r="D168" s="33" t="s">
        <v>847</v>
      </c>
      <c r="E168" s="34"/>
      <c r="F168" s="33" t="str">
        <f>"1786827611"</f>
        <v>1786827611</v>
      </c>
      <c r="G168" s="33" t="str">
        <f>"9781786827616"</f>
        <v>9781786827616</v>
      </c>
      <c r="H168" s="33">
        <v>0.0</v>
      </c>
      <c r="I168" s="33">
        <v>4.07</v>
      </c>
      <c r="J168" s="33" t="s">
        <v>870</v>
      </c>
      <c r="K168" s="33" t="s">
        <v>44</v>
      </c>
      <c r="L168" s="33">
        <v>64.0</v>
      </c>
      <c r="M168" s="33">
        <v>2019.0</v>
      </c>
      <c r="N168" s="33">
        <v>2019.0</v>
      </c>
      <c r="O168" s="34"/>
      <c r="P168" s="35">
        <v>45095.0</v>
      </c>
      <c r="Q168" s="36" t="s">
        <v>861</v>
      </c>
      <c r="R168" s="33" t="s">
        <v>872</v>
      </c>
      <c r="S168" s="33" t="s">
        <v>32</v>
      </c>
      <c r="T168" s="34"/>
      <c r="U168" s="34"/>
      <c r="V168" s="34"/>
      <c r="W168" s="33">
        <v>0.0</v>
      </c>
      <c r="X168" s="33">
        <v>1.0</v>
      </c>
    </row>
    <row r="169" spans="1:24" ht="15.75" customHeight="1">
      <c r="A169" s="33">
        <v>150251.0</v>
      </c>
      <c r="B169" s="33" t="s">
        <v>873</v>
      </c>
      <c r="C169" s="33" t="s">
        <v>846</v>
      </c>
      <c r="D169" s="33" t="s">
        <v>847</v>
      </c>
      <c r="E169" s="34"/>
      <c r="F169" s="33" t="str">
        <f>"0375708421"</f>
        <v>0375708421</v>
      </c>
      <c r="G169" s="33" t="str">
        <f>"9780375708428"</f>
        <v>9780375708428</v>
      </c>
      <c r="H169" s="33">
        <v>0.0</v>
      </c>
      <c r="I169" s="33">
        <v>4.27</v>
      </c>
      <c r="J169" s="33" t="s">
        <v>69</v>
      </c>
      <c r="K169" s="33" t="s">
        <v>44</v>
      </c>
      <c r="L169" s="33">
        <v>260.0</v>
      </c>
      <c r="M169" s="33">
        <v>2000.0</v>
      </c>
      <c r="N169" s="33">
        <v>1995.0</v>
      </c>
      <c r="O169" s="34"/>
      <c r="P169" s="35">
        <v>45113.0</v>
      </c>
      <c r="Q169" s="36" t="s">
        <v>874</v>
      </c>
      <c r="R169" s="33" t="s">
        <v>875</v>
      </c>
      <c r="S169" s="33" t="s">
        <v>32</v>
      </c>
      <c r="T169" s="34"/>
      <c r="U169" s="34"/>
      <c r="V169" s="34"/>
      <c r="W169" s="33">
        <v>0.0</v>
      </c>
      <c r="X169" s="33">
        <v>1.0</v>
      </c>
    </row>
    <row r="170" spans="1:24" ht="15.75" customHeight="1">
      <c r="A170" s="33">
        <v>150250.0</v>
      </c>
      <c r="B170" s="33" t="s">
        <v>876</v>
      </c>
      <c r="C170" s="33" t="s">
        <v>846</v>
      </c>
      <c r="D170" s="33" t="s">
        <v>847</v>
      </c>
      <c r="E170" s="34"/>
      <c r="F170" s="33" t="str">
        <f>"0811213021"</f>
        <v>0811213021</v>
      </c>
      <c r="G170" s="33" t="str">
        <f>"9780811213028"</f>
        <v>9780811213028</v>
      </c>
      <c r="H170" s="33">
        <v>0.0</v>
      </c>
      <c r="I170" s="33">
        <v>4.32</v>
      </c>
      <c r="J170" s="33" t="s">
        <v>419</v>
      </c>
      <c r="K170" s="33" t="s">
        <v>44</v>
      </c>
      <c r="L170" s="33">
        <v>142.0</v>
      </c>
      <c r="M170" s="33">
        <v>1995.0</v>
      </c>
      <c r="N170" s="33">
        <v>1995.0</v>
      </c>
      <c r="O170" s="34"/>
      <c r="P170" s="35">
        <v>45113.0</v>
      </c>
      <c r="Q170" s="36" t="s">
        <v>861</v>
      </c>
      <c r="R170" s="33" t="s">
        <v>877</v>
      </c>
      <c r="S170" s="33" t="s">
        <v>32</v>
      </c>
      <c r="T170" s="34"/>
      <c r="U170" s="34"/>
      <c r="V170" s="34"/>
      <c r="W170" s="33">
        <v>0.0</v>
      </c>
      <c r="X170" s="33">
        <v>1.0</v>
      </c>
    </row>
    <row r="171" spans="1:24" ht="15.75" customHeight="1">
      <c r="A171" s="1">
        <v>1434797.0</v>
      </c>
      <c r="B171" s="1" t="s">
        <v>878</v>
      </c>
      <c r="C171" s="1" t="s">
        <v>879</v>
      </c>
      <c r="D171" s="1" t="s">
        <v>880</v>
      </c>
      <c r="F171" s="1" t="str">
        <f>"1550139320"</f>
        <v>1550139320</v>
      </c>
      <c r="G171" s="1" t="str">
        <f>"9781550139327"</f>
        <v>9781550139327</v>
      </c>
      <c r="H171" s="1">
        <v>0.0</v>
      </c>
      <c r="I171" s="1">
        <v>3.81</v>
      </c>
      <c r="J171" s="1" t="s">
        <v>881</v>
      </c>
      <c r="K171" s="1" t="s">
        <v>44</v>
      </c>
      <c r="L171" s="1">
        <v>275.0</v>
      </c>
      <c r="M171" s="1">
        <v>1998.0</v>
      </c>
      <c r="N171" s="1">
        <v>1988.0</v>
      </c>
      <c r="P171" s="3">
        <v>45278.0</v>
      </c>
      <c r="Q171" s="1" t="s">
        <v>479</v>
      </c>
      <c r="R171" s="1" t="s">
        <v>882</v>
      </c>
      <c r="S171" s="1" t="s">
        <v>32</v>
      </c>
      <c r="W171" s="1">
        <v>0.0</v>
      </c>
      <c r="X171" s="1">
        <v>0.0</v>
      </c>
    </row>
    <row r="172" spans="1:24" ht="15.75" customHeight="1">
      <c r="A172" s="1">
        <v>998133.0</v>
      </c>
      <c r="B172" s="1" t="s">
        <v>883</v>
      </c>
      <c r="C172" s="1" t="s">
        <v>884</v>
      </c>
      <c r="D172" s="1" t="s">
        <v>885</v>
      </c>
      <c r="F172" s="1" t="str">
        <f>"0802170390"</f>
        <v>0802170390</v>
      </c>
      <c r="G172" s="1" t="str">
        <f>"9780802170392"</f>
        <v>9780802170392</v>
      </c>
      <c r="H172" s="1">
        <v>0.0</v>
      </c>
      <c r="I172" s="1">
        <v>3.12</v>
      </c>
      <c r="J172" s="1" t="s">
        <v>886</v>
      </c>
      <c r="K172" s="1" t="s">
        <v>44</v>
      </c>
      <c r="L172" s="1">
        <v>261.0</v>
      </c>
      <c r="M172" s="1">
        <v>2007.0</v>
      </c>
      <c r="N172" s="1">
        <v>2007.0</v>
      </c>
      <c r="P172" s="2">
        <v>45111.0</v>
      </c>
      <c r="Q172" s="1" t="s">
        <v>261</v>
      </c>
      <c r="R172" s="1" t="s">
        <v>887</v>
      </c>
      <c r="S172" s="1" t="s">
        <v>32</v>
      </c>
      <c r="W172" s="1">
        <v>0.0</v>
      </c>
      <c r="X172" s="1">
        <v>0.0</v>
      </c>
    </row>
    <row r="173" spans="1:24" ht="15.75" customHeight="1">
      <c r="A173" s="1">
        <v>12609.0</v>
      </c>
      <c r="B173" s="1" t="s">
        <v>888</v>
      </c>
      <c r="C173" s="1" t="s">
        <v>889</v>
      </c>
      <c r="D173" s="1" t="s">
        <v>890</v>
      </c>
      <c r="F173" s="1" t="str">
        <f>"0374525641"</f>
        <v>0374525641</v>
      </c>
      <c r="G173" s="1" t="str">
        <f>"9780374525644"</f>
        <v>9780374525644</v>
      </c>
      <c r="H173" s="1">
        <v>0.0</v>
      </c>
      <c r="I173" s="1">
        <v>4.2</v>
      </c>
      <c r="J173" s="1" t="s">
        <v>891</v>
      </c>
      <c r="K173" s="1" t="s">
        <v>44</v>
      </c>
      <c r="L173" s="1">
        <v>341.0</v>
      </c>
      <c r="M173" s="1">
        <v>2007.0</v>
      </c>
      <c r="N173" s="1">
        <v>1997.0</v>
      </c>
      <c r="P173" s="2">
        <v>45177.0</v>
      </c>
      <c r="Q173" s="1" t="s">
        <v>55</v>
      </c>
      <c r="R173" s="1" t="s">
        <v>892</v>
      </c>
      <c r="S173" s="1" t="s">
        <v>32</v>
      </c>
      <c r="W173" s="1">
        <v>0.0</v>
      </c>
      <c r="X173" s="1">
        <v>0.0</v>
      </c>
    </row>
    <row r="174" spans="1:24" ht="15.75" customHeight="1">
      <c r="A174" s="1">
        <v>46890.0</v>
      </c>
      <c r="B174" s="1" t="s">
        <v>893</v>
      </c>
      <c r="C174" s="1" t="s">
        <v>889</v>
      </c>
      <c r="D174" s="1" t="s">
        <v>890</v>
      </c>
      <c r="F174" s="1" t="str">
        <f>"0374527229"</f>
        <v>0374527229</v>
      </c>
      <c r="G174" s="1" t="str">
        <f>"9780374527228"</f>
        <v>9780374527228</v>
      </c>
      <c r="H174" s="1">
        <v>0.0</v>
      </c>
      <c r="I174" s="1">
        <v>4.1</v>
      </c>
      <c r="J174" s="1" t="s">
        <v>894</v>
      </c>
      <c r="K174" s="1" t="s">
        <v>44</v>
      </c>
      <c r="L174" s="1">
        <v>162.0</v>
      </c>
      <c r="M174" s="1">
        <v>2000.0</v>
      </c>
      <c r="N174" s="1">
        <v>1998.0</v>
      </c>
      <c r="P174" s="2">
        <v>43919.0</v>
      </c>
      <c r="Q174" s="1" t="s">
        <v>32</v>
      </c>
      <c r="R174" s="1" t="s">
        <v>895</v>
      </c>
      <c r="S174" s="1" t="s">
        <v>32</v>
      </c>
      <c r="W174" s="1">
        <v>0.0</v>
      </c>
      <c r="X174" s="1">
        <v>0.0</v>
      </c>
    </row>
    <row r="175" spans="1:24" ht="15.75" customHeight="1">
      <c r="A175" s="1">
        <v>2.3129715E7</v>
      </c>
      <c r="B175" s="1" t="s">
        <v>896</v>
      </c>
      <c r="C175" s="1" t="s">
        <v>897</v>
      </c>
      <c r="D175" s="1" t="s">
        <v>898</v>
      </c>
      <c r="E175" s="1" t="s">
        <v>899</v>
      </c>
      <c r="F175" s="1" t="str">
        <f>"1941920098"</f>
        <v>1941920098</v>
      </c>
      <c r="G175" s="1" t="str">
        <f>"9781941920091"</f>
        <v>9781941920091</v>
      </c>
      <c r="H175" s="1">
        <v>0.0</v>
      </c>
      <c r="I175" s="1">
        <v>3.76</v>
      </c>
      <c r="J175" s="1" t="s">
        <v>900</v>
      </c>
      <c r="K175" s="1" t="s">
        <v>44</v>
      </c>
      <c r="L175" s="1">
        <v>152.0</v>
      </c>
      <c r="M175" s="1">
        <v>2015.0</v>
      </c>
      <c r="N175" s="1">
        <v>1986.0</v>
      </c>
      <c r="P175" s="2">
        <v>42345.0</v>
      </c>
      <c r="Q175" s="1" t="s">
        <v>32</v>
      </c>
      <c r="R175" s="1" t="s">
        <v>901</v>
      </c>
      <c r="S175" s="1" t="s">
        <v>32</v>
      </c>
      <c r="W175" s="1">
        <v>0.0</v>
      </c>
      <c r="X175" s="1">
        <v>0.0</v>
      </c>
    </row>
    <row r="176" spans="1:24" ht="15.75" customHeight="1">
      <c r="A176" s="1">
        <v>12543.0</v>
      </c>
      <c r="B176" s="1" t="s">
        <v>902</v>
      </c>
      <c r="C176" s="1" t="s">
        <v>903</v>
      </c>
      <c r="D176" s="1" t="s">
        <v>904</v>
      </c>
      <c r="F176" s="1" t="str">
        <f t="shared" si="16" ref="F176:G176">""</f>
        <v/>
      </c>
      <c r="G176" s="1" t="str">
        <f t="shared" si="16"/>
        <v/>
      </c>
      <c r="H176" s="1">
        <v>0.0</v>
      </c>
      <c r="I176" s="1">
        <v>4.24</v>
      </c>
      <c r="J176" s="1" t="s">
        <v>287</v>
      </c>
      <c r="K176" s="1" t="s">
        <v>44</v>
      </c>
      <c r="L176" s="1">
        <v>238.0</v>
      </c>
      <c r="M176" s="1">
        <v>1995.0</v>
      </c>
      <c r="N176" s="1">
        <v>1994.0</v>
      </c>
      <c r="P176" s="2">
        <v>43919.0</v>
      </c>
      <c r="Q176" s="1" t="s">
        <v>32</v>
      </c>
      <c r="R176" s="1" t="s">
        <v>905</v>
      </c>
      <c r="S176" s="1" t="s">
        <v>32</v>
      </c>
      <c r="W176" s="1">
        <v>0.0</v>
      </c>
      <c r="X176" s="1">
        <v>0.0</v>
      </c>
    </row>
    <row r="177" spans="1:24" ht="15.75" customHeight="1">
      <c r="A177" s="1">
        <v>5.3173189E7</v>
      </c>
      <c r="B177" s="1" t="s">
        <v>906</v>
      </c>
      <c r="C177" s="1" t="s">
        <v>907</v>
      </c>
      <c r="D177" s="1" t="s">
        <v>908</v>
      </c>
      <c r="E177" s="1" t="s">
        <v>909</v>
      </c>
      <c r="F177" s="1" t="str">
        <f>"0486843173"</f>
        <v>0486843173</v>
      </c>
      <c r="G177" s="1" t="str">
        <f>"9780486843179"</f>
        <v>9780486843179</v>
      </c>
      <c r="H177" s="1">
        <v>0.0</v>
      </c>
      <c r="I177" s="1">
        <v>3.83</v>
      </c>
      <c r="J177" s="1" t="s">
        <v>910</v>
      </c>
      <c r="K177" s="1" t="s">
        <v>44</v>
      </c>
      <c r="L177" s="1">
        <v>112.0</v>
      </c>
      <c r="M177" s="1">
        <v>2020.0</v>
      </c>
      <c r="N177" s="1">
        <v>1905.0</v>
      </c>
      <c r="P177" s="2">
        <v>45153.0</v>
      </c>
      <c r="Q177" s="1" t="s">
        <v>32</v>
      </c>
      <c r="R177" s="1" t="s">
        <v>911</v>
      </c>
      <c r="S177" s="1" t="s">
        <v>32</v>
      </c>
      <c r="W177" s="1">
        <v>0.0</v>
      </c>
      <c r="X177" s="1">
        <v>0.0</v>
      </c>
    </row>
    <row r="178" spans="1:24" ht="15.75" customHeight="1">
      <c r="A178" s="38">
        <v>12532.0</v>
      </c>
      <c r="B178" s="38" t="s">
        <v>912</v>
      </c>
      <c r="C178" s="38" t="s">
        <v>913</v>
      </c>
      <c r="D178" s="38" t="s">
        <v>914</v>
      </c>
      <c r="E178" s="39"/>
      <c r="F178" s="38" t="str">
        <f>"0375703470"</f>
        <v>0375703470</v>
      </c>
      <c r="G178" s="38" t="str">
        <f>"9780375703478"</f>
        <v>9780375703478</v>
      </c>
      <c r="H178" s="38">
        <v>0.0</v>
      </c>
      <c r="I178" s="38">
        <v>4.14</v>
      </c>
      <c r="J178" s="38" t="s">
        <v>69</v>
      </c>
      <c r="K178" s="38" t="s">
        <v>44</v>
      </c>
      <c r="L178" s="38">
        <v>205.0</v>
      </c>
      <c r="M178" s="38">
        <v>2000.0</v>
      </c>
      <c r="N178" s="38">
        <v>1999.0</v>
      </c>
      <c r="O178" s="39"/>
      <c r="P178" s="40">
        <v>44447.0</v>
      </c>
      <c r="Q178" s="41" t="s">
        <v>871</v>
      </c>
      <c r="R178" s="38" t="s">
        <v>915</v>
      </c>
      <c r="S178" s="38" t="s">
        <v>32</v>
      </c>
      <c r="T178" s="39"/>
      <c r="U178" s="39"/>
      <c r="V178" s="39"/>
      <c r="W178" s="38">
        <v>0.0</v>
      </c>
      <c r="X178" s="38">
        <v>0.0</v>
      </c>
    </row>
    <row r="179" spans="1:24" ht="15.75" customHeight="1">
      <c r="A179" s="38">
        <v>12534.0</v>
      </c>
      <c r="B179" s="38" t="s">
        <v>916</v>
      </c>
      <c r="C179" s="38" t="s">
        <v>913</v>
      </c>
      <c r="D179" s="38" t="s">
        <v>914</v>
      </c>
      <c r="E179" s="39"/>
      <c r="F179" s="38" t="str">
        <f>"0060915412"</f>
        <v>0060915412</v>
      </c>
      <c r="G179" s="38" t="str">
        <f>"9780060915414"</f>
        <v>9780060915414</v>
      </c>
      <c r="H179" s="38">
        <v>0.0</v>
      </c>
      <c r="I179" s="38">
        <v>4.15</v>
      </c>
      <c r="J179" s="38" t="s">
        <v>917</v>
      </c>
      <c r="K179" s="38" t="s">
        <v>44</v>
      </c>
      <c r="L179" s="38">
        <v>175.0</v>
      </c>
      <c r="M179" s="38">
        <v>1988.0</v>
      </c>
      <c r="N179" s="38">
        <v>1982.0</v>
      </c>
      <c r="O179" s="39"/>
      <c r="P179" s="40">
        <v>43949.0</v>
      </c>
      <c r="Q179" s="41" t="s">
        <v>871</v>
      </c>
      <c r="R179" s="38" t="s">
        <v>918</v>
      </c>
      <c r="S179" s="38" t="s">
        <v>32</v>
      </c>
      <c r="T179" s="39"/>
      <c r="U179" s="39"/>
      <c r="V179" s="39"/>
      <c r="W179" s="38">
        <v>0.0</v>
      </c>
      <c r="X179" s="38">
        <v>0.0</v>
      </c>
    </row>
    <row r="180" spans="1:24" ht="15.75" customHeight="1">
      <c r="A180" s="38">
        <v>12530.0</v>
      </c>
      <c r="B180" s="38" t="s">
        <v>919</v>
      </c>
      <c r="C180" s="38" t="s">
        <v>913</v>
      </c>
      <c r="D180" s="38" t="s">
        <v>914</v>
      </c>
      <c r="E180" s="39"/>
      <c r="F180" s="38" t="str">
        <f>"0060919884"</f>
        <v>0060919884</v>
      </c>
      <c r="G180" s="38" t="str">
        <f>"9780060919887"</f>
        <v>9780060919887</v>
      </c>
      <c r="H180" s="38">
        <v>0.0</v>
      </c>
      <c r="I180" s="38">
        <v>3.98</v>
      </c>
      <c r="J180" s="38" t="s">
        <v>920</v>
      </c>
      <c r="K180" s="38" t="s">
        <v>44</v>
      </c>
      <c r="L180" s="38">
        <v>111.0</v>
      </c>
      <c r="M180" s="38">
        <v>2013.0</v>
      </c>
      <c r="N180" s="38">
        <v>1989.0</v>
      </c>
      <c r="O180" s="39"/>
      <c r="P180" s="40">
        <v>43921.0</v>
      </c>
      <c r="Q180" s="41" t="s">
        <v>871</v>
      </c>
      <c r="R180" s="38" t="s">
        <v>921</v>
      </c>
      <c r="S180" s="38" t="s">
        <v>32</v>
      </c>
      <c r="T180" s="39"/>
      <c r="U180" s="39"/>
      <c r="V180" s="39"/>
      <c r="W180" s="38">
        <v>0.0</v>
      </c>
      <c r="X180" s="38">
        <v>0.0</v>
      </c>
    </row>
    <row r="181" spans="1:24" ht="15.75" customHeight="1">
      <c r="A181" s="1">
        <v>1.29263635E8</v>
      </c>
      <c r="B181" s="1" t="s">
        <v>922</v>
      </c>
      <c r="C181" s="1" t="s">
        <v>923</v>
      </c>
      <c r="D181" s="1" t="s">
        <v>924</v>
      </c>
      <c r="E181" s="1" t="s">
        <v>925</v>
      </c>
      <c r="F181" s="1" t="str">
        <f>"1609809483"</f>
        <v>1609809483</v>
      </c>
      <c r="G181" s="1" t="str">
        <f>"9781609809485"</f>
        <v>9781609809485</v>
      </c>
      <c r="H181" s="1">
        <v>0.0</v>
      </c>
      <c r="I181" s="1">
        <v>4.32</v>
      </c>
      <c r="J181" s="1" t="s">
        <v>926</v>
      </c>
      <c r="K181" s="1" t="s">
        <v>44</v>
      </c>
      <c r="L181" s="1">
        <v>96.0</v>
      </c>
      <c r="M181" s="1">
        <v>2022.0</v>
      </c>
      <c r="N181" s="1">
        <v>2000.0</v>
      </c>
      <c r="P181" s="2">
        <v>45163.0</v>
      </c>
      <c r="Q181" s="1" t="s">
        <v>32</v>
      </c>
      <c r="R181" s="1" t="s">
        <v>927</v>
      </c>
      <c r="S181" s="1" t="s">
        <v>32</v>
      </c>
      <c r="W181" s="1">
        <v>0.0</v>
      </c>
      <c r="X181" s="1">
        <v>0.0</v>
      </c>
    </row>
    <row r="182" spans="1:24" ht="15.75" customHeight="1">
      <c r="A182" s="1">
        <v>1.45625252E8</v>
      </c>
      <c r="B182" s="1" t="s">
        <v>928</v>
      </c>
      <c r="C182" s="1" t="s">
        <v>923</v>
      </c>
      <c r="D182" s="1" t="s">
        <v>924</v>
      </c>
      <c r="E182" s="1" t="s">
        <v>929</v>
      </c>
      <c r="F182" s="1" t="str">
        <f>"1609807871"</f>
        <v>1609807871</v>
      </c>
      <c r="G182" s="1" t="str">
        <f>"9781609807870"</f>
        <v>9781609807870</v>
      </c>
      <c r="H182" s="1">
        <v>0.0</v>
      </c>
      <c r="I182" s="1">
        <v>4.18</v>
      </c>
      <c r="J182" s="1" t="s">
        <v>926</v>
      </c>
      <c r="K182" s="1" t="s">
        <v>44</v>
      </c>
      <c r="L182" s="1">
        <v>240.0</v>
      </c>
      <c r="M182" s="1">
        <v>2023.0</v>
      </c>
      <c r="N182" s="1">
        <v>2008.0</v>
      </c>
      <c r="P182" s="2">
        <v>45113.0</v>
      </c>
      <c r="Q182" s="1" t="s">
        <v>115</v>
      </c>
      <c r="R182" s="1" t="s">
        <v>930</v>
      </c>
      <c r="S182" s="1" t="s">
        <v>32</v>
      </c>
      <c r="W182" s="1">
        <v>0.0</v>
      </c>
      <c r="X182" s="1">
        <v>1.0</v>
      </c>
    </row>
    <row r="183" spans="1:24" ht="15.75" customHeight="1">
      <c r="A183" s="1">
        <v>82241.0</v>
      </c>
      <c r="B183" s="1" t="s">
        <v>931</v>
      </c>
      <c r="C183" s="1" t="s">
        <v>932</v>
      </c>
      <c r="D183" s="1" t="s">
        <v>933</v>
      </c>
      <c r="E183" s="1" t="s">
        <v>934</v>
      </c>
      <c r="F183" s="1" t="str">
        <f>"0060969598"</f>
        <v>0060969598</v>
      </c>
      <c r="G183" s="1" t="str">
        <f>"9780060969592"</f>
        <v>9780060969592</v>
      </c>
      <c r="H183" s="1">
        <v>0.0</v>
      </c>
      <c r="I183" s="1">
        <v>4.14</v>
      </c>
      <c r="J183" s="1" t="s">
        <v>917</v>
      </c>
      <c r="K183" s="1" t="s">
        <v>44</v>
      </c>
      <c r="L183" s="1">
        <v>176.0</v>
      </c>
      <c r="M183" s="1">
        <v>1994.0</v>
      </c>
      <c r="N183" s="1">
        <v>-600.0</v>
      </c>
      <c r="P183" s="2">
        <v>45113.0</v>
      </c>
      <c r="Q183" s="1" t="s">
        <v>935</v>
      </c>
      <c r="R183" s="1" t="s">
        <v>936</v>
      </c>
      <c r="S183" s="1" t="s">
        <v>32</v>
      </c>
      <c r="W183" s="1">
        <v>0.0</v>
      </c>
      <c r="X183" s="1">
        <v>0.0</v>
      </c>
    </row>
    <row r="184" spans="1:24" ht="15.75" customHeight="1">
      <c r="A184" s="1">
        <v>331089.0</v>
      </c>
      <c r="B184" s="1" t="s">
        <v>937</v>
      </c>
      <c r="C184" s="1" t="s">
        <v>932</v>
      </c>
      <c r="D184" s="1" t="s">
        <v>933</v>
      </c>
      <c r="E184" s="1" t="s">
        <v>938</v>
      </c>
      <c r="F184" s="1" t="str">
        <f>"0140447709"</f>
        <v>0140447709</v>
      </c>
      <c r="G184" s="1" t="str">
        <f>"9780140447705"</f>
        <v>9780140447705</v>
      </c>
      <c r="H184" s="1">
        <v>0.0</v>
      </c>
      <c r="I184" s="1">
        <v>4.02</v>
      </c>
      <c r="J184" s="1" t="s">
        <v>309</v>
      </c>
      <c r="K184" s="1" t="s">
        <v>44</v>
      </c>
      <c r="L184" s="1">
        <v>243.0</v>
      </c>
      <c r="M184" s="1">
        <v>2005.0</v>
      </c>
      <c r="N184" s="1">
        <v>1240.0</v>
      </c>
      <c r="P184" s="2">
        <v>45123.0</v>
      </c>
      <c r="Q184" s="1" t="s">
        <v>32</v>
      </c>
      <c r="R184" s="1" t="s">
        <v>939</v>
      </c>
      <c r="S184" s="1" t="s">
        <v>32</v>
      </c>
      <c r="W184" s="1">
        <v>0.0</v>
      </c>
      <c r="X184" s="1">
        <v>0.0</v>
      </c>
    </row>
    <row r="185" spans="1:24" ht="15.75" customHeight="1">
      <c r="A185" s="1">
        <v>790550.0</v>
      </c>
      <c r="B185" s="1" t="s">
        <v>940</v>
      </c>
      <c r="C185" s="1" t="s">
        <v>932</v>
      </c>
      <c r="D185" s="1" t="s">
        <v>933</v>
      </c>
      <c r="E185" s="1" t="s">
        <v>941</v>
      </c>
      <c r="F185" s="1" t="str">
        <f>"048621866X"</f>
        <v>048621866X</v>
      </c>
      <c r="G185" s="1" t="str">
        <f>"9780486218663"</f>
        <v>9780486218663</v>
      </c>
      <c r="H185" s="1">
        <v>0.0</v>
      </c>
      <c r="I185" s="1">
        <v>3.9</v>
      </c>
      <c r="J185" s="1" t="s">
        <v>942</v>
      </c>
      <c r="K185" s="1" t="s">
        <v>44</v>
      </c>
      <c r="L185" s="1">
        <v>377.0</v>
      </c>
      <c r="M185" s="1">
        <v>1967.0</v>
      </c>
      <c r="N185" s="1">
        <v>-1550.0</v>
      </c>
      <c r="P185" s="2">
        <v>45123.0</v>
      </c>
      <c r="Q185" s="1" t="s">
        <v>32</v>
      </c>
      <c r="R185" s="1" t="s">
        <v>943</v>
      </c>
      <c r="S185" s="1" t="s">
        <v>32</v>
      </c>
      <c r="W185" s="1">
        <v>0.0</v>
      </c>
      <c r="X185" s="1">
        <v>0.0</v>
      </c>
    </row>
    <row r="186" spans="1:24" ht="15.75" customHeight="1">
      <c r="A186" s="1">
        <v>6328153.0</v>
      </c>
      <c r="B186" s="1" t="s">
        <v>944</v>
      </c>
      <c r="C186" s="1" t="s">
        <v>932</v>
      </c>
      <c r="D186" s="1" t="s">
        <v>933</v>
      </c>
      <c r="E186" s="1" t="s">
        <v>945</v>
      </c>
      <c r="F186" s="1" t="str">
        <f>"0199538360"</f>
        <v>0199538360</v>
      </c>
      <c r="G186" s="1" t="str">
        <f>"9780199538362"</f>
        <v>9780199538362</v>
      </c>
      <c r="H186" s="1">
        <v>0.0</v>
      </c>
      <c r="I186" s="1">
        <v>3.99</v>
      </c>
      <c r="J186" s="1" t="s">
        <v>181</v>
      </c>
      <c r="K186" s="1" t="s">
        <v>44</v>
      </c>
      <c r="L186" s="1">
        <v>348.0</v>
      </c>
      <c r="M186" s="1">
        <v>2009.0</v>
      </c>
      <c r="N186" s="1">
        <v>1989.0</v>
      </c>
      <c r="P186" s="2">
        <v>45070.0</v>
      </c>
      <c r="Q186" s="1" t="s">
        <v>32</v>
      </c>
      <c r="R186" s="1" t="s">
        <v>946</v>
      </c>
      <c r="S186" s="1" t="s">
        <v>32</v>
      </c>
      <c r="W186" s="1">
        <v>0.0</v>
      </c>
      <c r="X186" s="1">
        <v>0.0</v>
      </c>
    </row>
    <row r="187" spans="1:24" ht="15.75" customHeight="1">
      <c r="A187" s="1">
        <v>1704206.0</v>
      </c>
      <c r="B187" s="1" t="s">
        <v>947</v>
      </c>
      <c r="C187" s="1" t="s">
        <v>948</v>
      </c>
      <c r="D187" s="1" t="s">
        <v>949</v>
      </c>
      <c r="E187" s="1" t="s">
        <v>950</v>
      </c>
      <c r="F187" s="1" t="str">
        <f>"0821210920"</f>
        <v>0821210920</v>
      </c>
      <c r="G187" s="1" t="str">
        <f>"9780821210925"</f>
        <v>9780821210925</v>
      </c>
      <c r="H187" s="1">
        <v>0.0</v>
      </c>
      <c r="I187" s="1">
        <v>4.18</v>
      </c>
      <c r="J187" s="1" t="s">
        <v>951</v>
      </c>
      <c r="K187" s="1" t="s">
        <v>37</v>
      </c>
      <c r="L187" s="1">
        <v>203.0</v>
      </c>
      <c r="M187" s="1">
        <v>1980.0</v>
      </c>
      <c r="N187" s="1">
        <v>1980.0</v>
      </c>
      <c r="P187" s="2">
        <v>44018.0</v>
      </c>
      <c r="Q187" s="1" t="s">
        <v>952</v>
      </c>
      <c r="R187" s="1" t="s">
        <v>953</v>
      </c>
      <c r="S187" s="1" t="s">
        <v>32</v>
      </c>
      <c r="W187" s="1">
        <v>0.0</v>
      </c>
      <c r="X187" s="1">
        <v>0.0</v>
      </c>
    </row>
    <row r="188" spans="1:24" ht="15.75" customHeight="1">
      <c r="A188" s="1">
        <v>2.113609E7</v>
      </c>
      <c r="B188" s="1" t="s">
        <v>954</v>
      </c>
      <c r="C188" s="1" t="s">
        <v>955</v>
      </c>
      <c r="D188" s="1" t="s">
        <v>956</v>
      </c>
      <c r="F188" s="1" t="str">
        <f>"0511361416"</f>
        <v>0511361416</v>
      </c>
      <c r="G188" s="1" t="str">
        <f>"9780511361418"</f>
        <v>9780511361418</v>
      </c>
      <c r="H188" s="1">
        <v>0.0</v>
      </c>
      <c r="I188" s="1">
        <v>3.89</v>
      </c>
      <c r="J188" s="1" t="s">
        <v>388</v>
      </c>
      <c r="K188" s="1" t="s">
        <v>29</v>
      </c>
      <c r="L188" s="1">
        <v>468.0</v>
      </c>
      <c r="M188" s="1">
        <v>1999.0</v>
      </c>
      <c r="N188" s="1">
        <v>1995.0</v>
      </c>
      <c r="P188" s="2">
        <v>45134.0</v>
      </c>
      <c r="Q188" s="1" t="s">
        <v>957</v>
      </c>
      <c r="R188" s="1" t="s">
        <v>958</v>
      </c>
      <c r="S188" s="1" t="s">
        <v>32</v>
      </c>
      <c r="W188" s="1">
        <v>0.0</v>
      </c>
      <c r="X188" s="1">
        <v>0.0</v>
      </c>
    </row>
    <row r="189" spans="1:24" ht="15.75" customHeight="1">
      <c r="A189" s="1">
        <v>1908721.0</v>
      </c>
      <c r="B189" s="1" t="s">
        <v>959</v>
      </c>
      <c r="C189" s="1" t="s">
        <v>960</v>
      </c>
      <c r="D189" s="1" t="s">
        <v>961</v>
      </c>
      <c r="F189" s="1" t="str">
        <f>"0300077483"</f>
        <v>0300077483</v>
      </c>
      <c r="G189" s="1" t="str">
        <f>"9780300077483"</f>
        <v>9780300077483</v>
      </c>
      <c r="H189" s="1">
        <v>0.0</v>
      </c>
      <c r="I189" s="1">
        <v>4.3</v>
      </c>
      <c r="J189" s="1" t="s">
        <v>962</v>
      </c>
      <c r="K189" s="1" t="s">
        <v>44</v>
      </c>
      <c r="L189" s="1">
        <v>332.0</v>
      </c>
      <c r="M189" s="1">
        <v>1999.0</v>
      </c>
      <c r="N189" s="1">
        <v>1953.0</v>
      </c>
      <c r="P189" s="2">
        <v>44804.0</v>
      </c>
      <c r="Q189" s="1" t="s">
        <v>32</v>
      </c>
      <c r="R189" s="1" t="s">
        <v>963</v>
      </c>
      <c r="S189" s="1" t="s">
        <v>32</v>
      </c>
      <c r="W189" s="1">
        <v>0.0</v>
      </c>
      <c r="X189" s="1">
        <v>0.0</v>
      </c>
    </row>
    <row r="190" spans="1:24" ht="15.75" customHeight="1">
      <c r="A190" s="1">
        <v>5.0496808E7</v>
      </c>
      <c r="B190" s="1" t="s">
        <v>964</v>
      </c>
      <c r="C190" s="1" t="s">
        <v>965</v>
      </c>
      <c r="D190" s="1" t="s">
        <v>966</v>
      </c>
      <c r="E190" s="1" t="s">
        <v>967</v>
      </c>
      <c r="F190" s="1" t="str">
        <f>"0062802798"</f>
        <v>0062802798</v>
      </c>
      <c r="G190" s="1" t="str">
        <f>"9780062802798"</f>
        <v>9780062802798</v>
      </c>
      <c r="H190" s="1">
        <v>0.0</v>
      </c>
      <c r="I190" s="1">
        <v>3.65</v>
      </c>
      <c r="J190" s="1" t="s">
        <v>968</v>
      </c>
      <c r="K190" s="1" t="s">
        <v>37</v>
      </c>
      <c r="L190" s="1">
        <v>480.0</v>
      </c>
      <c r="M190" s="1">
        <v>2021.0</v>
      </c>
      <c r="N190" s="1">
        <v>2021.0</v>
      </c>
      <c r="P190" s="2">
        <v>45168.0</v>
      </c>
      <c r="Q190" s="1" t="s">
        <v>32</v>
      </c>
      <c r="R190" s="1" t="s">
        <v>969</v>
      </c>
      <c r="S190" s="1" t="s">
        <v>32</v>
      </c>
      <c r="W190" s="1">
        <v>0.0</v>
      </c>
      <c r="X190" s="1">
        <v>0.0</v>
      </c>
    </row>
    <row r="191" spans="1:24" ht="15.75" customHeight="1">
      <c r="A191" s="1">
        <v>33313.0</v>
      </c>
      <c r="B191" s="1" t="s">
        <v>970</v>
      </c>
      <c r="C191" s="1" t="s">
        <v>965</v>
      </c>
      <c r="D191" s="1" t="s">
        <v>966</v>
      </c>
      <c r="F191" s="1" t="str">
        <f>"0060899220"</f>
        <v>0060899220</v>
      </c>
      <c r="G191" s="1" t="str">
        <f>"9780060899226"</f>
        <v>9780060899226</v>
      </c>
      <c r="H191" s="1">
        <v>0.0</v>
      </c>
      <c r="I191" s="1">
        <v>4.15</v>
      </c>
      <c r="J191" s="1" t="s">
        <v>971</v>
      </c>
      <c r="K191" s="1" t="s">
        <v>44</v>
      </c>
      <c r="L191" s="1">
        <v>312.0</v>
      </c>
      <c r="M191" s="1">
        <v>2007.0</v>
      </c>
      <c r="N191" s="1">
        <v>2000.0</v>
      </c>
      <c r="P191" s="2">
        <v>45159.0</v>
      </c>
      <c r="Q191" s="1" t="s">
        <v>788</v>
      </c>
      <c r="R191" s="1" t="s">
        <v>972</v>
      </c>
      <c r="S191" s="1" t="s">
        <v>32</v>
      </c>
      <c r="W191" s="1">
        <v>0.0</v>
      </c>
      <c r="X191" s="1">
        <v>1.0</v>
      </c>
    </row>
    <row r="192" spans="1:24" ht="15.75" customHeight="1">
      <c r="A192" s="1">
        <v>3.4137147E7</v>
      </c>
      <c r="B192" s="1" t="s">
        <v>973</v>
      </c>
      <c r="C192" s="1" t="s">
        <v>974</v>
      </c>
      <c r="D192" s="1" t="s">
        <v>975</v>
      </c>
      <c r="F192" s="1" t="str">
        <f t="shared" si="17" ref="F192:G192">""</f>
        <v/>
      </c>
      <c r="G192" s="1" t="str">
        <f t="shared" si="17"/>
        <v/>
      </c>
      <c r="H192" s="1">
        <v>0.0</v>
      </c>
      <c r="I192" s="1">
        <v>3.94</v>
      </c>
      <c r="J192" s="1" t="s">
        <v>976</v>
      </c>
      <c r="K192" s="1" t="s">
        <v>37</v>
      </c>
      <c r="L192" s="1">
        <v>480.0</v>
      </c>
      <c r="M192" s="1">
        <v>2008.0</v>
      </c>
      <c r="N192" s="1">
        <v>2006.0</v>
      </c>
      <c r="P192" s="2">
        <v>45136.0</v>
      </c>
      <c r="Q192" s="1" t="s">
        <v>32</v>
      </c>
      <c r="R192" s="1" t="s">
        <v>977</v>
      </c>
      <c r="S192" s="1" t="s">
        <v>32</v>
      </c>
      <c r="W192" s="1">
        <v>0.0</v>
      </c>
      <c r="X192" s="1">
        <v>0.0</v>
      </c>
    </row>
    <row r="193" spans="1:24" ht="15.75" customHeight="1">
      <c r="A193" s="1">
        <v>2.6530383E7</v>
      </c>
      <c r="B193" s="1" t="s">
        <v>978</v>
      </c>
      <c r="C193" s="1" t="s">
        <v>979</v>
      </c>
      <c r="D193" s="1" t="s">
        <v>980</v>
      </c>
      <c r="F193" s="1" t="str">
        <f>"0393352986"</f>
        <v>0393352986</v>
      </c>
      <c r="G193" s="1" t="str">
        <f>"9780393352986"</f>
        <v>9780393352986</v>
      </c>
      <c r="H193" s="1">
        <v>0.0</v>
      </c>
      <c r="I193" s="1">
        <v>4.08</v>
      </c>
      <c r="J193" s="1" t="s">
        <v>248</v>
      </c>
      <c r="K193" s="1" t="s">
        <v>44</v>
      </c>
      <c r="L193" s="1">
        <v>512.0</v>
      </c>
      <c r="M193" s="1">
        <v>2016.0</v>
      </c>
      <c r="N193" s="1">
        <v>2000.0</v>
      </c>
      <c r="P193" s="2">
        <v>45153.0</v>
      </c>
      <c r="Q193" s="1" t="s">
        <v>32</v>
      </c>
      <c r="R193" s="1" t="s">
        <v>981</v>
      </c>
      <c r="S193" s="1" t="s">
        <v>32</v>
      </c>
      <c r="W193" s="1">
        <v>0.0</v>
      </c>
      <c r="X193" s="1">
        <v>0.0</v>
      </c>
    </row>
    <row r="194" spans="1:24" ht="15.75" customHeight="1">
      <c r="A194" s="1">
        <v>1.02189727E8</v>
      </c>
      <c r="B194" s="1" t="s">
        <v>982</v>
      </c>
      <c r="C194" s="1" t="s">
        <v>983</v>
      </c>
      <c r="D194" s="1" t="s">
        <v>984</v>
      </c>
      <c r="F194" s="1" t="str">
        <f>"0674659732"</f>
        <v>0674659732</v>
      </c>
      <c r="G194" s="1" t="str">
        <f>"9780674659735"</f>
        <v>9780674659735</v>
      </c>
      <c r="H194" s="1">
        <v>0.0</v>
      </c>
      <c r="I194" s="1">
        <v>3.55</v>
      </c>
      <c r="J194" s="1" t="s">
        <v>985</v>
      </c>
      <c r="K194" s="1" t="s">
        <v>37</v>
      </c>
      <c r="L194" s="1">
        <v>304.0</v>
      </c>
      <c r="M194" s="1">
        <v>2023.0</v>
      </c>
      <c r="N194" s="1">
        <v>2001.0</v>
      </c>
      <c r="P194" s="2">
        <v>45309.0</v>
      </c>
      <c r="Q194" s="1" t="s">
        <v>32</v>
      </c>
      <c r="R194" s="1" t="s">
        <v>986</v>
      </c>
      <c r="S194" s="1" t="s">
        <v>32</v>
      </c>
      <c r="W194" s="1">
        <v>0.0</v>
      </c>
      <c r="X194" s="1">
        <v>0.0</v>
      </c>
    </row>
    <row r="195" spans="1:24" ht="15.75" customHeight="1">
      <c r="A195" s="1">
        <v>31894.0</v>
      </c>
      <c r="B195" s="1" t="s">
        <v>987</v>
      </c>
      <c r="C195" s="1" t="s">
        <v>988</v>
      </c>
      <c r="D195" s="1" t="s">
        <v>989</v>
      </c>
      <c r="F195" s="1" t="str">
        <f>"0198752725"</f>
        <v>0198752725</v>
      </c>
      <c r="G195" s="1" t="str">
        <f>"9780198752721"</f>
        <v>9780198752721</v>
      </c>
      <c r="H195" s="1">
        <v>0.0</v>
      </c>
      <c r="I195" s="1">
        <v>3.95</v>
      </c>
      <c r="J195" s="1" t="s">
        <v>990</v>
      </c>
      <c r="K195" s="1" t="s">
        <v>44</v>
      </c>
      <c r="L195" s="1">
        <v>341.0</v>
      </c>
      <c r="M195" s="1">
        <v>2006.0</v>
      </c>
      <c r="N195" s="1">
        <v>2004.0</v>
      </c>
      <c r="P195" s="2">
        <v>45163.0</v>
      </c>
      <c r="Q195" s="1" t="s">
        <v>45</v>
      </c>
      <c r="R195" s="1" t="s">
        <v>991</v>
      </c>
      <c r="S195" s="1" t="s">
        <v>32</v>
      </c>
      <c r="W195" s="1">
        <v>0.0</v>
      </c>
      <c r="X195" s="1">
        <v>0.0</v>
      </c>
    </row>
    <row r="196" spans="1:24" ht="15.75" customHeight="1">
      <c r="A196" s="1">
        <v>166547.0</v>
      </c>
      <c r="B196" s="1" t="s">
        <v>992</v>
      </c>
      <c r="C196" s="1" t="s">
        <v>988</v>
      </c>
      <c r="D196" s="1" t="s">
        <v>989</v>
      </c>
      <c r="F196" s="1" t="str">
        <f>"0631201327"</f>
        <v>0631201327</v>
      </c>
      <c r="G196" s="1" t="str">
        <f>"9780631201328"</f>
        <v>9780631201328</v>
      </c>
      <c r="H196" s="1">
        <v>0.0</v>
      </c>
      <c r="I196" s="1">
        <v>3.7</v>
      </c>
      <c r="J196" s="1" t="s">
        <v>48</v>
      </c>
      <c r="K196" s="1" t="s">
        <v>44</v>
      </c>
      <c r="L196" s="1">
        <v>365.0</v>
      </c>
      <c r="M196" s="1">
        <v>1998.0</v>
      </c>
      <c r="N196" s="1">
        <v>1998.0</v>
      </c>
      <c r="P196" s="2">
        <v>45163.0</v>
      </c>
      <c r="Q196" s="1" t="s">
        <v>38</v>
      </c>
      <c r="R196" s="1" t="s">
        <v>993</v>
      </c>
      <c r="S196" s="1" t="s">
        <v>32</v>
      </c>
      <c r="W196" s="1">
        <v>0.0</v>
      </c>
      <c r="X196" s="1">
        <v>0.0</v>
      </c>
    </row>
    <row r="197" spans="1:24" ht="15.75" customHeight="1">
      <c r="A197" s="1">
        <v>96647.0</v>
      </c>
      <c r="B197" s="1" t="s">
        <v>994</v>
      </c>
      <c r="C197" s="1" t="s">
        <v>995</v>
      </c>
      <c r="D197" s="1" t="s">
        <v>996</v>
      </c>
      <c r="E197" s="1" t="s">
        <v>997</v>
      </c>
      <c r="F197" s="1" t="str">
        <f>"1401307450"</f>
        <v>1401307450</v>
      </c>
      <c r="G197" s="1" t="str">
        <f>"9781401307455"</f>
        <v>9781401307455</v>
      </c>
      <c r="H197" s="1">
        <v>0.0</v>
      </c>
      <c r="I197" s="1">
        <v>4.11</v>
      </c>
      <c r="J197" s="1" t="s">
        <v>998</v>
      </c>
      <c r="K197" s="1" t="s">
        <v>44</v>
      </c>
      <c r="L197" s="1">
        <v>465.0</v>
      </c>
      <c r="M197" s="1">
        <v>2005.0</v>
      </c>
      <c r="N197" s="1">
        <v>2004.0</v>
      </c>
      <c r="O197" s="2">
        <v>41172.0</v>
      </c>
      <c r="P197" s="2">
        <v>41035.0</v>
      </c>
      <c r="S197" s="1" t="s">
        <v>271</v>
      </c>
      <c r="W197" s="1">
        <v>1.0</v>
      </c>
      <c r="X197" s="1">
        <v>0.0</v>
      </c>
    </row>
    <row r="198" spans="1:24" ht="15.75" customHeight="1">
      <c r="A198" s="1">
        <v>54890.0</v>
      </c>
      <c r="B198" s="1" t="s">
        <v>999</v>
      </c>
      <c r="C198" s="1" t="s">
        <v>1000</v>
      </c>
      <c r="D198" s="1" t="s">
        <v>1001</v>
      </c>
      <c r="F198" s="1" t="str">
        <f>"0375714340"</f>
        <v>0375714340</v>
      </c>
      <c r="G198" s="1" t="str">
        <f>"9780375714344"</f>
        <v>9780375714344</v>
      </c>
      <c r="H198" s="1">
        <v>0.0</v>
      </c>
      <c r="I198" s="1">
        <v>4.18</v>
      </c>
      <c r="J198" s="1" t="s">
        <v>239</v>
      </c>
      <c r="K198" s="1" t="s">
        <v>44</v>
      </c>
      <c r="L198" s="1">
        <v>784.0</v>
      </c>
      <c r="M198" s="1">
        <v>2003.0</v>
      </c>
      <c r="N198" s="1">
        <v>2002.0</v>
      </c>
      <c r="P198" s="2">
        <v>45297.0</v>
      </c>
      <c r="Q198" s="1" t="s">
        <v>32</v>
      </c>
      <c r="R198" s="1" t="s">
        <v>1002</v>
      </c>
      <c r="S198" s="1" t="s">
        <v>32</v>
      </c>
      <c r="W198" s="1">
        <v>0.0</v>
      </c>
      <c r="X198" s="1">
        <v>0.0</v>
      </c>
    </row>
    <row r="199" spans="1:24" ht="15.75" customHeight="1">
      <c r="A199" s="1">
        <v>4362.0</v>
      </c>
      <c r="B199" s="1" t="s">
        <v>1003</v>
      </c>
      <c r="C199" s="1" t="s">
        <v>1004</v>
      </c>
      <c r="D199" s="1" t="s">
        <v>1005</v>
      </c>
      <c r="F199" s="1" t="str">
        <f>"0312426038"</f>
        <v>0312426038</v>
      </c>
      <c r="G199" s="1" t="str">
        <f>"9780312426033"</f>
        <v>9780312426033</v>
      </c>
      <c r="H199" s="1">
        <v>0.0</v>
      </c>
      <c r="I199" s="1">
        <v>4.14</v>
      </c>
      <c r="J199" s="1" t="s">
        <v>1006</v>
      </c>
      <c r="K199" s="1" t="s">
        <v>44</v>
      </c>
      <c r="L199" s="1">
        <v>525.0</v>
      </c>
      <c r="M199" s="1">
        <v>2006.0</v>
      </c>
      <c r="N199" s="1">
        <v>2005.0</v>
      </c>
      <c r="P199" s="3">
        <v>45278.0</v>
      </c>
      <c r="Q199" s="1" t="s">
        <v>479</v>
      </c>
      <c r="R199" s="1" t="s">
        <v>1007</v>
      </c>
      <c r="S199" s="1" t="s">
        <v>32</v>
      </c>
      <c r="W199" s="1">
        <v>0.0</v>
      </c>
      <c r="X199" s="1">
        <v>0.0</v>
      </c>
    </row>
    <row r="200" spans="1:24" ht="15.75" customHeight="1">
      <c r="A200" s="1">
        <v>621933.0</v>
      </c>
      <c r="B200" s="1" t="s">
        <v>1008</v>
      </c>
      <c r="C200" s="1" t="s">
        <v>1009</v>
      </c>
      <c r="D200" s="1" t="s">
        <v>1010</v>
      </c>
      <c r="F200" s="1" t="str">
        <f>"0691086613"</f>
        <v>0691086613</v>
      </c>
      <c r="G200" s="1" t="str">
        <f>"9780691086613"</f>
        <v>9780691086613</v>
      </c>
      <c r="H200" s="1">
        <v>0.0</v>
      </c>
      <c r="I200" s="1">
        <v>4.01</v>
      </c>
      <c r="J200" s="1" t="s">
        <v>1011</v>
      </c>
      <c r="K200" s="1" t="s">
        <v>44</v>
      </c>
      <c r="L200" s="1">
        <v>480.0</v>
      </c>
      <c r="M200" s="1">
        <v>2001.0</v>
      </c>
      <c r="N200" s="1">
        <v>1998.0</v>
      </c>
      <c r="P200" s="2">
        <v>44803.0</v>
      </c>
      <c r="Q200" s="1" t="s">
        <v>935</v>
      </c>
      <c r="R200" s="1" t="s">
        <v>1012</v>
      </c>
      <c r="S200" s="1" t="s">
        <v>32</v>
      </c>
      <c r="W200" s="1">
        <v>0.0</v>
      </c>
      <c r="X200" s="1">
        <v>0.0</v>
      </c>
    </row>
    <row r="201" spans="1:24" ht="15.75" customHeight="1">
      <c r="A201" s="1">
        <v>2285578.0</v>
      </c>
      <c r="B201" s="1" t="s">
        <v>1013</v>
      </c>
      <c r="C201" s="1" t="s">
        <v>1014</v>
      </c>
      <c r="D201" s="1" t="s">
        <v>1015</v>
      </c>
      <c r="F201" s="1" t="str">
        <f>"0872201562"</f>
        <v>0872201562</v>
      </c>
      <c r="G201" s="1" t="str">
        <f>"9780872201569"</f>
        <v>9780872201569</v>
      </c>
      <c r="H201" s="1">
        <v>0.0</v>
      </c>
      <c r="I201" s="1">
        <v>3.82</v>
      </c>
      <c r="J201" s="1" t="s">
        <v>1016</v>
      </c>
      <c r="K201" s="1" t="s">
        <v>44</v>
      </c>
      <c r="L201" s="1">
        <v>112.0</v>
      </c>
      <c r="M201" s="1">
        <v>1992.0</v>
      </c>
      <c r="N201" s="1">
        <v>1986.0</v>
      </c>
      <c r="P201" s="2">
        <v>45113.0</v>
      </c>
      <c r="Q201" s="1" t="s">
        <v>1017</v>
      </c>
      <c r="R201" s="1" t="s">
        <v>1018</v>
      </c>
      <c r="S201" s="1" t="s">
        <v>32</v>
      </c>
      <c r="W201" s="1">
        <v>0.0</v>
      </c>
      <c r="X201" s="1">
        <v>1.0</v>
      </c>
    </row>
    <row r="202" spans="1:24" ht="15.75" customHeight="1">
      <c r="A202" s="1">
        <v>208294.0</v>
      </c>
      <c r="B202" s="1" t="s">
        <v>1019</v>
      </c>
      <c r="C202" s="1" t="s">
        <v>1020</v>
      </c>
      <c r="D202" s="1" t="s">
        <v>1021</v>
      </c>
      <c r="E202" s="1" t="s">
        <v>1022</v>
      </c>
      <c r="F202" s="1" t="str">
        <f>"0140441433"</f>
        <v>0140441433</v>
      </c>
      <c r="G202" s="1" t="str">
        <f>"9780140441437"</f>
        <v>9780140441437</v>
      </c>
      <c r="H202" s="1">
        <v>0.0</v>
      </c>
      <c r="I202" s="1">
        <v>4.17</v>
      </c>
      <c r="J202" s="1" t="s">
        <v>1023</v>
      </c>
      <c r="K202" s="1" t="s">
        <v>44</v>
      </c>
      <c r="L202" s="1">
        <v>288.0</v>
      </c>
      <c r="M202" s="1">
        <v>1987.0</v>
      </c>
      <c r="N202" s="1">
        <v>1987.0</v>
      </c>
      <c r="P202" s="2">
        <v>45182.0</v>
      </c>
      <c r="Q202" s="1" t="s">
        <v>1024</v>
      </c>
      <c r="R202" s="1" t="s">
        <v>1025</v>
      </c>
      <c r="S202" s="1" t="s">
        <v>32</v>
      </c>
      <c r="W202" s="1">
        <v>0.0</v>
      </c>
      <c r="X202" s="1">
        <v>0.0</v>
      </c>
    </row>
    <row r="203" spans="1:24" ht="15.75" customHeight="1">
      <c r="A203" s="1">
        <v>17153.0</v>
      </c>
      <c r="B203" s="1" t="s">
        <v>1026</v>
      </c>
      <c r="C203" s="1" t="s">
        <v>1027</v>
      </c>
      <c r="D203" s="1" t="s">
        <v>1028</v>
      </c>
      <c r="F203" s="1" t="str">
        <f>"0060846879"</f>
        <v>0060846879</v>
      </c>
      <c r="G203" s="1" t="str">
        <f>"9780060846879"</f>
        <v>9780060846879</v>
      </c>
      <c r="H203" s="1">
        <v>0.0</v>
      </c>
      <c r="I203" s="1">
        <v>4.05</v>
      </c>
      <c r="J203" s="1" t="s">
        <v>1029</v>
      </c>
      <c r="K203" s="1" t="s">
        <v>37</v>
      </c>
      <c r="L203" s="1">
        <v>400.0</v>
      </c>
      <c r="M203" s="1">
        <v>2006.0</v>
      </c>
      <c r="N203" s="1">
        <v>2008.0</v>
      </c>
      <c r="P203" s="3">
        <v>45278.0</v>
      </c>
      <c r="Q203" s="1" t="s">
        <v>479</v>
      </c>
      <c r="R203" s="1" t="s">
        <v>1030</v>
      </c>
      <c r="S203" s="1" t="s">
        <v>32</v>
      </c>
      <c r="W203" s="1">
        <v>0.0</v>
      </c>
      <c r="X203" s="1">
        <v>0.0</v>
      </c>
    </row>
    <row r="204" spans="1:24" ht="15.75" customHeight="1">
      <c r="A204" s="42">
        <v>1768631.0</v>
      </c>
      <c r="B204" s="42" t="s">
        <v>1031</v>
      </c>
      <c r="C204" s="42" t="s">
        <v>1032</v>
      </c>
      <c r="D204" s="42" t="s">
        <v>1033</v>
      </c>
      <c r="E204" s="42" t="s">
        <v>1034</v>
      </c>
      <c r="F204" s="42" t="str">
        <f>"0810961687"</f>
        <v>0810961687</v>
      </c>
      <c r="G204" s="42" t="str">
        <f>"9780810961685"</f>
        <v>9780810961685</v>
      </c>
      <c r="H204" s="42">
        <v>0.0</v>
      </c>
      <c r="I204" s="42">
        <v>4.4</v>
      </c>
      <c r="J204" s="42" t="s">
        <v>1035</v>
      </c>
      <c r="K204" s="42" t="s">
        <v>37</v>
      </c>
      <c r="L204" s="42">
        <v>167.0</v>
      </c>
      <c r="M204" s="42">
        <v>1715.0</v>
      </c>
      <c r="N204" s="42">
        <v>1996.0</v>
      </c>
      <c r="O204" s="43"/>
      <c r="P204" s="44">
        <v>45181.0</v>
      </c>
      <c r="Q204" s="45" t="s">
        <v>1036</v>
      </c>
      <c r="R204" s="42" t="s">
        <v>1037</v>
      </c>
      <c r="S204" s="42" t="s">
        <v>32</v>
      </c>
      <c r="T204" s="43"/>
      <c r="U204" s="43"/>
      <c r="V204" s="43"/>
      <c r="W204" s="42">
        <v>0.0</v>
      </c>
      <c r="X204" s="42">
        <v>0.0</v>
      </c>
    </row>
    <row r="205" spans="1:24" ht="15.75" customHeight="1">
      <c r="A205" s="42">
        <v>75887.0</v>
      </c>
      <c r="B205" s="42" t="s">
        <v>1038</v>
      </c>
      <c r="C205" s="42" t="s">
        <v>1032</v>
      </c>
      <c r="D205" s="42" t="s">
        <v>1033</v>
      </c>
      <c r="E205" s="42" t="s">
        <v>1039</v>
      </c>
      <c r="F205" s="42" t="str">
        <f>"0971457808"</f>
        <v>0971457808</v>
      </c>
      <c r="G205" s="42" t="str">
        <f>"9780971457805"</f>
        <v>9780971457805</v>
      </c>
      <c r="H205" s="42">
        <v>0.0</v>
      </c>
      <c r="I205" s="42">
        <v>3.89</v>
      </c>
      <c r="J205" s="42" t="s">
        <v>1040</v>
      </c>
      <c r="K205" s="42" t="s">
        <v>44</v>
      </c>
      <c r="L205" s="42">
        <v>154.0</v>
      </c>
      <c r="M205" s="42">
        <v>2006.0</v>
      </c>
      <c r="N205" s="42">
        <v>1934.0</v>
      </c>
      <c r="O205" s="43"/>
      <c r="P205" s="44">
        <v>45081.0</v>
      </c>
      <c r="Q205" s="45" t="s">
        <v>1041</v>
      </c>
      <c r="R205" s="42" t="s">
        <v>1042</v>
      </c>
      <c r="S205" s="42" t="s">
        <v>32</v>
      </c>
      <c r="T205" s="43"/>
      <c r="U205" s="43"/>
      <c r="V205" s="43"/>
      <c r="W205" s="42">
        <v>0.0</v>
      </c>
      <c r="X205" s="42">
        <v>0.0</v>
      </c>
    </row>
    <row r="206" spans="1:24" ht="15.75" customHeight="1">
      <c r="A206" s="42">
        <v>752801.0</v>
      </c>
      <c r="B206" s="42" t="s">
        <v>1043</v>
      </c>
      <c r="C206" s="42" t="s">
        <v>1032</v>
      </c>
      <c r="D206" s="42" t="s">
        <v>1033</v>
      </c>
      <c r="E206" s="42" t="s">
        <v>1044</v>
      </c>
      <c r="F206" s="42" t="str">
        <f>"0374230900"</f>
        <v>0374230900</v>
      </c>
      <c r="G206" s="42" t="str">
        <f>"9780374230906"</f>
        <v>9780374230906</v>
      </c>
      <c r="H206" s="42">
        <v>0.0</v>
      </c>
      <c r="I206" s="42">
        <v>3.92</v>
      </c>
      <c r="J206" s="42" t="s">
        <v>1045</v>
      </c>
      <c r="K206" s="42" t="s">
        <v>37</v>
      </c>
      <c r="L206" s="42">
        <v>105.0</v>
      </c>
      <c r="M206" s="42">
        <v>1976.0</v>
      </c>
      <c r="N206" s="42">
        <v>1945.0</v>
      </c>
      <c r="O206" s="43"/>
      <c r="P206" s="44">
        <v>43194.0</v>
      </c>
      <c r="Q206" s="45" t="s">
        <v>10990</v>
      </c>
      <c r="R206" s="42" t="s">
        <v>1047</v>
      </c>
      <c r="S206" s="42" t="s">
        <v>32</v>
      </c>
      <c r="T206" s="43"/>
      <c r="U206" s="43"/>
      <c r="V206" s="43"/>
      <c r="W206" s="42">
        <v>0.0</v>
      </c>
      <c r="X206" s="42">
        <v>0.0</v>
      </c>
    </row>
    <row r="207" spans="1:24" ht="15.75" customHeight="1">
      <c r="A207" s="1">
        <v>8613193.0</v>
      </c>
      <c r="B207" s="1" t="s">
        <v>1048</v>
      </c>
      <c r="C207" s="1" t="s">
        <v>1049</v>
      </c>
      <c r="D207" s="1" t="s">
        <v>1050</v>
      </c>
      <c r="E207" s="1" t="s">
        <v>1051</v>
      </c>
      <c r="F207" s="1" t="str">
        <f>"081667101X"</f>
        <v>081667101X</v>
      </c>
      <c r="G207" s="1" t="str">
        <f>"9780816671014"</f>
        <v>9780816671014</v>
      </c>
      <c r="H207" s="1">
        <v>0.0</v>
      </c>
      <c r="I207" s="1">
        <v>4.07</v>
      </c>
      <c r="J207" s="1" t="s">
        <v>1052</v>
      </c>
      <c r="K207" s="1" t="s">
        <v>44</v>
      </c>
      <c r="L207" s="1">
        <v>230.0</v>
      </c>
      <c r="M207" s="1">
        <v>2010.0</v>
      </c>
      <c r="N207" s="1">
        <v>1921.0</v>
      </c>
      <c r="P207" s="2">
        <v>44252.0</v>
      </c>
      <c r="Q207" s="1" t="s">
        <v>1053</v>
      </c>
      <c r="R207" s="1" t="s">
        <v>1054</v>
      </c>
      <c r="S207" s="1" t="s">
        <v>32</v>
      </c>
      <c r="W207" s="1">
        <v>0.0</v>
      </c>
      <c r="X207" s="1">
        <v>0.0</v>
      </c>
    </row>
    <row r="208" spans="1:24" ht="15.75" customHeight="1">
      <c r="A208" s="1">
        <v>5.7496542E7</v>
      </c>
      <c r="B208" s="1" t="s">
        <v>1055</v>
      </c>
      <c r="C208" s="1" t="s">
        <v>1056</v>
      </c>
      <c r="D208" s="1" t="s">
        <v>1057</v>
      </c>
      <c r="E208" s="1" t="s">
        <v>1058</v>
      </c>
      <c r="F208" s="1" t="str">
        <f>"1681375621"</f>
        <v>1681375621</v>
      </c>
      <c r="G208" s="1" t="str">
        <f>"9781681375625"</f>
        <v>9781681375625</v>
      </c>
      <c r="H208" s="1">
        <v>0.0</v>
      </c>
      <c r="I208" s="1">
        <v>3.87</v>
      </c>
      <c r="J208" s="1" t="s">
        <v>823</v>
      </c>
      <c r="K208" s="1" t="s">
        <v>44</v>
      </c>
      <c r="L208" s="1">
        <v>176.0</v>
      </c>
      <c r="M208" s="1">
        <v>2021.0</v>
      </c>
      <c r="N208" s="1">
        <v>1964.0</v>
      </c>
      <c r="P208" s="2">
        <v>45102.0</v>
      </c>
      <c r="Q208" s="1" t="s">
        <v>32</v>
      </c>
      <c r="R208" s="1" t="s">
        <v>1059</v>
      </c>
      <c r="S208" s="1" t="s">
        <v>32</v>
      </c>
      <c r="W208" s="1">
        <v>0.0</v>
      </c>
      <c r="X208" s="1">
        <v>0.0</v>
      </c>
    </row>
    <row r="209" spans="1:24" ht="15.75" customHeight="1">
      <c r="A209" s="1">
        <v>103867.0</v>
      </c>
      <c r="B209" s="1" t="s">
        <v>1060</v>
      </c>
      <c r="C209" s="1" t="s">
        <v>1061</v>
      </c>
      <c r="D209" s="1" t="s">
        <v>1062</v>
      </c>
      <c r="F209" s="1" t="str">
        <f>"014303622X"</f>
        <v>014303622X</v>
      </c>
      <c r="G209" s="1" t="str">
        <f>"9780143036227"</f>
        <v>9780143036227</v>
      </c>
      <c r="H209" s="1">
        <v>0.0</v>
      </c>
      <c r="I209" s="1">
        <v>3.96</v>
      </c>
      <c r="J209" s="1" t="s">
        <v>1063</v>
      </c>
      <c r="K209" s="1" t="s">
        <v>44</v>
      </c>
      <c r="L209" s="1">
        <v>336.0</v>
      </c>
      <c r="M209" s="1">
        <v>2005.0</v>
      </c>
      <c r="N209" s="1">
        <v>1994.0</v>
      </c>
      <c r="P209" s="2">
        <v>45185.0</v>
      </c>
      <c r="Q209" s="1" t="s">
        <v>1064</v>
      </c>
      <c r="R209" s="1" t="s">
        <v>1065</v>
      </c>
      <c r="S209" s="1" t="s">
        <v>32</v>
      </c>
      <c r="W209" s="1">
        <v>0.0</v>
      </c>
      <c r="X209" s="1">
        <v>0.0</v>
      </c>
    </row>
    <row r="210" spans="1:24" ht="15.75" customHeight="1">
      <c r="A210" s="1">
        <v>1.9489891E7</v>
      </c>
      <c r="B210" s="1" t="s">
        <v>1066</v>
      </c>
      <c r="C210" s="1" t="s">
        <v>1067</v>
      </c>
      <c r="D210" s="1" t="s">
        <v>1068</v>
      </c>
      <c r="E210" s="1" t="s">
        <v>1069</v>
      </c>
      <c r="F210" s="1" t="str">
        <f>"1603848665"</f>
        <v>1603848665</v>
      </c>
      <c r="G210" s="1" t="str">
        <f>"9781603848664"</f>
        <v>9781603848664</v>
      </c>
      <c r="H210" s="1">
        <v>0.0</v>
      </c>
      <c r="I210" s="1">
        <v>3.94</v>
      </c>
      <c r="J210" s="1" t="s">
        <v>1070</v>
      </c>
      <c r="K210" s="1" t="s">
        <v>29</v>
      </c>
      <c r="L210" s="1">
        <v>328.0</v>
      </c>
      <c r="M210" s="1">
        <v>2012.0</v>
      </c>
      <c r="N210" s="1">
        <v>2007.0</v>
      </c>
      <c r="P210" s="2">
        <v>45134.0</v>
      </c>
      <c r="Q210" s="1" t="s">
        <v>725</v>
      </c>
      <c r="R210" s="1" t="s">
        <v>1071</v>
      </c>
      <c r="S210" s="1" t="s">
        <v>32</v>
      </c>
      <c r="W210" s="1">
        <v>0.0</v>
      </c>
      <c r="X210" s="1">
        <v>0.0</v>
      </c>
    </row>
    <row r="211" spans="1:24" ht="15.75" customHeight="1">
      <c r="A211" s="1">
        <v>27410.0</v>
      </c>
      <c r="B211" s="1" t="s">
        <v>1072</v>
      </c>
      <c r="C211" s="1" t="s">
        <v>1067</v>
      </c>
      <c r="D211" s="1" t="s">
        <v>1068</v>
      </c>
      <c r="E211" s="1" t="s">
        <v>1073</v>
      </c>
      <c r="F211" s="1" t="str">
        <f>"0192839241"</f>
        <v>0192839241</v>
      </c>
      <c r="G211" s="1" t="str">
        <f>"9780192839244"</f>
        <v>9780192839244</v>
      </c>
      <c r="H211" s="1">
        <v>0.0</v>
      </c>
      <c r="I211" s="1">
        <v>3.93</v>
      </c>
      <c r="J211" s="1" t="s">
        <v>181</v>
      </c>
      <c r="K211" s="1" t="s">
        <v>44</v>
      </c>
      <c r="L211" s="1">
        <v>336.0</v>
      </c>
      <c r="M211" s="1">
        <v>1999.0</v>
      </c>
      <c r="N211" s="1">
        <v>200.0</v>
      </c>
      <c r="P211" s="2">
        <v>45109.0</v>
      </c>
      <c r="Q211" s="1" t="s">
        <v>935</v>
      </c>
      <c r="R211" s="1" t="s">
        <v>1074</v>
      </c>
      <c r="S211" s="1" t="s">
        <v>32</v>
      </c>
      <c r="W211" s="1">
        <v>0.0</v>
      </c>
      <c r="X211" s="1">
        <v>0.0</v>
      </c>
    </row>
    <row r="212" spans="1:24" ht="15.75" customHeight="1">
      <c r="A212" s="1">
        <v>1.1778691E7</v>
      </c>
      <c r="B212" s="1" t="s">
        <v>1075</v>
      </c>
      <c r="C212" s="1" t="s">
        <v>1076</v>
      </c>
      <c r="D212" s="1" t="s">
        <v>1077</v>
      </c>
      <c r="F212" s="1" t="str">
        <f>"193441462X"</f>
        <v>193441462X</v>
      </c>
      <c r="G212" s="1" t="str">
        <f>"9781934414620"</f>
        <v>9781934414620</v>
      </c>
      <c r="H212" s="1">
        <v>0.0</v>
      </c>
      <c r="I212" s="1">
        <v>4.31</v>
      </c>
      <c r="J212" s="1" t="s">
        <v>1078</v>
      </c>
      <c r="K212" s="1" t="s">
        <v>44</v>
      </c>
      <c r="L212" s="1">
        <v>120.0</v>
      </c>
      <c r="M212" s="1">
        <v>2011.0</v>
      </c>
      <c r="N212" s="1">
        <v>2011.0</v>
      </c>
      <c r="P212" s="2">
        <v>45143.0</v>
      </c>
      <c r="Q212" s="1" t="s">
        <v>449</v>
      </c>
      <c r="R212" s="1" t="s">
        <v>1079</v>
      </c>
      <c r="S212" s="1" t="s">
        <v>32</v>
      </c>
      <c r="W212" s="1">
        <v>0.0</v>
      </c>
      <c r="X212" s="1">
        <v>1.0</v>
      </c>
    </row>
    <row r="213" spans="1:24" ht="15.75" customHeight="1">
      <c r="A213" s="1">
        <v>1768603.0</v>
      </c>
      <c r="B213" s="1" t="s">
        <v>1080</v>
      </c>
      <c r="C213" s="1" t="s">
        <v>1081</v>
      </c>
      <c r="D213" s="1" t="s">
        <v>1082</v>
      </c>
      <c r="F213" s="1" t="str">
        <f>"1416562591"</f>
        <v>1416562591</v>
      </c>
      <c r="G213" s="1" t="str">
        <f>"9781416562597"</f>
        <v>9781416562597</v>
      </c>
      <c r="H213" s="1">
        <v>0.0</v>
      </c>
      <c r="I213" s="1">
        <v>3.76</v>
      </c>
      <c r="J213" s="1" t="s">
        <v>535</v>
      </c>
      <c r="K213" s="1" t="s">
        <v>37</v>
      </c>
      <c r="L213" s="1">
        <v>276.0</v>
      </c>
      <c r="M213" s="1">
        <v>2008.0</v>
      </c>
      <c r="N213" s="1">
        <v>2008.0</v>
      </c>
      <c r="P213" s="2">
        <v>45111.0</v>
      </c>
      <c r="Q213" s="1" t="s">
        <v>261</v>
      </c>
      <c r="R213" s="1" t="s">
        <v>1083</v>
      </c>
      <c r="S213" s="1" t="s">
        <v>32</v>
      </c>
      <c r="W213" s="1">
        <v>0.0</v>
      </c>
      <c r="X213" s="1">
        <v>0.0</v>
      </c>
    </row>
    <row r="214" spans="1:24" ht="15.75" customHeight="1">
      <c r="A214" s="1">
        <v>5.786274E7</v>
      </c>
      <c r="B214" s="1" t="s">
        <v>1084</v>
      </c>
      <c r="C214" s="1" t="s">
        <v>1085</v>
      </c>
      <c r="D214" s="1" t="s">
        <v>1086</v>
      </c>
      <c r="F214" s="1" t="str">
        <f t="shared" si="18" ref="F214:G214">""</f>
        <v/>
      </c>
      <c r="G214" s="1" t="str">
        <f t="shared" si="18"/>
        <v/>
      </c>
      <c r="H214" s="1">
        <v>0.0</v>
      </c>
      <c r="I214" s="1">
        <v>4.3</v>
      </c>
      <c r="J214" s="1" t="s">
        <v>1087</v>
      </c>
      <c r="K214" s="1" t="s">
        <v>44</v>
      </c>
      <c r="L214" s="1">
        <v>191.0</v>
      </c>
      <c r="M214" s="1">
        <v>1964.0</v>
      </c>
      <c r="N214" s="1">
        <v>1961.0</v>
      </c>
      <c r="P214" s="2">
        <v>45163.0</v>
      </c>
      <c r="Q214" s="1" t="s">
        <v>115</v>
      </c>
      <c r="R214" s="1" t="s">
        <v>1088</v>
      </c>
      <c r="S214" s="1" t="s">
        <v>32</v>
      </c>
      <c r="W214" s="1">
        <v>0.0</v>
      </c>
      <c r="X214" s="1">
        <v>1.0</v>
      </c>
    </row>
    <row r="215" spans="1:24" ht="15.75" customHeight="1">
      <c r="A215" s="1">
        <v>3.6098957E7</v>
      </c>
      <c r="B215" s="1" t="s">
        <v>1089</v>
      </c>
      <c r="C215" s="1" t="s">
        <v>1090</v>
      </c>
      <c r="D215" s="1" t="s">
        <v>1091</v>
      </c>
      <c r="E215" s="1" t="s">
        <v>1092</v>
      </c>
      <c r="F215" s="1" t="str">
        <f>"1999722787"</f>
        <v>1999722787</v>
      </c>
      <c r="G215" s="1" t="str">
        <f>"9781999722784"</f>
        <v>9781999722784</v>
      </c>
      <c r="H215" s="1">
        <v>0.0</v>
      </c>
      <c r="I215" s="1">
        <v>3.5</v>
      </c>
      <c r="J215" s="1" t="s">
        <v>1093</v>
      </c>
      <c r="K215" s="1" t="s">
        <v>44</v>
      </c>
      <c r="L215" s="1">
        <v>123.0</v>
      </c>
      <c r="M215" s="1">
        <v>2017.0</v>
      </c>
      <c r="N215" s="1">
        <v>2012.0</v>
      </c>
      <c r="P215" s="2">
        <v>43287.0</v>
      </c>
      <c r="Q215" s="1" t="s">
        <v>32</v>
      </c>
      <c r="R215" s="1" t="s">
        <v>1094</v>
      </c>
      <c r="S215" s="1" t="s">
        <v>32</v>
      </c>
      <c r="W215" s="1">
        <v>0.0</v>
      </c>
      <c r="X215" s="1">
        <v>0.0</v>
      </c>
    </row>
    <row r="216" spans="1:24" ht="15.75" customHeight="1">
      <c r="A216" s="1">
        <v>331256.0</v>
      </c>
      <c r="B216" s="1" t="s">
        <v>1095</v>
      </c>
      <c r="C216" s="1" t="s">
        <v>1096</v>
      </c>
      <c r="D216" s="1" t="s">
        <v>1097</v>
      </c>
      <c r="E216" s="1" t="s">
        <v>1098</v>
      </c>
      <c r="F216" s="1" t="str">
        <f>"0575070536"</f>
        <v>0575070536</v>
      </c>
      <c r="G216" s="1" t="str">
        <f>"9780575070530"</f>
        <v>9780575070530</v>
      </c>
      <c r="H216" s="1">
        <v>0.0</v>
      </c>
      <c r="I216" s="1">
        <v>4.15</v>
      </c>
      <c r="J216" s="1" t="s">
        <v>1099</v>
      </c>
      <c r="K216" s="1" t="s">
        <v>44</v>
      </c>
      <c r="L216" s="1">
        <v>145.0</v>
      </c>
      <c r="M216" s="1">
        <v>2000.0</v>
      </c>
      <c r="N216" s="1">
        <v>1972.0</v>
      </c>
      <c r="P216" s="2">
        <v>45144.0</v>
      </c>
      <c r="Q216" s="1" t="s">
        <v>32</v>
      </c>
      <c r="R216" s="1" t="s">
        <v>1100</v>
      </c>
      <c r="S216" s="1" t="s">
        <v>32</v>
      </c>
      <c r="W216" s="1">
        <v>0.0</v>
      </c>
      <c r="X216" s="1">
        <v>0.0</v>
      </c>
    </row>
    <row r="217" spans="1:24" ht="15.75" customHeight="1">
      <c r="A217" s="1">
        <v>2.8695425E7</v>
      </c>
      <c r="B217" s="1" t="s">
        <v>1101</v>
      </c>
      <c r="C217" s="1" t="s">
        <v>1102</v>
      </c>
      <c r="D217" s="1" t="s">
        <v>1103</v>
      </c>
      <c r="F217" s="1" t="str">
        <f>"1620972255"</f>
        <v>1620972255</v>
      </c>
      <c r="G217" s="1" t="str">
        <f>"9781620972250"</f>
        <v>9781620972250</v>
      </c>
      <c r="H217" s="1">
        <v>0.0</v>
      </c>
      <c r="I217" s="1">
        <v>4.11</v>
      </c>
      <c r="J217" s="1" t="s">
        <v>1104</v>
      </c>
      <c r="K217" s="1" t="s">
        <v>37</v>
      </c>
      <c r="L217" s="1">
        <v>242.0</v>
      </c>
      <c r="M217" s="1">
        <v>2016.0</v>
      </c>
      <c r="N217" s="1">
        <v>2016.0</v>
      </c>
      <c r="P217" s="2">
        <v>45170.0</v>
      </c>
      <c r="Q217" s="1" t="s">
        <v>32</v>
      </c>
      <c r="R217" s="1" t="s">
        <v>1105</v>
      </c>
      <c r="S217" s="1" t="s">
        <v>32</v>
      </c>
      <c r="W217" s="1">
        <v>0.0</v>
      </c>
      <c r="X217" s="1">
        <v>0.0</v>
      </c>
    </row>
    <row r="218" spans="1:24" ht="15.75" customHeight="1">
      <c r="A218" s="1">
        <v>903861.0</v>
      </c>
      <c r="B218" s="1" t="s">
        <v>1106</v>
      </c>
      <c r="C218" s="1" t="s">
        <v>1107</v>
      </c>
      <c r="D218" s="1" t="s">
        <v>1108</v>
      </c>
      <c r="F218" s="1" t="str">
        <f>"0915480018"</f>
        <v>0915480018</v>
      </c>
      <c r="G218" s="1" t="str">
        <f>"9780915480012"</f>
        <v>9780915480012</v>
      </c>
      <c r="H218" s="1">
        <v>0.0</v>
      </c>
      <c r="I218" s="1">
        <v>4.09</v>
      </c>
      <c r="J218" s="1" t="s">
        <v>1109</v>
      </c>
      <c r="K218" s="1" t="s">
        <v>44</v>
      </c>
      <c r="L218" s="1">
        <v>180.0</v>
      </c>
      <c r="M218" s="1">
        <v>1978.0</v>
      </c>
      <c r="N218" s="1">
        <v>1978.0</v>
      </c>
      <c r="P218" s="2">
        <v>41384.0</v>
      </c>
      <c r="Q218" s="1" t="s">
        <v>1110</v>
      </c>
      <c r="R218" s="1" t="s">
        <v>1111</v>
      </c>
      <c r="S218" s="1" t="s">
        <v>32</v>
      </c>
      <c r="W218" s="1">
        <v>0.0</v>
      </c>
      <c r="X218" s="1">
        <v>0.0</v>
      </c>
    </row>
    <row r="219" spans="1:24" ht="15.75" customHeight="1">
      <c r="A219" s="1">
        <v>505044.0</v>
      </c>
      <c r="B219" s="1" t="s">
        <v>1112</v>
      </c>
      <c r="C219" s="1" t="s">
        <v>1107</v>
      </c>
      <c r="D219" s="1" t="s">
        <v>1108</v>
      </c>
      <c r="F219" s="1" t="str">
        <f>"031202214X"</f>
        <v>031202214X</v>
      </c>
      <c r="G219" s="1" t="str">
        <f>"9780312022143"</f>
        <v>9780312022143</v>
      </c>
      <c r="H219" s="1">
        <v>0.0</v>
      </c>
      <c r="I219" s="1">
        <v>4.38</v>
      </c>
      <c r="J219" s="1" t="s">
        <v>1113</v>
      </c>
      <c r="K219" s="1" t="s">
        <v>44</v>
      </c>
      <c r="L219" s="1">
        <v>304.0</v>
      </c>
      <c r="M219" s="1">
        <v>1988.0</v>
      </c>
      <c r="P219" s="2">
        <v>45117.0</v>
      </c>
      <c r="Q219" s="1" t="s">
        <v>725</v>
      </c>
      <c r="R219" s="1" t="s">
        <v>1114</v>
      </c>
      <c r="S219" s="1" t="s">
        <v>32</v>
      </c>
      <c r="W219" s="1">
        <v>0.0</v>
      </c>
      <c r="X219" s="1">
        <v>0.0</v>
      </c>
    </row>
    <row r="220" spans="1:24" ht="15.75" customHeight="1">
      <c r="A220" s="1">
        <v>4147337.0</v>
      </c>
      <c r="B220" s="1" t="s">
        <v>1115</v>
      </c>
      <c r="C220" s="1" t="s">
        <v>1116</v>
      </c>
      <c r="D220" s="1" t="s">
        <v>1117</v>
      </c>
      <c r="F220" s="1" t="str">
        <f>"9994335731"</f>
        <v>9994335731</v>
      </c>
      <c r="G220" s="1" t="str">
        <f>"9789994335732"</f>
        <v>9789994335732</v>
      </c>
      <c r="H220" s="1">
        <v>3.0</v>
      </c>
      <c r="I220" s="1">
        <v>3.45</v>
      </c>
      <c r="J220" s="1" t="s">
        <v>1118</v>
      </c>
      <c r="K220" s="1" t="s">
        <v>44</v>
      </c>
      <c r="L220" s="1">
        <v>0.0</v>
      </c>
      <c r="M220" s="1">
        <v>1984.0</v>
      </c>
      <c r="N220" s="1">
        <v>1984.0</v>
      </c>
      <c r="P220" s="2">
        <v>43155.0</v>
      </c>
      <c r="S220" s="1" t="s">
        <v>271</v>
      </c>
      <c r="W220" s="1">
        <v>1.0</v>
      </c>
      <c r="X220" s="1">
        <v>0.0</v>
      </c>
    </row>
    <row r="221" spans="1:24" ht="15.75" customHeight="1">
      <c r="A221" s="1">
        <v>6753296.0</v>
      </c>
      <c r="B221" s="1" t="s">
        <v>1119</v>
      </c>
      <c r="C221" s="1" t="s">
        <v>1120</v>
      </c>
      <c r="D221" s="1" t="s">
        <v>1121</v>
      </c>
      <c r="F221" s="1" t="str">
        <f>"0819601489"</f>
        <v>0819601489</v>
      </c>
      <c r="G221" s="1" t="str">
        <f>"9780819601483"</f>
        <v>9780819601483</v>
      </c>
      <c r="H221" s="1">
        <v>0.0</v>
      </c>
      <c r="I221" s="1">
        <v>3.67</v>
      </c>
      <c r="J221" s="1" t="s">
        <v>1122</v>
      </c>
      <c r="K221" s="1" t="s">
        <v>37</v>
      </c>
      <c r="P221" s="2">
        <v>44960.0</v>
      </c>
      <c r="Q221" s="1" t="s">
        <v>32</v>
      </c>
      <c r="R221" s="1" t="s">
        <v>1123</v>
      </c>
      <c r="S221" s="1" t="s">
        <v>32</v>
      </c>
      <c r="W221" s="1">
        <v>0.0</v>
      </c>
      <c r="X221" s="1">
        <v>0.0</v>
      </c>
    </row>
    <row r="222" spans="1:24" ht="15.75" customHeight="1">
      <c r="A222" s="1">
        <v>1.6073211E7</v>
      </c>
      <c r="B222" s="1" t="s">
        <v>1124</v>
      </c>
      <c r="C222" s="1" t="s">
        <v>1125</v>
      </c>
      <c r="D222" s="1" t="s">
        <v>1126</v>
      </c>
      <c r="F222" s="1" t="str">
        <f>"030017487X"</f>
        <v>030017487X</v>
      </c>
      <c r="G222" s="1" t="str">
        <f>"9780300174878"</f>
        <v>9780300174878</v>
      </c>
      <c r="H222" s="1">
        <v>0.0</v>
      </c>
      <c r="I222" s="1">
        <v>3.68</v>
      </c>
      <c r="J222" s="1" t="s">
        <v>962</v>
      </c>
      <c r="K222" s="1" t="s">
        <v>37</v>
      </c>
      <c r="L222" s="1">
        <v>192.0</v>
      </c>
      <c r="M222" s="1">
        <v>2013.0</v>
      </c>
      <c r="N222" s="1">
        <v>2013.0</v>
      </c>
      <c r="P222" s="2">
        <v>43405.0</v>
      </c>
      <c r="Q222" s="1" t="s">
        <v>32</v>
      </c>
      <c r="R222" s="1" t="s">
        <v>1127</v>
      </c>
      <c r="S222" s="1" t="s">
        <v>32</v>
      </c>
      <c r="W222" s="1">
        <v>0.0</v>
      </c>
      <c r="X222" s="1">
        <v>0.0</v>
      </c>
    </row>
    <row r="223" spans="1:24" ht="15.75" customHeight="1">
      <c r="A223" s="1">
        <v>3.7385469E7</v>
      </c>
      <c r="B223" s="1" t="s">
        <v>1128</v>
      </c>
      <c r="C223" s="1" t="s">
        <v>1129</v>
      </c>
      <c r="D223" s="1" t="s">
        <v>1130</v>
      </c>
      <c r="F223" s="1" t="str">
        <f>"033151642X"</f>
        <v>033151642X</v>
      </c>
      <c r="G223" s="1" t="str">
        <f>"9780331516425"</f>
        <v>9780331516425</v>
      </c>
      <c r="H223" s="1">
        <v>0.0</v>
      </c>
      <c r="I223" s="1">
        <v>4.24</v>
      </c>
      <c r="J223" s="1" t="s">
        <v>1131</v>
      </c>
      <c r="K223" s="1" t="s">
        <v>37</v>
      </c>
      <c r="L223" s="1">
        <v>822.0</v>
      </c>
      <c r="M223" s="1">
        <v>2018.0</v>
      </c>
      <c r="N223" s="1">
        <v>1976.0</v>
      </c>
      <c r="P223" s="2">
        <v>45134.0</v>
      </c>
      <c r="Q223" s="1" t="s">
        <v>1132</v>
      </c>
      <c r="R223" s="1" t="s">
        <v>1133</v>
      </c>
      <c r="S223" s="1" t="s">
        <v>32</v>
      </c>
      <c r="W223" s="1">
        <v>0.0</v>
      </c>
      <c r="X223" s="1">
        <v>0.0</v>
      </c>
    </row>
    <row r="224" spans="1:24" ht="15.75" customHeight="1">
      <c r="A224" s="1">
        <v>1304811.0</v>
      </c>
      <c r="B224" s="1" t="s">
        <v>1134</v>
      </c>
      <c r="C224" s="1" t="s">
        <v>1135</v>
      </c>
      <c r="D224" s="1" t="s">
        <v>1136</v>
      </c>
      <c r="F224" s="1" t="str">
        <f>"0670848212"</f>
        <v>0670848212</v>
      </c>
      <c r="G224" s="1" t="str">
        <f>"9780670848218"</f>
        <v>9780670848218</v>
      </c>
      <c r="H224" s="1">
        <v>0.0</v>
      </c>
      <c r="I224" s="1">
        <v>4.32</v>
      </c>
      <c r="J224" s="1" t="s">
        <v>1137</v>
      </c>
      <c r="K224" s="1" t="s">
        <v>37</v>
      </c>
      <c r="L224" s="1">
        <v>224.0</v>
      </c>
      <c r="M224" s="1">
        <v>1993.0</v>
      </c>
      <c r="N224" s="1">
        <v>1993.0</v>
      </c>
      <c r="P224" s="2">
        <v>45189.0</v>
      </c>
      <c r="Q224" s="1" t="s">
        <v>249</v>
      </c>
      <c r="R224" s="1" t="s">
        <v>1138</v>
      </c>
      <c r="S224" s="1" t="s">
        <v>32</v>
      </c>
      <c r="W224" s="1">
        <v>0.0</v>
      </c>
      <c r="X224" s="1">
        <v>0.0</v>
      </c>
    </row>
    <row r="225" spans="1:24" ht="15.75" customHeight="1">
      <c r="A225" s="1">
        <v>3.6651542E7</v>
      </c>
      <c r="B225" s="1" t="s">
        <v>1139</v>
      </c>
      <c r="C225" s="1" t="s">
        <v>1140</v>
      </c>
      <c r="D225" s="1" t="s">
        <v>1141</v>
      </c>
      <c r="E225" s="1" t="s">
        <v>1142</v>
      </c>
      <c r="F225" s="1" t="str">
        <f>"0198813163"</f>
        <v>0198813163</v>
      </c>
      <c r="G225" s="1" t="str">
        <f>"9780198813163"</f>
        <v>9780198813163</v>
      </c>
      <c r="H225" s="1">
        <v>0.0</v>
      </c>
      <c r="I225" s="1">
        <v>3.91</v>
      </c>
      <c r="J225" s="1" t="s">
        <v>181</v>
      </c>
      <c r="K225" s="1" t="s">
        <v>37</v>
      </c>
      <c r="L225" s="1">
        <v>389.0</v>
      </c>
      <c r="M225" s="1">
        <v>2018.0</v>
      </c>
      <c r="N225" s="1">
        <v>1894.0</v>
      </c>
      <c r="P225" s="2">
        <v>44265.0</v>
      </c>
      <c r="Q225" s="1" t="s">
        <v>1143</v>
      </c>
      <c r="R225" s="1" t="s">
        <v>1144</v>
      </c>
      <c r="S225" s="1" t="s">
        <v>32</v>
      </c>
      <c r="W225" s="1">
        <v>0.0</v>
      </c>
      <c r="X225" s="1">
        <v>0.0</v>
      </c>
    </row>
    <row r="226" spans="1:24" ht="15.75" customHeight="1">
      <c r="A226" s="1">
        <v>2.4612E7</v>
      </c>
      <c r="B226" s="1" t="s">
        <v>1145</v>
      </c>
      <c r="C226" s="1" t="s">
        <v>1146</v>
      </c>
      <c r="D226" s="1" t="s">
        <v>1147</v>
      </c>
      <c r="E226" s="1" t="s">
        <v>1148</v>
      </c>
      <c r="F226" s="1" t="str">
        <f>"0143107771"</f>
        <v>0143107771</v>
      </c>
      <c r="G226" s="1" t="str">
        <f>"9780143107774"</f>
        <v>9780143107774</v>
      </c>
      <c r="H226" s="1">
        <v>0.0</v>
      </c>
      <c r="I226" s="1">
        <v>4.42</v>
      </c>
      <c r="J226" s="1" t="s">
        <v>1023</v>
      </c>
      <c r="K226" s="1" t="s">
        <v>44</v>
      </c>
      <c r="L226" s="1">
        <v>1312.0</v>
      </c>
      <c r="M226" s="1">
        <v>2015.0</v>
      </c>
      <c r="N226" s="1">
        <v>2015.0</v>
      </c>
      <c r="P226" s="2">
        <v>45129.0</v>
      </c>
      <c r="Q226" s="1" t="s">
        <v>1149</v>
      </c>
      <c r="R226" s="1" t="s">
        <v>1150</v>
      </c>
      <c r="S226" s="1" t="s">
        <v>32</v>
      </c>
      <c r="W226" s="1">
        <v>0.0</v>
      </c>
      <c r="X226" s="1">
        <v>1.0</v>
      </c>
    </row>
    <row r="227" spans="1:24" ht="15.75" customHeight="1">
      <c r="A227" s="1">
        <v>25148.0</v>
      </c>
      <c r="B227" s="1" t="s">
        <v>1151</v>
      </c>
      <c r="C227" s="1" t="s">
        <v>1152</v>
      </c>
      <c r="D227" s="1" t="s">
        <v>1153</v>
      </c>
      <c r="F227" s="1" t="str">
        <f>"0671027638"</f>
        <v>0671027638</v>
      </c>
      <c r="G227" s="1" t="str">
        <f>"9780671027636"</f>
        <v>9780671027636</v>
      </c>
      <c r="H227" s="1">
        <v>0.0</v>
      </c>
      <c r="I227" s="1">
        <v>3.59</v>
      </c>
      <c r="J227" s="1" t="s">
        <v>1154</v>
      </c>
      <c r="K227" s="1" t="s">
        <v>44</v>
      </c>
      <c r="L227" s="1">
        <v>304.0</v>
      </c>
      <c r="M227" s="1">
        <v>1999.0</v>
      </c>
      <c r="N227" s="1">
        <v>1997.0</v>
      </c>
      <c r="P227" s="2">
        <v>41802.0</v>
      </c>
      <c r="Q227" s="1" t="s">
        <v>502</v>
      </c>
      <c r="R227" s="1" t="s">
        <v>1155</v>
      </c>
      <c r="S227" s="1" t="s">
        <v>32</v>
      </c>
      <c r="W227" s="1">
        <v>0.0</v>
      </c>
      <c r="X227" s="1">
        <v>0.0</v>
      </c>
    </row>
    <row r="228" spans="1:24" ht="15.75" customHeight="1">
      <c r="A228" s="42">
        <v>128458.0</v>
      </c>
      <c r="B228" s="42" t="s">
        <v>1156</v>
      </c>
      <c r="C228" s="42" t="s">
        <v>1157</v>
      </c>
      <c r="D228" s="42" t="s">
        <v>1158</v>
      </c>
      <c r="E228" s="42" t="s">
        <v>1159</v>
      </c>
      <c r="F228" s="42" t="str">
        <f>"0812970152"</f>
        <v>0812970152</v>
      </c>
      <c r="G228" s="42" t="str">
        <f>"9780812970159"</f>
        <v>9780812970159</v>
      </c>
      <c r="H228" s="42">
        <v>0.0</v>
      </c>
      <c r="I228" s="42">
        <v>4.24</v>
      </c>
      <c r="J228" s="42" t="s">
        <v>1160</v>
      </c>
      <c r="K228" s="42" t="s">
        <v>44</v>
      </c>
      <c r="L228" s="42">
        <v>416.0</v>
      </c>
      <c r="M228" s="42">
        <v>2004.0</v>
      </c>
      <c r="N228" s="42">
        <v>1997.0</v>
      </c>
      <c r="O228" s="43"/>
      <c r="P228" s="44">
        <v>44250.0</v>
      </c>
      <c r="Q228" s="45" t="s">
        <v>10990</v>
      </c>
      <c r="R228" s="42" t="s">
        <v>1161</v>
      </c>
      <c r="S228" s="42" t="s">
        <v>32</v>
      </c>
      <c r="T228" s="43"/>
      <c r="U228" s="43"/>
      <c r="V228" s="43"/>
      <c r="W228" s="42">
        <v>0.0</v>
      </c>
      <c r="X228" s="42">
        <v>0.0</v>
      </c>
    </row>
    <row r="229" spans="1:24" ht="15.75" customHeight="1">
      <c r="A229" s="42">
        <v>565149.0</v>
      </c>
      <c r="B229" s="42" t="s">
        <v>1162</v>
      </c>
      <c r="C229" s="42" t="s">
        <v>1157</v>
      </c>
      <c r="D229" s="42" t="s">
        <v>1158</v>
      </c>
      <c r="E229" s="42" t="s">
        <v>1163</v>
      </c>
      <c r="F229" s="42" t="str">
        <f>"0811201848"</f>
        <v>0811201848</v>
      </c>
      <c r="G229" s="42" t="str">
        <f>"9780811201841"</f>
        <v>9780811201841</v>
      </c>
      <c r="H229" s="42">
        <v>0.0</v>
      </c>
      <c r="I229" s="42">
        <v>4.33</v>
      </c>
      <c r="J229" s="42" t="s">
        <v>419</v>
      </c>
      <c r="K229" s="42" t="s">
        <v>44</v>
      </c>
      <c r="L229" s="42">
        <v>182.0</v>
      </c>
      <c r="M229" s="42">
        <v>1957.0</v>
      </c>
      <c r="N229" s="42">
        <v>1875.0</v>
      </c>
      <c r="O229" s="43"/>
      <c r="P229" s="44">
        <v>43967.0</v>
      </c>
      <c r="Q229" s="45" t="s">
        <v>10990</v>
      </c>
      <c r="R229" s="42" t="s">
        <v>1164</v>
      </c>
      <c r="S229" s="42" t="s">
        <v>32</v>
      </c>
      <c r="T229" s="43"/>
      <c r="U229" s="43"/>
      <c r="V229" s="43"/>
      <c r="W229" s="42">
        <v>0.0</v>
      </c>
      <c r="X229" s="42">
        <v>0.0</v>
      </c>
    </row>
    <row r="230" spans="1:24" ht="15.75" customHeight="1">
      <c r="A230" s="42">
        <v>128453.0</v>
      </c>
      <c r="B230" s="42" t="s">
        <v>1165</v>
      </c>
      <c r="C230" s="42" t="s">
        <v>1157</v>
      </c>
      <c r="D230" s="42" t="s">
        <v>1158</v>
      </c>
      <c r="E230" s="42" t="s">
        <v>1166</v>
      </c>
      <c r="F230" s="42" t="str">
        <f>"0060955503"</f>
        <v>0060955503</v>
      </c>
      <c r="G230" s="42" t="str">
        <f>"9780060955502"</f>
        <v>9780060955502</v>
      </c>
      <c r="H230" s="42">
        <v>0.0</v>
      </c>
      <c r="I230" s="42">
        <v>4.41</v>
      </c>
      <c r="J230" s="42" t="s">
        <v>1167</v>
      </c>
      <c r="K230" s="42" t="s">
        <v>44</v>
      </c>
      <c r="L230" s="42">
        <v>384.0</v>
      </c>
      <c r="M230" s="42">
        <v>2000.0</v>
      </c>
      <c r="N230" s="42">
        <v>1870.0</v>
      </c>
      <c r="O230" s="43"/>
      <c r="P230" s="44">
        <v>41020.0</v>
      </c>
      <c r="Q230" s="45" t="s">
        <v>10990</v>
      </c>
      <c r="R230" s="42" t="s">
        <v>1168</v>
      </c>
      <c r="S230" s="42" t="s">
        <v>32</v>
      </c>
      <c r="T230" s="43"/>
      <c r="U230" s="43"/>
      <c r="V230" s="43"/>
      <c r="W230" s="42">
        <v>0.0</v>
      </c>
      <c r="X230" s="42">
        <v>0.0</v>
      </c>
    </row>
    <row r="231" spans="1:24" ht="15.75" customHeight="1">
      <c r="A231" s="1">
        <v>19510.0</v>
      </c>
      <c r="B231" s="1" t="s">
        <v>1169</v>
      </c>
      <c r="C231" s="1" t="s">
        <v>1170</v>
      </c>
      <c r="D231" s="1" t="s">
        <v>1171</v>
      </c>
      <c r="E231" s="1" t="s">
        <v>1172</v>
      </c>
      <c r="F231" s="1" t="str">
        <f>"0140442278"</f>
        <v>0140442278</v>
      </c>
      <c r="G231" s="1" t="str">
        <f>"9780140442274"</f>
        <v>9780140442274</v>
      </c>
      <c r="H231" s="1">
        <v>0.0</v>
      </c>
      <c r="I231" s="1">
        <v>4.17</v>
      </c>
      <c r="J231" s="1" t="s">
        <v>1023</v>
      </c>
      <c r="K231" s="1" t="s">
        <v>44</v>
      </c>
      <c r="L231" s="1">
        <v>240.0</v>
      </c>
      <c r="M231" s="1">
        <v>1973.0</v>
      </c>
      <c r="N231" s="1">
        <v>1851.0</v>
      </c>
      <c r="P231" s="2">
        <v>45166.0</v>
      </c>
      <c r="Q231" s="1" t="s">
        <v>249</v>
      </c>
      <c r="R231" s="1" t="s">
        <v>1173</v>
      </c>
      <c r="S231" s="1" t="s">
        <v>32</v>
      </c>
      <c r="W231" s="1">
        <v>0.0</v>
      </c>
      <c r="X231" s="1">
        <v>0.0</v>
      </c>
    </row>
    <row r="232" spans="1:24" ht="15.75" customHeight="1">
      <c r="A232" s="1">
        <v>230817.0</v>
      </c>
      <c r="B232" s="1" t="s">
        <v>1174</v>
      </c>
      <c r="C232" s="1" t="s">
        <v>1170</v>
      </c>
      <c r="D232" s="1" t="s">
        <v>1171</v>
      </c>
      <c r="F232" s="1" t="str">
        <f>"1903933617"</f>
        <v>1903933617</v>
      </c>
      <c r="G232" s="1" t="str">
        <f>"9781903933619"</f>
        <v>9781903933619</v>
      </c>
      <c r="H232" s="1">
        <v>0.0</v>
      </c>
      <c r="I232" s="1">
        <v>3.51</v>
      </c>
      <c r="J232" s="1" t="s">
        <v>1175</v>
      </c>
      <c r="K232" s="1" t="s">
        <v>37</v>
      </c>
      <c r="L232" s="1">
        <v>138.0</v>
      </c>
      <c r="M232" s="1">
        <v>2004.0</v>
      </c>
      <c r="P232" s="2">
        <v>44468.0</v>
      </c>
      <c r="Q232" s="1" t="s">
        <v>32</v>
      </c>
      <c r="R232" s="1" t="s">
        <v>1176</v>
      </c>
      <c r="S232" s="1" t="s">
        <v>32</v>
      </c>
      <c r="W232" s="1">
        <v>0.0</v>
      </c>
      <c r="X232" s="1">
        <v>0.0</v>
      </c>
    </row>
    <row r="233" spans="1:24" ht="15.75" customHeight="1">
      <c r="A233" s="1">
        <v>902813.0</v>
      </c>
      <c r="B233" s="1" t="s">
        <v>1177</v>
      </c>
      <c r="C233" s="1" t="s">
        <v>1178</v>
      </c>
      <c r="D233" s="1" t="s">
        <v>1179</v>
      </c>
      <c r="F233" s="1" t="str">
        <f>"0195095758"</f>
        <v>0195095758</v>
      </c>
      <c r="G233" s="1" t="str">
        <f>"9780195095753"</f>
        <v>9780195095753</v>
      </c>
      <c r="H233" s="1">
        <v>0.0</v>
      </c>
      <c r="I233" s="1">
        <v>4.2</v>
      </c>
      <c r="J233" s="1" t="s">
        <v>181</v>
      </c>
      <c r="K233" s="1" t="s">
        <v>44</v>
      </c>
      <c r="L233" s="1">
        <v>400.0</v>
      </c>
      <c r="M233" s="1">
        <v>1995.0</v>
      </c>
      <c r="N233" s="1">
        <v>1993.0</v>
      </c>
      <c r="P233" s="2">
        <v>45173.0</v>
      </c>
      <c r="Q233" s="1" t="s">
        <v>32</v>
      </c>
      <c r="R233" s="1" t="s">
        <v>1180</v>
      </c>
      <c r="S233" s="1" t="s">
        <v>32</v>
      </c>
      <c r="W233" s="1">
        <v>0.0</v>
      </c>
      <c r="X233" s="1">
        <v>0.0</v>
      </c>
    </row>
    <row r="234" spans="1:24" ht="15.75" customHeight="1">
      <c r="A234" s="1">
        <v>224942.0</v>
      </c>
      <c r="B234" s="1" t="s">
        <v>1181</v>
      </c>
      <c r="C234" s="1" t="s">
        <v>1182</v>
      </c>
      <c r="D234" s="1" t="s">
        <v>1183</v>
      </c>
      <c r="F234" s="1" t="str">
        <f>"9500300419"</f>
        <v>9500300419</v>
      </c>
      <c r="G234" s="1" t="str">
        <f>"9789500300414"</f>
        <v>9789500300414</v>
      </c>
      <c r="H234" s="1">
        <v>0.0</v>
      </c>
      <c r="I234" s="1">
        <v>3.87</v>
      </c>
      <c r="J234" s="1" t="s">
        <v>1184</v>
      </c>
      <c r="K234" s="1" t="s">
        <v>44</v>
      </c>
      <c r="L234" s="1">
        <v>192.0</v>
      </c>
      <c r="M234" s="1">
        <v>1983.0</v>
      </c>
      <c r="N234" s="1">
        <v>1931.0</v>
      </c>
      <c r="P234" s="3">
        <v>45228.0</v>
      </c>
      <c r="Q234" s="1" t="s">
        <v>145</v>
      </c>
      <c r="R234" s="1" t="s">
        <v>1185</v>
      </c>
      <c r="S234" s="1" t="s">
        <v>32</v>
      </c>
      <c r="W234" s="1">
        <v>0.0</v>
      </c>
      <c r="X234" s="1">
        <v>0.0</v>
      </c>
    </row>
    <row r="235" spans="1:24" ht="15.75" customHeight="1">
      <c r="A235" s="1">
        <v>9777.0</v>
      </c>
      <c r="B235" s="1" t="s">
        <v>1186</v>
      </c>
      <c r="C235" s="1" t="s">
        <v>1187</v>
      </c>
      <c r="D235" s="1" t="s">
        <v>1188</v>
      </c>
      <c r="F235" s="1" t="str">
        <f>"0679457313"</f>
        <v>0679457313</v>
      </c>
      <c r="G235" s="1" t="str">
        <f>"9780679457312"</f>
        <v>9780679457312</v>
      </c>
      <c r="H235" s="1">
        <v>0.0</v>
      </c>
      <c r="I235" s="1">
        <v>3.95</v>
      </c>
      <c r="J235" s="1" t="s">
        <v>1189</v>
      </c>
      <c r="K235" s="1" t="s">
        <v>44</v>
      </c>
      <c r="L235" s="1">
        <v>321.0</v>
      </c>
      <c r="M235" s="1">
        <v>1997.0</v>
      </c>
      <c r="N235" s="1">
        <v>1997.0</v>
      </c>
      <c r="P235" s="2">
        <v>45111.0</v>
      </c>
      <c r="Q235" s="1" t="s">
        <v>1190</v>
      </c>
      <c r="R235" s="1" t="s">
        <v>1191</v>
      </c>
      <c r="S235" s="1" t="s">
        <v>32</v>
      </c>
      <c r="W235" s="1">
        <v>0.0</v>
      </c>
      <c r="X235" s="1">
        <v>1.0</v>
      </c>
    </row>
    <row r="236" spans="1:24" ht="15.75" customHeight="1">
      <c r="A236" s="1">
        <v>144870.0</v>
      </c>
      <c r="B236" s="1" t="s">
        <v>1192</v>
      </c>
      <c r="C236" s="1" t="s">
        <v>1193</v>
      </c>
      <c r="D236" s="1" t="s">
        <v>1194</v>
      </c>
      <c r="E236" s="1" t="s">
        <v>1195</v>
      </c>
      <c r="F236" s="1" t="str">
        <f>"0140444343"</f>
        <v>0140444343</v>
      </c>
      <c r="G236" s="1" t="str">
        <f>"9780140444346"</f>
        <v>9780140444346</v>
      </c>
      <c r="H236" s="1">
        <v>0.0</v>
      </c>
      <c r="I236" s="1">
        <v>4.23</v>
      </c>
      <c r="J236" s="1" t="s">
        <v>1023</v>
      </c>
      <c r="K236" s="1" t="s">
        <v>44</v>
      </c>
      <c r="L236" s="1">
        <v>278.0</v>
      </c>
      <c r="M236" s="1">
        <v>1984.0</v>
      </c>
      <c r="N236" s="1">
        <v>1177.0</v>
      </c>
      <c r="P236" s="2">
        <v>45117.0</v>
      </c>
      <c r="Q236" s="1" t="s">
        <v>32</v>
      </c>
      <c r="R236" s="1" t="s">
        <v>1196</v>
      </c>
      <c r="S236" s="1" t="s">
        <v>32</v>
      </c>
      <c r="W236" s="1">
        <v>0.0</v>
      </c>
      <c r="X236" s="1">
        <v>0.0</v>
      </c>
    </row>
    <row r="237" spans="1:24" ht="15.75" customHeight="1">
      <c r="A237" s="1">
        <v>2.0696006E7</v>
      </c>
      <c r="B237" s="1" t="s">
        <v>1197</v>
      </c>
      <c r="C237" s="1" t="s">
        <v>1198</v>
      </c>
      <c r="D237" s="1" t="s">
        <v>1199</v>
      </c>
      <c r="F237" s="1" t="str">
        <f>"0805095152"</f>
        <v>0805095152</v>
      </c>
      <c r="G237" s="1" t="str">
        <f>"9780805095159"</f>
        <v>9780805095159</v>
      </c>
      <c r="H237" s="1">
        <v>0.0</v>
      </c>
      <c r="I237" s="1">
        <v>4.49</v>
      </c>
      <c r="J237" s="1" t="s">
        <v>1200</v>
      </c>
      <c r="K237" s="1" t="s">
        <v>37</v>
      </c>
      <c r="L237" s="1">
        <v>282.0</v>
      </c>
      <c r="M237" s="1">
        <v>2014.0</v>
      </c>
      <c r="N237" s="1">
        <v>2014.0</v>
      </c>
      <c r="P237" s="3">
        <v>43032.0</v>
      </c>
      <c r="Q237" s="1" t="s">
        <v>55</v>
      </c>
      <c r="R237" s="1" t="s">
        <v>1201</v>
      </c>
      <c r="S237" s="1" t="s">
        <v>32</v>
      </c>
      <c r="W237" s="1">
        <v>0.0</v>
      </c>
      <c r="X237" s="1">
        <v>0.0</v>
      </c>
    </row>
    <row r="238" spans="1:24" ht="15.75" customHeight="1">
      <c r="A238" s="1">
        <v>1.8904171E7</v>
      </c>
      <c r="B238" s="1" t="s">
        <v>1202</v>
      </c>
      <c r="C238" s="1" t="s">
        <v>1203</v>
      </c>
      <c r="D238" s="1" t="s">
        <v>1204</v>
      </c>
      <c r="E238" s="1" t="s">
        <v>1205</v>
      </c>
      <c r="F238" s="1" t="str">
        <f>"0872201880"</f>
        <v>0872201880</v>
      </c>
      <c r="G238" s="1" t="str">
        <f>""</f>
        <v/>
      </c>
      <c r="H238" s="1">
        <v>0.0</v>
      </c>
      <c r="I238" s="1">
        <v>3.93</v>
      </c>
      <c r="J238" s="1" t="s">
        <v>1206</v>
      </c>
      <c r="K238" s="1" t="s">
        <v>44</v>
      </c>
      <c r="L238" s="1">
        <v>192.0</v>
      </c>
      <c r="M238" s="1">
        <v>1993.0</v>
      </c>
      <c r="N238" s="1">
        <v>395.0</v>
      </c>
      <c r="P238" s="2">
        <v>45113.0</v>
      </c>
      <c r="Q238" s="1" t="s">
        <v>1207</v>
      </c>
      <c r="R238" s="1" t="s">
        <v>1208</v>
      </c>
      <c r="S238" s="1" t="s">
        <v>32</v>
      </c>
      <c r="W238" s="1">
        <v>1.0</v>
      </c>
      <c r="X238" s="1">
        <v>1.0</v>
      </c>
    </row>
    <row r="239" spans="1:24" ht="15.75" customHeight="1">
      <c r="A239" s="1">
        <v>1034371.0</v>
      </c>
      <c r="B239" s="1" t="s">
        <v>1209</v>
      </c>
      <c r="C239" s="1" t="s">
        <v>1210</v>
      </c>
      <c r="D239" s="1" t="s">
        <v>1211</v>
      </c>
      <c r="F239" s="1" t="str">
        <f>"8433917994"</f>
        <v>8433917994</v>
      </c>
      <c r="G239" s="1" t="str">
        <f>"9788433917997"</f>
        <v>9788433917997</v>
      </c>
      <c r="H239" s="1">
        <v>0.0</v>
      </c>
      <c r="I239" s="1">
        <v>3.8</v>
      </c>
      <c r="J239" s="1" t="s">
        <v>275</v>
      </c>
      <c r="K239" s="1" t="s">
        <v>44</v>
      </c>
      <c r="L239" s="1">
        <v>160.0</v>
      </c>
      <c r="M239" s="1">
        <v>1990.0</v>
      </c>
      <c r="N239" s="1">
        <v>1972.0</v>
      </c>
      <c r="P239" s="2">
        <v>45079.0</v>
      </c>
      <c r="Q239" s="1" t="s">
        <v>502</v>
      </c>
      <c r="R239" s="1" t="s">
        <v>1212</v>
      </c>
      <c r="S239" s="1" t="s">
        <v>32</v>
      </c>
      <c r="W239" s="1">
        <v>0.0</v>
      </c>
      <c r="X239" s="1">
        <v>0.0</v>
      </c>
    </row>
    <row r="240" spans="1:24" ht="15.75" customHeight="1">
      <c r="A240" s="1">
        <v>1.822383E7</v>
      </c>
      <c r="B240" s="1" t="s">
        <v>1213</v>
      </c>
      <c r="C240" s="1" t="s">
        <v>1210</v>
      </c>
      <c r="D240" s="1" t="s">
        <v>1211</v>
      </c>
      <c r="F240" s="1" t="str">
        <f>"9875669075"</f>
        <v>9875669075</v>
      </c>
      <c r="G240" s="1" t="str">
        <f>"9789875669079"</f>
        <v>9789875669079</v>
      </c>
      <c r="H240" s="1">
        <v>0.0</v>
      </c>
      <c r="I240" s="1">
        <v>4.12</v>
      </c>
      <c r="J240" s="1" t="s">
        <v>1214</v>
      </c>
      <c r="K240" s="1" t="s">
        <v>44</v>
      </c>
      <c r="L240" s="1">
        <v>240.0</v>
      </c>
      <c r="M240" s="1">
        <v>2013.0</v>
      </c>
      <c r="N240" s="1">
        <v>2013.0</v>
      </c>
      <c r="P240" s="2">
        <v>44206.0</v>
      </c>
      <c r="Q240" s="1" t="s">
        <v>32</v>
      </c>
      <c r="R240" s="1" t="s">
        <v>1215</v>
      </c>
      <c r="S240" s="1" t="s">
        <v>32</v>
      </c>
      <c r="W240" s="1">
        <v>0.0</v>
      </c>
      <c r="X240" s="1">
        <v>0.0</v>
      </c>
    </row>
    <row r="241" spans="1:24" ht="15.75" customHeight="1">
      <c r="A241" s="1">
        <v>3232405.0</v>
      </c>
      <c r="B241" s="1" t="s">
        <v>1216</v>
      </c>
      <c r="C241" s="1" t="s">
        <v>1217</v>
      </c>
      <c r="D241" s="1" t="s">
        <v>1218</v>
      </c>
      <c r="F241" s="1" t="str">
        <f>"9500708876"</f>
        <v>9500708876</v>
      </c>
      <c r="G241" s="1" t="str">
        <f>"9789500708876"</f>
        <v>9789500708876</v>
      </c>
      <c r="H241" s="1">
        <v>0.0</v>
      </c>
      <c r="I241" s="1">
        <v>3.93</v>
      </c>
      <c r="J241" s="1" t="s">
        <v>1219</v>
      </c>
      <c r="K241" s="1" t="s">
        <v>44</v>
      </c>
      <c r="L241" s="1">
        <v>399.0</v>
      </c>
      <c r="M241" s="1">
        <v>1993.0</v>
      </c>
      <c r="N241" s="1">
        <v>1993.0</v>
      </c>
      <c r="P241" s="2">
        <v>44094.0</v>
      </c>
      <c r="Q241" s="1" t="s">
        <v>32</v>
      </c>
      <c r="R241" s="1" t="s">
        <v>1220</v>
      </c>
      <c r="S241" s="1" t="s">
        <v>32</v>
      </c>
      <c r="W241" s="1">
        <v>0.0</v>
      </c>
      <c r="X241" s="1">
        <v>0.0</v>
      </c>
    </row>
    <row r="242" spans="1:24" ht="15.75" customHeight="1">
      <c r="A242" s="1">
        <v>6277018.0</v>
      </c>
      <c r="B242" s="1" t="s">
        <v>1221</v>
      </c>
      <c r="C242" s="1" t="s">
        <v>1222</v>
      </c>
      <c r="D242" s="1" t="s">
        <v>1223</v>
      </c>
      <c r="F242" s="1" t="str">
        <f t="shared" si="19" ref="F242:G242">""</f>
        <v/>
      </c>
      <c r="G242" s="1" t="str">
        <f t="shared" si="19"/>
        <v/>
      </c>
      <c r="H242" s="1">
        <v>0.0</v>
      </c>
      <c r="I242" s="1">
        <v>4.17</v>
      </c>
      <c r="J242" s="1" t="s">
        <v>1224</v>
      </c>
      <c r="K242" s="1" t="s">
        <v>1225</v>
      </c>
      <c r="L242" s="1">
        <v>168.0</v>
      </c>
      <c r="M242" s="1">
        <v>2007.0</v>
      </c>
      <c r="N242" s="1">
        <v>2007.0</v>
      </c>
      <c r="P242" s="2">
        <v>44099.0</v>
      </c>
      <c r="Q242" s="1" t="s">
        <v>32</v>
      </c>
      <c r="R242" s="1" t="s">
        <v>1226</v>
      </c>
      <c r="S242" s="1" t="s">
        <v>32</v>
      </c>
      <c r="W242" s="1">
        <v>0.0</v>
      </c>
      <c r="X242" s="1">
        <v>0.0</v>
      </c>
    </row>
    <row r="243" spans="1:24" ht="15.75" customHeight="1">
      <c r="A243" s="1">
        <v>1.8339763E7</v>
      </c>
      <c r="B243" s="1" t="s">
        <v>1227</v>
      </c>
      <c r="C243" s="1" t="s">
        <v>1228</v>
      </c>
      <c r="D243" s="1" t="s">
        <v>1229</v>
      </c>
      <c r="F243" s="1" t="str">
        <f>"0807001678"</f>
        <v>0807001678</v>
      </c>
      <c r="G243" s="1" t="str">
        <f>"9780807001677"</f>
        <v>9780807001677</v>
      </c>
      <c r="H243" s="1">
        <v>0.0</v>
      </c>
      <c r="I243" s="1">
        <v>4.22</v>
      </c>
      <c r="J243" s="1" t="s">
        <v>758</v>
      </c>
      <c r="K243" s="1" t="s">
        <v>44</v>
      </c>
      <c r="L243" s="1">
        <v>256.0</v>
      </c>
      <c r="M243" s="1">
        <v>2014.0</v>
      </c>
      <c r="N243" s="1">
        <v>2014.0</v>
      </c>
      <c r="P243" s="2">
        <v>43070.0</v>
      </c>
      <c r="Q243" s="1" t="s">
        <v>32</v>
      </c>
      <c r="R243" s="1" t="s">
        <v>1230</v>
      </c>
      <c r="S243" s="1" t="s">
        <v>32</v>
      </c>
      <c r="W243" s="1">
        <v>0.0</v>
      </c>
      <c r="X243" s="1">
        <v>0.0</v>
      </c>
    </row>
    <row r="244" spans="1:24" ht="15.75" customHeight="1">
      <c r="A244" s="1">
        <v>920696.0</v>
      </c>
      <c r="B244" s="1" t="s">
        <v>1231</v>
      </c>
      <c r="C244" s="1" t="s">
        <v>1232</v>
      </c>
      <c r="D244" s="1" t="s">
        <v>1233</v>
      </c>
      <c r="F244" s="1" t="str">
        <f>"0451158237"</f>
        <v>0451158237</v>
      </c>
      <c r="G244" s="1" t="str">
        <f>"9780451158239"</f>
        <v>9780451158239</v>
      </c>
      <c r="H244" s="1">
        <v>5.0</v>
      </c>
      <c r="I244" s="1">
        <v>3.88</v>
      </c>
      <c r="J244" s="1" t="s">
        <v>1234</v>
      </c>
      <c r="K244" s="1" t="s">
        <v>1225</v>
      </c>
      <c r="L244" s="1">
        <v>696.0</v>
      </c>
      <c r="M244" s="1">
        <v>1981.0</v>
      </c>
      <c r="N244" s="1">
        <v>1943.0</v>
      </c>
      <c r="O244" s="2">
        <v>41480.0</v>
      </c>
      <c r="P244" s="2">
        <v>41456.0</v>
      </c>
      <c r="Q244" s="1" t="s">
        <v>1235</v>
      </c>
      <c r="R244" s="1" t="s">
        <v>1236</v>
      </c>
      <c r="S244" s="1" t="s">
        <v>32</v>
      </c>
      <c r="W244" s="1">
        <v>1.0</v>
      </c>
      <c r="X244" s="1">
        <v>1.0</v>
      </c>
    </row>
    <row r="245" spans="1:24" ht="15.75" customHeight="1">
      <c r="A245" s="1">
        <v>9362.0</v>
      </c>
      <c r="B245" s="1" t="s">
        <v>1237</v>
      </c>
      <c r="C245" s="1" t="s">
        <v>1232</v>
      </c>
      <c r="D245" s="1" t="s">
        <v>1233</v>
      </c>
      <c r="E245" s="1" t="s">
        <v>1238</v>
      </c>
      <c r="F245" s="1" t="str">
        <f>"0452286360"</f>
        <v>0452286360</v>
      </c>
      <c r="G245" s="1" t="str">
        <f>"9780452286368"</f>
        <v>9780452286368</v>
      </c>
      <c r="H245" s="1">
        <v>0.0</v>
      </c>
      <c r="I245" s="1">
        <v>3.69</v>
      </c>
      <c r="J245" s="1" t="s">
        <v>1239</v>
      </c>
      <c r="K245" s="1" t="s">
        <v>44</v>
      </c>
      <c r="L245" s="1">
        <v>1192.0</v>
      </c>
      <c r="M245" s="1">
        <v>2004.0</v>
      </c>
      <c r="N245" s="1">
        <v>1957.0</v>
      </c>
      <c r="P245" s="2">
        <v>41517.0</v>
      </c>
      <c r="Q245" s="1">
        <v>0.0</v>
      </c>
      <c r="R245" s="1" t="s">
        <v>1240</v>
      </c>
      <c r="S245" s="1" t="s">
        <v>271</v>
      </c>
      <c r="W245" s="1">
        <v>1.0</v>
      </c>
      <c r="X245" s="1">
        <v>1.0</v>
      </c>
    </row>
    <row r="246" spans="1:24" ht="15.75" customHeight="1">
      <c r="A246" s="1">
        <v>284516.0</v>
      </c>
      <c r="B246" s="1" t="s">
        <v>1241</v>
      </c>
      <c r="C246" s="1" t="s">
        <v>1242</v>
      </c>
      <c r="D246" s="1" t="s">
        <v>1243</v>
      </c>
      <c r="F246" s="1" t="str">
        <f>"0944854486"</f>
        <v>0944854486</v>
      </c>
      <c r="G246" s="1" t="str">
        <f>"9780944854488"</f>
        <v>9780944854488</v>
      </c>
      <c r="H246" s="1">
        <v>0.0</v>
      </c>
      <c r="I246" s="1">
        <v>4.0</v>
      </c>
      <c r="J246" s="1" t="s">
        <v>1244</v>
      </c>
      <c r="K246" s="1" t="s">
        <v>44</v>
      </c>
      <c r="L246" s="1">
        <v>169.0</v>
      </c>
      <c r="M246" s="1">
        <v>2006.0</v>
      </c>
      <c r="N246" s="1">
        <v>2006.0</v>
      </c>
      <c r="P246" s="2">
        <v>45160.0</v>
      </c>
      <c r="Q246" s="1" t="s">
        <v>115</v>
      </c>
      <c r="R246" s="1" t="s">
        <v>1245</v>
      </c>
      <c r="S246" s="1" t="s">
        <v>32</v>
      </c>
      <c r="W246" s="1">
        <v>0.0</v>
      </c>
      <c r="X246" s="1">
        <v>1.0</v>
      </c>
    </row>
    <row r="247" spans="1:24" ht="15.75" customHeight="1">
      <c r="A247" s="1">
        <v>90994.0</v>
      </c>
      <c r="B247" s="1" t="s">
        <v>1246</v>
      </c>
      <c r="C247" s="1" t="s">
        <v>1247</v>
      </c>
      <c r="D247" s="1" t="s">
        <v>1248</v>
      </c>
      <c r="F247" s="1" t="str">
        <f>"0811210030"</f>
        <v>0811210030</v>
      </c>
      <c r="G247" s="1" t="str">
        <f>"9780811210034"</f>
        <v>9780811210034</v>
      </c>
      <c r="H247" s="1">
        <v>0.0</v>
      </c>
      <c r="I247" s="1">
        <v>3.82</v>
      </c>
      <c r="J247" s="1" t="s">
        <v>419</v>
      </c>
      <c r="K247" s="1" t="s">
        <v>44</v>
      </c>
      <c r="L247" s="1">
        <v>180.0</v>
      </c>
      <c r="M247" s="1">
        <v>1987.0</v>
      </c>
      <c r="N247" s="1">
        <v>1964.0</v>
      </c>
      <c r="P247" s="2">
        <v>45129.0</v>
      </c>
      <c r="Q247" s="1" t="s">
        <v>145</v>
      </c>
      <c r="R247" s="1" t="s">
        <v>1249</v>
      </c>
      <c r="S247" s="1" t="s">
        <v>32</v>
      </c>
      <c r="W247" s="1">
        <v>0.0</v>
      </c>
      <c r="X247" s="1">
        <v>0.0</v>
      </c>
    </row>
    <row r="248" spans="1:24" ht="15.75" customHeight="1">
      <c r="A248" s="1">
        <v>467132.0</v>
      </c>
      <c r="B248" s="1" t="s">
        <v>1250</v>
      </c>
      <c r="C248" s="1" t="s">
        <v>1251</v>
      </c>
      <c r="D248" s="1" t="s">
        <v>1252</v>
      </c>
      <c r="F248" s="1" t="str">
        <f>"0064635481"</f>
        <v>0064635481</v>
      </c>
      <c r="G248" s="1" t="str">
        <f>"9780064635486"</f>
        <v>9780064635486</v>
      </c>
      <c r="H248" s="1">
        <v>0.0</v>
      </c>
      <c r="I248" s="1">
        <v>3.82</v>
      </c>
      <c r="J248" s="1" t="s">
        <v>917</v>
      </c>
      <c r="K248" s="1" t="s">
        <v>44</v>
      </c>
      <c r="L248" s="1">
        <v>224.0</v>
      </c>
      <c r="M248" s="1">
        <v>2009.0</v>
      </c>
      <c r="N248" s="1">
        <v>1962.0</v>
      </c>
      <c r="P248" s="2">
        <v>44444.0</v>
      </c>
      <c r="Q248" s="1" t="s">
        <v>32</v>
      </c>
      <c r="R248" s="1" t="s">
        <v>1253</v>
      </c>
      <c r="S248" s="1" t="s">
        <v>32</v>
      </c>
      <c r="W248" s="1">
        <v>0.0</v>
      </c>
      <c r="X248" s="1">
        <v>0.0</v>
      </c>
    </row>
    <row r="249" spans="1:24" ht="15.75" customHeight="1">
      <c r="A249" s="1">
        <v>1.7759226E7</v>
      </c>
      <c r="B249" s="1" t="s">
        <v>1254</v>
      </c>
      <c r="C249" s="1" t="s">
        <v>1255</v>
      </c>
      <c r="D249" s="1" t="s">
        <v>1256</v>
      </c>
      <c r="E249" s="1" t="s">
        <v>1257</v>
      </c>
      <c r="F249" s="1" t="str">
        <f>"0691138702"</f>
        <v>0691138702</v>
      </c>
      <c r="G249" s="1" t="str">
        <f>"9780691138701"</f>
        <v>9780691138701</v>
      </c>
      <c r="H249" s="1">
        <v>0.0</v>
      </c>
      <c r="I249" s="1">
        <v>4.54</v>
      </c>
      <c r="J249" s="1" t="s">
        <v>1011</v>
      </c>
      <c r="K249" s="1" t="s">
        <v>37</v>
      </c>
      <c r="L249" s="1">
        <v>1344.0</v>
      </c>
      <c r="M249" s="1">
        <v>2014.0</v>
      </c>
      <c r="N249" s="1">
        <v>2004.0</v>
      </c>
      <c r="P249" s="2">
        <v>43967.0</v>
      </c>
      <c r="Q249" s="1" t="s">
        <v>1258</v>
      </c>
      <c r="R249" s="1" t="s">
        <v>1259</v>
      </c>
      <c r="S249" s="1" t="s">
        <v>32</v>
      </c>
      <c r="W249" s="1">
        <v>0.0</v>
      </c>
      <c r="X249" s="1">
        <v>0.0</v>
      </c>
    </row>
    <row r="250" spans="1:24" ht="15.75" customHeight="1">
      <c r="A250" s="1">
        <v>14248.0</v>
      </c>
      <c r="B250" s="1" t="s">
        <v>1260</v>
      </c>
      <c r="C250" s="1" t="s">
        <v>1261</v>
      </c>
      <c r="D250" s="1" t="s">
        <v>1262</v>
      </c>
      <c r="F250" s="1" t="str">
        <f>"0060504080"</f>
        <v>0060504080</v>
      </c>
      <c r="G250" s="1" t="str">
        <f>"9780060504083"</f>
        <v>9780060504083</v>
      </c>
      <c r="H250" s="1">
        <v>0.0</v>
      </c>
      <c r="I250" s="1">
        <v>4.03</v>
      </c>
      <c r="J250" s="1" t="s">
        <v>917</v>
      </c>
      <c r="K250" s="1" t="s">
        <v>44</v>
      </c>
      <c r="L250" s="1">
        <v>264.0</v>
      </c>
      <c r="M250" s="1">
        <v>2003.0</v>
      </c>
      <c r="N250" s="1">
        <v>2002.0</v>
      </c>
      <c r="P250" s="2">
        <v>43982.0</v>
      </c>
      <c r="Q250" s="1" t="s">
        <v>32</v>
      </c>
      <c r="R250" s="1" t="s">
        <v>1263</v>
      </c>
      <c r="S250" s="1" t="s">
        <v>32</v>
      </c>
      <c r="W250" s="1">
        <v>0.0</v>
      </c>
      <c r="X250" s="1">
        <v>0.0</v>
      </c>
    </row>
    <row r="251" spans="1:24" ht="15.75" customHeight="1">
      <c r="A251" s="1">
        <v>9670447.0</v>
      </c>
      <c r="B251" s="1" t="s">
        <v>1264</v>
      </c>
      <c r="C251" s="1" t="s">
        <v>1265</v>
      </c>
      <c r="D251" s="1" t="s">
        <v>1266</v>
      </c>
      <c r="F251" s="1" t="str">
        <f>"0738719552"</f>
        <v>0738719552</v>
      </c>
      <c r="G251" s="1" t="str">
        <f>"9780738719559"</f>
        <v>9780738719559</v>
      </c>
      <c r="H251" s="1">
        <v>0.0</v>
      </c>
      <c r="I251" s="1">
        <v>4.09</v>
      </c>
      <c r="J251" s="1" t="s">
        <v>1267</v>
      </c>
      <c r="K251" s="1" t="s">
        <v>44</v>
      </c>
      <c r="L251" s="1">
        <v>360.0</v>
      </c>
      <c r="M251" s="1">
        <v>2010.0</v>
      </c>
      <c r="N251" s="1">
        <v>2010.0</v>
      </c>
      <c r="P251" s="2">
        <v>44814.0</v>
      </c>
      <c r="Q251" s="1" t="s">
        <v>1268</v>
      </c>
      <c r="R251" s="1" t="s">
        <v>1269</v>
      </c>
      <c r="S251" s="1" t="s">
        <v>32</v>
      </c>
      <c r="W251" s="1">
        <v>0.0</v>
      </c>
      <c r="X251" s="1">
        <v>1.0</v>
      </c>
    </row>
    <row r="252" spans="1:24" ht="15.75" customHeight="1">
      <c r="A252" s="1">
        <v>568236.0</v>
      </c>
      <c r="B252" s="1" t="s">
        <v>1270</v>
      </c>
      <c r="C252" s="1" t="s">
        <v>1271</v>
      </c>
      <c r="D252" s="1" t="s">
        <v>1272</v>
      </c>
      <c r="F252" s="1" t="str">
        <f>"0345349571"</f>
        <v>0345349571</v>
      </c>
      <c r="G252" s="1" t="str">
        <f>"9780345349576"</f>
        <v>9780345349576</v>
      </c>
      <c r="H252" s="1">
        <v>0.0</v>
      </c>
      <c r="I252" s="1">
        <v>4.05</v>
      </c>
      <c r="J252" s="1" t="s">
        <v>1273</v>
      </c>
      <c r="K252" s="1" t="s">
        <v>44</v>
      </c>
      <c r="L252" s="1">
        <v>714.0</v>
      </c>
      <c r="M252" s="1">
        <v>1987.0</v>
      </c>
      <c r="N252" s="1">
        <v>1978.0</v>
      </c>
      <c r="P252" s="2">
        <v>45175.0</v>
      </c>
      <c r="Q252" s="1" t="s">
        <v>138</v>
      </c>
      <c r="R252" s="1" t="s">
        <v>1274</v>
      </c>
      <c r="S252" s="1" t="s">
        <v>32</v>
      </c>
      <c r="W252" s="1">
        <v>0.0</v>
      </c>
      <c r="X252" s="1">
        <v>0.0</v>
      </c>
    </row>
    <row r="253" spans="1:24" ht="15.75" customHeight="1">
      <c r="A253" s="1">
        <v>10302.0</v>
      </c>
      <c r="B253" s="1" t="s">
        <v>1275</v>
      </c>
      <c r="C253" s="1" t="s">
        <v>1271</v>
      </c>
      <c r="D253" s="1" t="s">
        <v>1272</v>
      </c>
      <c r="F253" s="1" t="str">
        <f>"0345308239"</f>
        <v>0345308239</v>
      </c>
      <c r="G253" s="1" t="str">
        <f>"9780345308238"</f>
        <v>9780345308238</v>
      </c>
      <c r="H253" s="1">
        <v>0.0</v>
      </c>
      <c r="I253" s="1">
        <v>4.02</v>
      </c>
      <c r="J253" s="1" t="s">
        <v>1189</v>
      </c>
      <c r="K253" s="1" t="s">
        <v>44</v>
      </c>
      <c r="L253" s="1">
        <v>447.0</v>
      </c>
      <c r="M253" s="1">
        <v>1993.0</v>
      </c>
      <c r="N253" s="1">
        <v>1984.0</v>
      </c>
      <c r="P253" s="2">
        <v>45163.0</v>
      </c>
      <c r="Q253" s="1" t="s">
        <v>55</v>
      </c>
      <c r="R253" s="1" t="s">
        <v>1276</v>
      </c>
      <c r="S253" s="1" t="s">
        <v>32</v>
      </c>
      <c r="W253" s="1">
        <v>0.0</v>
      </c>
      <c r="X253" s="1">
        <v>0.0</v>
      </c>
    </row>
    <row r="254" spans="1:24" ht="15.75" customHeight="1">
      <c r="A254" s="1">
        <v>1017859.0</v>
      </c>
      <c r="B254" s="1" t="s">
        <v>1277</v>
      </c>
      <c r="C254" s="1" t="s">
        <v>1278</v>
      </c>
      <c r="D254" s="1" t="s">
        <v>1279</v>
      </c>
      <c r="E254" s="1" t="s">
        <v>1280</v>
      </c>
      <c r="F254" s="1" t="str">
        <f>"0595179274"</f>
        <v>0595179274</v>
      </c>
      <c r="G254" s="1" t="str">
        <f>"9780595179275"</f>
        <v>9780595179275</v>
      </c>
      <c r="H254" s="1">
        <v>0.0</v>
      </c>
      <c r="I254" s="1">
        <v>3.46</v>
      </c>
      <c r="J254" s="1" t="s">
        <v>1281</v>
      </c>
      <c r="K254" s="1" t="s">
        <v>44</v>
      </c>
      <c r="L254" s="1">
        <v>352.0</v>
      </c>
      <c r="M254" s="1">
        <v>2001.0</v>
      </c>
      <c r="N254" s="1">
        <v>1977.0</v>
      </c>
      <c r="P254" s="2">
        <v>45151.0</v>
      </c>
      <c r="Q254" s="1" t="s">
        <v>32</v>
      </c>
      <c r="R254" s="1" t="s">
        <v>1282</v>
      </c>
      <c r="S254" s="1" t="s">
        <v>32</v>
      </c>
      <c r="W254" s="1">
        <v>0.0</v>
      </c>
      <c r="X254" s="1">
        <v>0.0</v>
      </c>
    </row>
    <row r="255" spans="1:24" ht="15.75" customHeight="1">
      <c r="A255" s="1">
        <v>239592.0</v>
      </c>
      <c r="B255" s="1" t="s">
        <v>1283</v>
      </c>
      <c r="C255" s="1" t="s">
        <v>1284</v>
      </c>
      <c r="D255" s="1" t="s">
        <v>1285</v>
      </c>
      <c r="F255" s="1" t="str">
        <f>"0393311147"</f>
        <v>0393311147</v>
      </c>
      <c r="G255" s="1" t="str">
        <f>"9780393311143"</f>
        <v>9780393311143</v>
      </c>
      <c r="H255" s="1">
        <v>0.0</v>
      </c>
      <c r="I255" s="1">
        <v>4.12</v>
      </c>
      <c r="J255" s="1" t="s">
        <v>1286</v>
      </c>
      <c r="K255" s="1" t="s">
        <v>44</v>
      </c>
      <c r="L255" s="1">
        <v>630.0</v>
      </c>
      <c r="M255" s="1">
        <v>1993.0</v>
      </c>
      <c r="N255" s="1">
        <v>1992.0</v>
      </c>
      <c r="P255" s="2">
        <v>45111.0</v>
      </c>
      <c r="Q255" s="1" t="s">
        <v>261</v>
      </c>
      <c r="R255" s="1" t="s">
        <v>1287</v>
      </c>
      <c r="S255" s="1" t="s">
        <v>32</v>
      </c>
      <c r="W255" s="1">
        <v>0.0</v>
      </c>
      <c r="X255" s="1">
        <v>0.0</v>
      </c>
    </row>
    <row r="256" spans="1:24" ht="15.75" customHeight="1">
      <c r="A256" s="1">
        <v>5.0793705E7</v>
      </c>
      <c r="B256" s="1" t="s">
        <v>1288</v>
      </c>
      <c r="C256" s="1" t="s">
        <v>1289</v>
      </c>
      <c r="D256" s="1" t="s">
        <v>1290</v>
      </c>
      <c r="F256" s="1" t="str">
        <f>"1501136739"</f>
        <v>1501136739</v>
      </c>
      <c r="G256" s="1" t="str">
        <f>"9781501136733"</f>
        <v>9781501136733</v>
      </c>
      <c r="H256" s="1">
        <v>0.0</v>
      </c>
      <c r="I256" s="1">
        <v>4.06</v>
      </c>
      <c r="J256" s="1" t="s">
        <v>1291</v>
      </c>
      <c r="K256" s="1" t="s">
        <v>37</v>
      </c>
      <c r="L256" s="1">
        <v>327.0</v>
      </c>
      <c r="M256" s="1">
        <v>2020.0</v>
      </c>
      <c r="N256" s="1">
        <v>2020.0</v>
      </c>
      <c r="P256" s="3">
        <v>45214.0</v>
      </c>
      <c r="Q256" s="1" t="s">
        <v>138</v>
      </c>
      <c r="R256" s="1" t="s">
        <v>1292</v>
      </c>
      <c r="S256" s="1" t="s">
        <v>32</v>
      </c>
      <c r="W256" s="1">
        <v>0.0</v>
      </c>
      <c r="X256" s="1">
        <v>0.0</v>
      </c>
    </row>
    <row r="257" spans="1:24" ht="15.75" customHeight="1">
      <c r="A257" s="1">
        <v>8189959.0</v>
      </c>
      <c r="B257" s="1" t="s">
        <v>1293</v>
      </c>
      <c r="C257" s="1" t="s">
        <v>1289</v>
      </c>
      <c r="D257" s="1" t="s">
        <v>1290</v>
      </c>
      <c r="E257" s="1" t="s">
        <v>1294</v>
      </c>
      <c r="F257" s="1" t="str">
        <f>"0199732108"</f>
        <v>0199732108</v>
      </c>
      <c r="G257" s="1" t="str">
        <f>"9780199732104"</f>
        <v>9780199732104</v>
      </c>
      <c r="H257" s="1">
        <v>0.0</v>
      </c>
      <c r="I257" s="1">
        <v>4.25</v>
      </c>
      <c r="J257" s="1" t="s">
        <v>990</v>
      </c>
      <c r="K257" s="1" t="s">
        <v>37</v>
      </c>
      <c r="L257" s="1">
        <v>611.0</v>
      </c>
      <c r="M257" s="1">
        <v>2011.0</v>
      </c>
      <c r="N257" s="1">
        <v>2011.0</v>
      </c>
      <c r="P257" s="2">
        <v>45123.0</v>
      </c>
      <c r="Q257" s="1" t="s">
        <v>32</v>
      </c>
      <c r="R257" s="1" t="s">
        <v>1295</v>
      </c>
      <c r="S257" s="1" t="s">
        <v>32</v>
      </c>
      <c r="W257" s="1">
        <v>0.0</v>
      </c>
      <c r="X257" s="1">
        <v>0.0</v>
      </c>
    </row>
    <row r="258" spans="1:24" ht="15.75" customHeight="1">
      <c r="A258" s="1">
        <v>6537065.0</v>
      </c>
      <c r="B258" s="1" t="s">
        <v>1296</v>
      </c>
      <c r="C258" s="1" t="s">
        <v>1297</v>
      </c>
      <c r="D258" s="1" t="s">
        <v>1298</v>
      </c>
      <c r="F258" s="1" t="str">
        <f>"0786436956"</f>
        <v>0786436956</v>
      </c>
      <c r="G258" s="1" t="str">
        <f>"9780786436958"</f>
        <v>9780786436958</v>
      </c>
      <c r="H258" s="1">
        <v>0.0</v>
      </c>
      <c r="I258" s="1">
        <v>3.46</v>
      </c>
      <c r="J258" s="1" t="s">
        <v>1299</v>
      </c>
      <c r="K258" s="1" t="s">
        <v>37</v>
      </c>
      <c r="L258" s="1">
        <v>248.0</v>
      </c>
      <c r="M258" s="1">
        <v>2009.0</v>
      </c>
      <c r="N258" s="1">
        <v>2009.0</v>
      </c>
      <c r="P258" s="2">
        <v>45153.0</v>
      </c>
      <c r="Q258" s="1" t="s">
        <v>32</v>
      </c>
      <c r="R258" s="1" t="s">
        <v>1300</v>
      </c>
      <c r="S258" s="1" t="s">
        <v>32</v>
      </c>
      <c r="W258" s="1">
        <v>0.0</v>
      </c>
      <c r="X258" s="1">
        <v>0.0</v>
      </c>
    </row>
    <row r="259" spans="1:24" ht="15.75" customHeight="1">
      <c r="A259" s="1">
        <v>7.9927383E7</v>
      </c>
      <c r="B259" s="1" t="s">
        <v>1301</v>
      </c>
      <c r="C259" s="1" t="s">
        <v>1302</v>
      </c>
      <c r="D259" s="1" t="s">
        <v>1303</v>
      </c>
      <c r="F259" s="1" t="str">
        <f>"1245971336"</f>
        <v>1245971336</v>
      </c>
      <c r="G259" s="1" t="str">
        <f>"9781245971331"</f>
        <v>9781245971331</v>
      </c>
      <c r="H259" s="1">
        <v>0.0</v>
      </c>
      <c r="I259" s="1">
        <v>0.0</v>
      </c>
      <c r="J259" s="1" t="s">
        <v>1304</v>
      </c>
      <c r="K259" s="1" t="s">
        <v>44</v>
      </c>
      <c r="L259" s="1">
        <v>558.0</v>
      </c>
      <c r="M259" s="1">
        <v>2011.0</v>
      </c>
      <c r="P259" s="2">
        <v>44960.0</v>
      </c>
      <c r="Q259" s="1" t="s">
        <v>32</v>
      </c>
      <c r="R259" s="1" t="s">
        <v>1305</v>
      </c>
      <c r="S259" s="1" t="s">
        <v>32</v>
      </c>
      <c r="W259" s="1">
        <v>0.0</v>
      </c>
      <c r="X259" s="1">
        <v>0.0</v>
      </c>
    </row>
    <row r="260" spans="1:24" ht="15.75" customHeight="1">
      <c r="A260" s="1">
        <v>6.0625536E7</v>
      </c>
      <c r="B260" s="1" t="s">
        <v>1306</v>
      </c>
      <c r="C260" s="1" t="s">
        <v>1307</v>
      </c>
      <c r="D260" s="1" t="s">
        <v>1308</v>
      </c>
      <c r="F260" s="1" t="str">
        <f>"9878011380"</f>
        <v>9878011380</v>
      </c>
      <c r="G260" s="1" t="str">
        <f>"9789878011387"</f>
        <v>9789878011387</v>
      </c>
      <c r="H260" s="1">
        <v>0.0</v>
      </c>
      <c r="I260" s="1">
        <v>3.6</v>
      </c>
      <c r="J260" s="1" t="s">
        <v>1309</v>
      </c>
      <c r="K260" s="1" t="s">
        <v>29</v>
      </c>
      <c r="L260" s="1">
        <v>331.0</v>
      </c>
      <c r="M260" s="1">
        <v>2022.0</v>
      </c>
      <c r="P260" s="2">
        <v>44814.0</v>
      </c>
      <c r="Q260" s="1" t="s">
        <v>55</v>
      </c>
      <c r="R260" s="1" t="s">
        <v>1310</v>
      </c>
      <c r="S260" s="1" t="s">
        <v>32</v>
      </c>
      <c r="W260" s="1">
        <v>0.0</v>
      </c>
      <c r="X260" s="1">
        <v>0.0</v>
      </c>
    </row>
    <row r="261" spans="1:24" ht="15.75" customHeight="1">
      <c r="A261" s="1">
        <v>5.729304E7</v>
      </c>
      <c r="B261" s="1" t="s">
        <v>1311</v>
      </c>
      <c r="C261" s="1" t="s">
        <v>1312</v>
      </c>
      <c r="D261" s="1" t="s">
        <v>1313</v>
      </c>
      <c r="F261" s="1" t="str">
        <f>"8426481051"</f>
        <v>8426481051</v>
      </c>
      <c r="G261" s="1" t="str">
        <f>"9788426481054"</f>
        <v>9788426481054</v>
      </c>
      <c r="H261" s="1">
        <v>0.0</v>
      </c>
      <c r="I261" s="1">
        <v>4.12</v>
      </c>
      <c r="J261" s="1" t="s">
        <v>1314</v>
      </c>
      <c r="K261" s="1" t="s">
        <v>44</v>
      </c>
      <c r="L261" s="1">
        <v>198.0</v>
      </c>
      <c r="M261" s="1">
        <v>2021.0</v>
      </c>
      <c r="N261" s="1">
        <v>2021.0</v>
      </c>
      <c r="P261" s="3">
        <v>45228.0</v>
      </c>
      <c r="Q261" s="1" t="s">
        <v>1315</v>
      </c>
      <c r="R261" s="1" t="s">
        <v>1316</v>
      </c>
      <c r="S261" s="1" t="s">
        <v>32</v>
      </c>
      <c r="W261" s="1">
        <v>0.0</v>
      </c>
      <c r="X261" s="1">
        <v>0.0</v>
      </c>
    </row>
    <row r="262" spans="1:24" ht="15.75" customHeight="1">
      <c r="A262" s="1">
        <v>56844.0</v>
      </c>
      <c r="B262" s="1" t="s">
        <v>1317</v>
      </c>
      <c r="C262" s="1" t="s">
        <v>1318</v>
      </c>
      <c r="D262" s="1" t="s">
        <v>1319</v>
      </c>
      <c r="F262" s="1" t="str">
        <f>"006097561X"</f>
        <v>006097561X</v>
      </c>
      <c r="G262" s="1" t="str">
        <f>"9780060975616"</f>
        <v>9780060975616</v>
      </c>
      <c r="H262" s="1">
        <v>0.0</v>
      </c>
      <c r="I262" s="1">
        <v>3.59</v>
      </c>
      <c r="J262" s="1" t="s">
        <v>1320</v>
      </c>
      <c r="K262" s="1" t="s">
        <v>1225</v>
      </c>
      <c r="L262" s="1">
        <v>272.0</v>
      </c>
      <c r="M262" s="1">
        <v>1993.0</v>
      </c>
      <c r="N262" s="1">
        <v>1992.0</v>
      </c>
      <c r="P262" s="2">
        <v>44261.0</v>
      </c>
      <c r="Q262" s="1" t="s">
        <v>32</v>
      </c>
      <c r="R262" s="1" t="s">
        <v>1321</v>
      </c>
      <c r="S262" s="1" t="s">
        <v>32</v>
      </c>
      <c r="W262" s="1">
        <v>0.0</v>
      </c>
      <c r="X262" s="1">
        <v>0.0</v>
      </c>
    </row>
    <row r="263" spans="1:24" ht="15.75" customHeight="1">
      <c r="A263" s="1">
        <v>101094.0</v>
      </c>
      <c r="B263" s="1" t="s">
        <v>1322</v>
      </c>
      <c r="C263" s="1" t="s">
        <v>1323</v>
      </c>
      <c r="D263" s="1" t="s">
        <v>1324</v>
      </c>
      <c r="F263" s="1" t="str">
        <f>"0385425139"</f>
        <v>0385425139</v>
      </c>
      <c r="G263" s="1" t="str">
        <f>"9780385425131"</f>
        <v>9780385425131</v>
      </c>
      <c r="H263" s="1">
        <v>0.0</v>
      </c>
      <c r="I263" s="1">
        <v>3.73</v>
      </c>
      <c r="J263" s="1" t="s">
        <v>1325</v>
      </c>
      <c r="K263" s="1" t="s">
        <v>44</v>
      </c>
      <c r="L263" s="1">
        <v>512.0</v>
      </c>
      <c r="M263" s="1">
        <v>1993.0</v>
      </c>
      <c r="N263" s="1">
        <v>1991.0</v>
      </c>
      <c r="P263" s="2">
        <v>45111.0</v>
      </c>
      <c r="Q263" s="1" t="s">
        <v>261</v>
      </c>
      <c r="R263" s="1" t="s">
        <v>1326</v>
      </c>
      <c r="S263" s="1" t="s">
        <v>32</v>
      </c>
      <c r="W263" s="1">
        <v>0.0</v>
      </c>
      <c r="X263" s="1">
        <v>0.0</v>
      </c>
    </row>
    <row r="264" spans="1:24" ht="15.75" customHeight="1">
      <c r="A264" s="1">
        <v>2.1971409E7</v>
      </c>
      <c r="B264" s="1" t="s">
        <v>1327</v>
      </c>
      <c r="C264" s="1" t="s">
        <v>1328</v>
      </c>
      <c r="D264" s="1" t="s">
        <v>1329</v>
      </c>
      <c r="F264" s="1" t="str">
        <f>"158394835X"</f>
        <v>158394835X</v>
      </c>
      <c r="G264" s="1" t="str">
        <f>"9781583948354"</f>
        <v>9781583948354</v>
      </c>
      <c r="H264" s="1">
        <v>0.0</v>
      </c>
      <c r="I264" s="1">
        <v>4.48</v>
      </c>
      <c r="J264" s="1" t="s">
        <v>1330</v>
      </c>
      <c r="K264" s="1" t="s">
        <v>44</v>
      </c>
      <c r="L264" s="1">
        <v>896.0</v>
      </c>
      <c r="M264" s="1">
        <v>2015.0</v>
      </c>
      <c r="N264" s="1">
        <v>2015.0</v>
      </c>
      <c r="P264" s="2">
        <v>44790.0</v>
      </c>
      <c r="Q264" s="1" t="s">
        <v>32</v>
      </c>
      <c r="R264" s="1" t="s">
        <v>1331</v>
      </c>
      <c r="S264" s="1" t="s">
        <v>32</v>
      </c>
      <c r="W264" s="1">
        <v>0.0</v>
      </c>
      <c r="X264" s="1">
        <v>0.0</v>
      </c>
    </row>
    <row r="265" spans="1:24" ht="15.75" customHeight="1">
      <c r="A265" s="1">
        <v>106835.0</v>
      </c>
      <c r="B265" s="1" t="s">
        <v>1332</v>
      </c>
      <c r="C265" s="1" t="s">
        <v>1333</v>
      </c>
      <c r="D265" s="1" t="s">
        <v>1334</v>
      </c>
      <c r="E265" s="1" t="s">
        <v>1335</v>
      </c>
      <c r="F265" s="1" t="str">
        <f>"0060555661"</f>
        <v>0060555661</v>
      </c>
      <c r="G265" s="1" t="str">
        <f>"9780060555665"</f>
        <v>9780060555665</v>
      </c>
      <c r="H265" s="1">
        <v>0.0</v>
      </c>
      <c r="I265" s="1">
        <v>4.25</v>
      </c>
      <c r="J265" s="1" t="s">
        <v>1336</v>
      </c>
      <c r="K265" s="1" t="s">
        <v>44</v>
      </c>
      <c r="L265" s="1">
        <v>623.0</v>
      </c>
      <c r="M265" s="1">
        <v>2006.0</v>
      </c>
      <c r="N265" s="1">
        <v>1949.0</v>
      </c>
      <c r="P265" s="2">
        <v>43999.0</v>
      </c>
      <c r="Q265" s="1" t="s">
        <v>32</v>
      </c>
      <c r="R265" s="1" t="s">
        <v>1337</v>
      </c>
      <c r="S265" s="1" t="s">
        <v>32</v>
      </c>
      <c r="W265" s="1">
        <v>0.0</v>
      </c>
      <c r="X265" s="1">
        <v>0.0</v>
      </c>
    </row>
    <row r="266" spans="1:24" ht="15.75" customHeight="1">
      <c r="A266" s="1">
        <v>1.7802165E7</v>
      </c>
      <c r="B266" s="1" t="s">
        <v>1338</v>
      </c>
      <c r="C266" s="1" t="s">
        <v>1339</v>
      </c>
      <c r="D266" s="1" t="s">
        <v>1340</v>
      </c>
      <c r="F266" s="1" t="str">
        <f>"082235568X"</f>
        <v>082235568X</v>
      </c>
      <c r="G266" s="1" t="str">
        <f>"9780822355687"</f>
        <v>9780822355687</v>
      </c>
      <c r="H266" s="1">
        <v>0.0</v>
      </c>
      <c r="I266" s="1">
        <v>3.04</v>
      </c>
      <c r="J266" s="1" t="s">
        <v>1341</v>
      </c>
      <c r="K266" s="1" t="s">
        <v>44</v>
      </c>
      <c r="L266" s="1">
        <v>232.0</v>
      </c>
      <c r="M266" s="1">
        <v>2013.0</v>
      </c>
      <c r="N266" s="1">
        <v>2013.0</v>
      </c>
      <c r="P266" s="3">
        <v>44192.0</v>
      </c>
      <c r="Q266" s="1" t="s">
        <v>32</v>
      </c>
      <c r="R266" s="1" t="s">
        <v>1342</v>
      </c>
      <c r="S266" s="1" t="s">
        <v>32</v>
      </c>
      <c r="W266" s="1">
        <v>0.0</v>
      </c>
      <c r="X266" s="1">
        <v>0.0</v>
      </c>
    </row>
    <row r="267" spans="1:24" ht="15.75" customHeight="1">
      <c r="A267" s="1">
        <v>4.081656E7</v>
      </c>
      <c r="B267" s="1" t="s">
        <v>1343</v>
      </c>
      <c r="C267" s="1" t="s">
        <v>1339</v>
      </c>
      <c r="D267" s="1" t="s">
        <v>1340</v>
      </c>
      <c r="F267" s="1" t="str">
        <f>"022660795X"</f>
        <v>022660795X</v>
      </c>
      <c r="G267" s="1" t="str">
        <f>"9780226607955"</f>
        <v>9780226607955</v>
      </c>
      <c r="H267" s="1">
        <v>0.0</v>
      </c>
      <c r="I267" s="1">
        <v>3.43</v>
      </c>
      <c r="J267" s="1" t="s">
        <v>78</v>
      </c>
      <c r="K267" s="1" t="s">
        <v>44</v>
      </c>
      <c r="L267" s="1">
        <v>256.0</v>
      </c>
      <c r="M267" s="1">
        <v>2019.0</v>
      </c>
      <c r="P267" s="3">
        <v>44192.0</v>
      </c>
      <c r="Q267" s="1" t="s">
        <v>32</v>
      </c>
      <c r="R267" s="1" t="s">
        <v>1344</v>
      </c>
      <c r="S267" s="1" t="s">
        <v>32</v>
      </c>
      <c r="W267" s="1">
        <v>0.0</v>
      </c>
      <c r="X267" s="1">
        <v>0.0</v>
      </c>
    </row>
    <row r="268" spans="1:24" ht="15.75" customHeight="1">
      <c r="A268" s="1">
        <v>7.5665931E7</v>
      </c>
      <c r="B268" s="1" t="s">
        <v>1345</v>
      </c>
      <c r="C268" s="1" t="s">
        <v>1346</v>
      </c>
      <c r="D268" s="1" t="s">
        <v>1347</v>
      </c>
      <c r="F268" s="1" t="str">
        <f>"0593654471"</f>
        <v>0593654471</v>
      </c>
      <c r="G268" s="1" t="str">
        <f>"9780593654477"</f>
        <v>9780593654477</v>
      </c>
      <c r="H268" s="1">
        <v>0.0</v>
      </c>
      <c r="I268" s="1">
        <v>4.37</v>
      </c>
      <c r="J268" s="1" t="s">
        <v>54</v>
      </c>
      <c r="K268" s="1" t="s">
        <v>37</v>
      </c>
      <c r="L268" s="1">
        <v>368.0</v>
      </c>
      <c r="M268" s="1">
        <v>2023.0</v>
      </c>
      <c r="N268" s="1">
        <v>2023.0</v>
      </c>
      <c r="P268" s="3">
        <v>45274.0</v>
      </c>
      <c r="Q268" s="1" t="s">
        <v>145</v>
      </c>
      <c r="R268" s="1" t="s">
        <v>1348</v>
      </c>
      <c r="S268" s="1" t="s">
        <v>32</v>
      </c>
      <c r="W268" s="1">
        <v>0.0</v>
      </c>
      <c r="X268" s="1">
        <v>0.0</v>
      </c>
    </row>
    <row r="269" spans="1:24" ht="15.75" customHeight="1">
      <c r="A269" s="1">
        <v>335989.0</v>
      </c>
      <c r="B269" s="1" t="s">
        <v>1349</v>
      </c>
      <c r="C269" s="1" t="s">
        <v>1350</v>
      </c>
      <c r="D269" s="1" t="s">
        <v>1351</v>
      </c>
      <c r="E269" s="1" t="s">
        <v>1352</v>
      </c>
      <c r="F269" s="1" t="str">
        <f>"0262730065"</f>
        <v>0262730065</v>
      </c>
      <c r="G269" s="1" t="str">
        <f>"9780262730068"</f>
        <v>9780262730068</v>
      </c>
      <c r="H269" s="1">
        <v>0.0</v>
      </c>
      <c r="I269" s="1">
        <v>3.96</v>
      </c>
      <c r="J269" s="1" t="s">
        <v>1353</v>
      </c>
      <c r="K269" s="1" t="s">
        <v>44</v>
      </c>
      <c r="L269" s="1">
        <v>290.0</v>
      </c>
      <c r="M269" s="1">
        <v>1964.0</v>
      </c>
      <c r="N269" s="1">
        <v>1956.0</v>
      </c>
      <c r="P269" s="2">
        <v>45163.0</v>
      </c>
      <c r="Q269" s="1" t="s">
        <v>32</v>
      </c>
      <c r="R269" s="1" t="s">
        <v>1354</v>
      </c>
      <c r="S269" s="1" t="s">
        <v>32</v>
      </c>
      <c r="W269" s="1">
        <v>0.0</v>
      </c>
      <c r="X269" s="1">
        <v>0.0</v>
      </c>
    </row>
    <row r="270" spans="1:24" ht="15.75" customHeight="1">
      <c r="A270" s="1">
        <v>1.2099263E8</v>
      </c>
      <c r="B270" s="1" t="s">
        <v>1355</v>
      </c>
      <c r="C270" s="1" t="s">
        <v>1356</v>
      </c>
      <c r="D270" s="1" t="s">
        <v>1357</v>
      </c>
      <c r="F270" s="1" t="str">
        <f>"1804290203"</f>
        <v>1804290203</v>
      </c>
      <c r="G270" s="1" t="str">
        <f>"9781804290200"</f>
        <v>9781804290200</v>
      </c>
      <c r="H270" s="1">
        <v>0.0</v>
      </c>
      <c r="I270" s="1">
        <v>4.24</v>
      </c>
      <c r="J270" s="1" t="s">
        <v>367</v>
      </c>
      <c r="K270" s="1" t="s">
        <v>420</v>
      </c>
      <c r="L270" s="1">
        <v>331.0</v>
      </c>
      <c r="M270" s="1">
        <v>2023.0</v>
      </c>
      <c r="P270" s="2">
        <v>45119.0</v>
      </c>
      <c r="Q270" s="1" t="s">
        <v>32</v>
      </c>
      <c r="R270" s="1" t="s">
        <v>1358</v>
      </c>
      <c r="S270" s="1" t="s">
        <v>32</v>
      </c>
      <c r="W270" s="1">
        <v>0.0</v>
      </c>
      <c r="X270" s="1">
        <v>0.0</v>
      </c>
    </row>
    <row r="271" spans="1:24" ht="15.75" customHeight="1">
      <c r="A271" s="1">
        <v>1067210.0</v>
      </c>
      <c r="B271" s="1" t="s">
        <v>1359</v>
      </c>
      <c r="C271" s="1" t="s">
        <v>1360</v>
      </c>
      <c r="D271" s="1" t="s">
        <v>1361</v>
      </c>
      <c r="F271" s="1" t="str">
        <f>"0882252992"</f>
        <v>0882252992</v>
      </c>
      <c r="G271" s="1" t="str">
        <f>"9780882252995"</f>
        <v>9780882252995</v>
      </c>
      <c r="H271" s="1">
        <v>0.0</v>
      </c>
      <c r="I271" s="1">
        <v>3.96</v>
      </c>
      <c r="J271" s="1" t="s">
        <v>1362</v>
      </c>
      <c r="K271" s="1" t="s">
        <v>37</v>
      </c>
      <c r="L271" s="1">
        <v>352.0</v>
      </c>
      <c r="M271" s="1">
        <v>1981.0</v>
      </c>
      <c r="N271" s="1">
        <v>1981.0</v>
      </c>
      <c r="P271" s="2">
        <v>45140.0</v>
      </c>
      <c r="Q271" s="1" t="s">
        <v>32</v>
      </c>
      <c r="R271" s="1" t="s">
        <v>1363</v>
      </c>
      <c r="S271" s="1" t="s">
        <v>32</v>
      </c>
      <c r="W271" s="1">
        <v>0.0</v>
      </c>
      <c r="X271" s="1">
        <v>0.0</v>
      </c>
    </row>
    <row r="272" spans="1:24" ht="15.75" customHeight="1">
      <c r="A272" s="1">
        <v>2.0231805E7</v>
      </c>
      <c r="B272" s="1" t="s">
        <v>1364</v>
      </c>
      <c r="C272" s="1" t="s">
        <v>1360</v>
      </c>
      <c r="D272" s="1" t="s">
        <v>1361</v>
      </c>
      <c r="F272" s="1" t="str">
        <f t="shared" si="20" ref="F272:G272">""</f>
        <v/>
      </c>
      <c r="G272" s="1" t="str">
        <f t="shared" si="20"/>
        <v/>
      </c>
      <c r="H272" s="1">
        <v>0.0</v>
      </c>
      <c r="I272" s="1">
        <v>3.74</v>
      </c>
      <c r="J272" s="1" t="s">
        <v>622</v>
      </c>
      <c r="K272" s="1" t="s">
        <v>29</v>
      </c>
      <c r="L272" s="1">
        <v>384.0</v>
      </c>
      <c r="M272" s="1">
        <v>2005.0</v>
      </c>
      <c r="N272" s="1">
        <v>2005.0</v>
      </c>
      <c r="P272" s="2">
        <v>45140.0</v>
      </c>
      <c r="Q272" s="1" t="s">
        <v>32</v>
      </c>
      <c r="R272" s="1" t="s">
        <v>1365</v>
      </c>
      <c r="S272" s="1" t="s">
        <v>32</v>
      </c>
      <c r="W272" s="1">
        <v>0.0</v>
      </c>
      <c r="X272" s="1">
        <v>0.0</v>
      </c>
    </row>
    <row r="273" spans="1:24" ht="15.75" customHeight="1">
      <c r="A273" s="1">
        <v>6.114983E7</v>
      </c>
      <c r="B273" s="1" t="s">
        <v>1366</v>
      </c>
      <c r="C273" s="1" t="s">
        <v>1367</v>
      </c>
      <c r="D273" s="1" t="s">
        <v>1368</v>
      </c>
      <c r="E273" s="1" t="s">
        <v>1369</v>
      </c>
      <c r="F273" s="1" t="str">
        <f>"1681376741"</f>
        <v>1681376741</v>
      </c>
      <c r="G273" s="1" t="str">
        <f>"9781681376745"</f>
        <v>9781681376745</v>
      </c>
      <c r="H273" s="1">
        <v>0.0</v>
      </c>
      <c r="I273" s="1">
        <v>3.79</v>
      </c>
      <c r="J273" s="1" t="s">
        <v>204</v>
      </c>
      <c r="K273" s="1" t="s">
        <v>44</v>
      </c>
      <c r="L273" s="1">
        <v>200.0</v>
      </c>
      <c r="M273" s="1">
        <v>2023.0</v>
      </c>
      <c r="N273" s="1">
        <v>1963.0</v>
      </c>
      <c r="P273" s="2">
        <v>45102.0</v>
      </c>
      <c r="Q273" s="1" t="s">
        <v>502</v>
      </c>
      <c r="R273" s="1" t="s">
        <v>1370</v>
      </c>
      <c r="S273" s="1" t="s">
        <v>32</v>
      </c>
      <c r="W273" s="1">
        <v>0.0</v>
      </c>
      <c r="X273" s="1">
        <v>0.0</v>
      </c>
    </row>
    <row r="274" spans="1:24" ht="15.75" customHeight="1">
      <c r="A274" s="1">
        <v>2598819.0</v>
      </c>
      <c r="B274" s="1" t="s">
        <v>1371</v>
      </c>
      <c r="C274" s="1" t="s">
        <v>1372</v>
      </c>
      <c r="D274" s="1" t="s">
        <v>1373</v>
      </c>
      <c r="E274" s="1" t="s">
        <v>955</v>
      </c>
      <c r="F274" s="1" t="str">
        <f>"0520256433"</f>
        <v>0520256433</v>
      </c>
      <c r="G274" s="1" t="str">
        <f>"9780520256439"</f>
        <v>9780520256439</v>
      </c>
      <c r="H274" s="1">
        <v>0.0</v>
      </c>
      <c r="I274" s="1">
        <v>4.18</v>
      </c>
      <c r="J274" s="1" t="s">
        <v>552</v>
      </c>
      <c r="K274" s="1" t="s">
        <v>44</v>
      </c>
      <c r="L274" s="1">
        <v>254.0</v>
      </c>
      <c r="M274" s="1">
        <v>2008.0</v>
      </c>
      <c r="N274" s="1">
        <v>1993.0</v>
      </c>
      <c r="P274" s="2">
        <v>45136.0</v>
      </c>
      <c r="Q274" s="1" t="s">
        <v>32</v>
      </c>
      <c r="R274" s="1" t="s">
        <v>1374</v>
      </c>
      <c r="S274" s="1" t="s">
        <v>32</v>
      </c>
      <c r="W274" s="1">
        <v>0.0</v>
      </c>
      <c r="X274" s="1">
        <v>0.0</v>
      </c>
    </row>
    <row r="275" spans="1:24" ht="15.75" customHeight="1">
      <c r="A275" s="1">
        <v>4.1081373E7</v>
      </c>
      <c r="B275" s="1" t="s">
        <v>1375</v>
      </c>
      <c r="C275" s="1" t="s">
        <v>1376</v>
      </c>
      <c r="D275" s="1" t="s">
        <v>1377</v>
      </c>
      <c r="F275" s="1" t="str">
        <f>"0241364906"</f>
        <v>0241364906</v>
      </c>
      <c r="G275" s="1" t="str">
        <f>"9780241364901"</f>
        <v>9780241364901</v>
      </c>
      <c r="H275" s="1">
        <v>0.0</v>
      </c>
      <c r="I275" s="1">
        <v>4.29</v>
      </c>
      <c r="J275" s="1" t="s">
        <v>1378</v>
      </c>
      <c r="K275" s="1" t="s">
        <v>29</v>
      </c>
      <c r="L275" s="1">
        <v>453.0</v>
      </c>
      <c r="M275" s="1">
        <v>2019.0</v>
      </c>
      <c r="N275" s="1">
        <v>2019.0</v>
      </c>
      <c r="P275" s="2">
        <v>45111.0</v>
      </c>
      <c r="Q275" s="1" t="s">
        <v>261</v>
      </c>
      <c r="R275" s="1" t="s">
        <v>1379</v>
      </c>
      <c r="S275" s="1" t="s">
        <v>32</v>
      </c>
      <c r="W275" s="1">
        <v>0.0</v>
      </c>
      <c r="X275" s="1">
        <v>0.0</v>
      </c>
    </row>
    <row r="276" spans="1:24" ht="15.75" customHeight="1">
      <c r="A276" s="1">
        <v>1.19023489E8</v>
      </c>
      <c r="B276" s="1" t="s">
        <v>1380</v>
      </c>
      <c r="C276" s="1" t="s">
        <v>1381</v>
      </c>
      <c r="D276" s="1" t="s">
        <v>1382</v>
      </c>
      <c r="F276" s="1" t="str">
        <f>"1681377284"</f>
        <v>1681377284</v>
      </c>
      <c r="G276" s="1" t="str">
        <f>"9781681377285"</f>
        <v>9781681377285</v>
      </c>
      <c r="H276" s="1">
        <v>0.0</v>
      </c>
      <c r="I276" s="1">
        <v>3.77</v>
      </c>
      <c r="J276" s="1" t="s">
        <v>823</v>
      </c>
      <c r="K276" s="1" t="s">
        <v>44</v>
      </c>
      <c r="L276" s="1">
        <v>224.0</v>
      </c>
      <c r="M276" s="1">
        <v>2023.0</v>
      </c>
      <c r="N276" s="1">
        <v>2021.0</v>
      </c>
      <c r="P276" s="2">
        <v>45102.0</v>
      </c>
      <c r="Q276" s="1" t="s">
        <v>818</v>
      </c>
      <c r="R276" s="1" t="s">
        <v>1383</v>
      </c>
      <c r="S276" s="1" t="s">
        <v>32</v>
      </c>
      <c r="W276" s="1">
        <v>0.0</v>
      </c>
      <c r="X276" s="1">
        <v>1.0</v>
      </c>
    </row>
    <row r="277" spans="1:24" ht="15.75" customHeight="1">
      <c r="A277" s="1">
        <v>1565490.0</v>
      </c>
      <c r="B277" s="1" t="s">
        <v>1384</v>
      </c>
      <c r="C277" s="1" t="s">
        <v>1385</v>
      </c>
      <c r="D277" s="1" t="s">
        <v>1386</v>
      </c>
      <c r="F277" s="1" t="str">
        <f>"0349130221"</f>
        <v>0349130221</v>
      </c>
      <c r="G277" s="1" t="str">
        <f>"9780349130224"</f>
        <v>9780349130224</v>
      </c>
      <c r="H277" s="1">
        <v>0.0</v>
      </c>
      <c r="I277" s="1">
        <v>3.67</v>
      </c>
      <c r="J277" s="1" t="s">
        <v>1387</v>
      </c>
      <c r="K277" s="1" t="s">
        <v>44</v>
      </c>
      <c r="L277" s="1">
        <v>240.0</v>
      </c>
      <c r="M277" s="1">
        <v>1991.0</v>
      </c>
      <c r="N277" s="1">
        <v>1969.0</v>
      </c>
      <c r="P277" s="2">
        <v>45111.0</v>
      </c>
      <c r="Q277" s="1" t="s">
        <v>70</v>
      </c>
      <c r="R277" s="1" t="s">
        <v>1388</v>
      </c>
      <c r="S277" s="1" t="s">
        <v>32</v>
      </c>
      <c r="W277" s="1">
        <v>0.0</v>
      </c>
      <c r="X277" s="1">
        <v>0.0</v>
      </c>
    </row>
    <row r="278" spans="1:24" ht="15.75" customHeight="1">
      <c r="A278" s="1">
        <v>1.6234597E7</v>
      </c>
      <c r="B278" s="1" t="s">
        <v>1389</v>
      </c>
      <c r="C278" s="1" t="s">
        <v>1390</v>
      </c>
      <c r="D278" s="1" t="s">
        <v>1391</v>
      </c>
      <c r="E278" s="1" t="s">
        <v>1392</v>
      </c>
      <c r="F278" s="1" t="str">
        <f>"087140673X"</f>
        <v>087140673X</v>
      </c>
      <c r="G278" s="1" t="str">
        <f>"9780871406736"</f>
        <v>9780871406736</v>
      </c>
      <c r="H278" s="1">
        <v>0.0</v>
      </c>
      <c r="I278" s="1">
        <v>4.02</v>
      </c>
      <c r="J278" s="1" t="s">
        <v>643</v>
      </c>
      <c r="K278" s="1" t="s">
        <v>44</v>
      </c>
      <c r="L278" s="1">
        <v>224.0</v>
      </c>
      <c r="M278" s="1">
        <v>2013.0</v>
      </c>
      <c r="N278" s="1">
        <v>1930.0</v>
      </c>
      <c r="P278" s="2">
        <v>45113.0</v>
      </c>
      <c r="Q278" s="1" t="s">
        <v>1207</v>
      </c>
      <c r="R278" s="1" t="s">
        <v>1393</v>
      </c>
      <c r="S278" s="1" t="s">
        <v>32</v>
      </c>
      <c r="W278" s="1">
        <v>0.0</v>
      </c>
      <c r="X278" s="1">
        <v>1.0</v>
      </c>
    </row>
    <row r="279" spans="1:24" ht="15.75" customHeight="1">
      <c r="A279" s="1">
        <v>8461105.0</v>
      </c>
      <c r="B279" s="1" t="s">
        <v>1394</v>
      </c>
      <c r="C279" s="1" t="s">
        <v>1395</v>
      </c>
      <c r="D279" s="1" t="s">
        <v>1396</v>
      </c>
      <c r="F279" s="1" t="str">
        <f>"1400041791"</f>
        <v>1400041791</v>
      </c>
      <c r="G279" s="1" t="str">
        <f>"9781400041794"</f>
        <v>9781400041794</v>
      </c>
      <c r="H279" s="1">
        <v>0.0</v>
      </c>
      <c r="I279" s="1">
        <v>4.0</v>
      </c>
      <c r="J279" s="1" t="s">
        <v>1397</v>
      </c>
      <c r="K279" s="1" t="s">
        <v>37</v>
      </c>
      <c r="L279" s="1">
        <v>528.0</v>
      </c>
      <c r="M279" s="1">
        <v>2011.0</v>
      </c>
      <c r="N279" s="1">
        <v>2010.0</v>
      </c>
      <c r="P279" s="2">
        <v>45151.0</v>
      </c>
      <c r="Q279" s="1" t="s">
        <v>109</v>
      </c>
      <c r="R279" s="1" t="s">
        <v>1398</v>
      </c>
      <c r="S279" s="1" t="s">
        <v>32</v>
      </c>
      <c r="W279" s="1">
        <v>0.0</v>
      </c>
      <c r="X279" s="1">
        <v>0.0</v>
      </c>
    </row>
    <row r="280" spans="1:24" ht="15.75" customHeight="1">
      <c r="A280" s="1">
        <v>1.7573685E7</v>
      </c>
      <c r="B280" s="1" t="s">
        <v>1399</v>
      </c>
      <c r="C280" s="1" t="s">
        <v>1400</v>
      </c>
      <c r="D280" s="1" t="s">
        <v>1401</v>
      </c>
      <c r="E280" s="1" t="s">
        <v>1402</v>
      </c>
      <c r="F280" s="1" t="str">
        <f>"0393346781"</f>
        <v>0393346781</v>
      </c>
      <c r="G280" s="1" t="str">
        <f>"9780393346787"</f>
        <v>9780393346787</v>
      </c>
      <c r="H280" s="1">
        <v>0.0</v>
      </c>
      <c r="I280" s="1">
        <v>3.87</v>
      </c>
      <c r="J280" s="1" t="s">
        <v>248</v>
      </c>
      <c r="K280" s="1" t="s">
        <v>44</v>
      </c>
      <c r="L280" s="1">
        <v>562.0</v>
      </c>
      <c r="M280" s="1">
        <v>2013.0</v>
      </c>
      <c r="N280" s="1">
        <v>1963.0</v>
      </c>
      <c r="P280" s="2">
        <v>44808.0</v>
      </c>
      <c r="Q280" s="1" t="s">
        <v>32</v>
      </c>
      <c r="R280" s="1" t="s">
        <v>1403</v>
      </c>
      <c r="S280" s="1" t="s">
        <v>32</v>
      </c>
      <c r="W280" s="1">
        <v>0.0</v>
      </c>
      <c r="X280" s="1">
        <v>0.0</v>
      </c>
    </row>
    <row r="281" spans="1:24" ht="15.75" customHeight="1">
      <c r="A281" s="1">
        <v>9791.0</v>
      </c>
      <c r="B281" s="1" t="s">
        <v>1404</v>
      </c>
      <c r="C281" s="1" t="s">
        <v>1405</v>
      </c>
      <c r="D281" s="1" t="s">
        <v>1406</v>
      </c>
      <c r="F281" s="1" t="str">
        <f>"0307279464"</f>
        <v>0307279464</v>
      </c>
      <c r="G281" s="1" t="str">
        <f>"9780307279460"</f>
        <v>9780307279460</v>
      </c>
      <c r="H281" s="1">
        <v>0.0</v>
      </c>
      <c r="I281" s="1">
        <v>4.06</v>
      </c>
      <c r="J281" s="1" t="s">
        <v>287</v>
      </c>
      <c r="K281" s="1" t="s">
        <v>1225</v>
      </c>
      <c r="L281" s="1">
        <v>397.0</v>
      </c>
      <c r="M281" s="1">
        <v>2006.0</v>
      </c>
      <c r="N281" s="1">
        <v>1998.0</v>
      </c>
      <c r="P281" s="2">
        <v>45163.0</v>
      </c>
      <c r="Q281" s="1" t="s">
        <v>32</v>
      </c>
      <c r="R281" s="1" t="s">
        <v>1407</v>
      </c>
      <c r="S281" s="1" t="s">
        <v>32</v>
      </c>
      <c r="W281" s="1">
        <v>0.0</v>
      </c>
      <c r="X281" s="1">
        <v>0.0</v>
      </c>
    </row>
    <row r="282" spans="1:24" ht="15.75" customHeight="1">
      <c r="A282" s="1">
        <v>3.2946574E7</v>
      </c>
      <c r="B282" s="1" t="s">
        <v>1408</v>
      </c>
      <c r="C282" s="1" t="s">
        <v>1409</v>
      </c>
      <c r="D282" s="1" t="s">
        <v>1410</v>
      </c>
      <c r="F282" s="1" t="str">
        <f>"0091210119"</f>
        <v>0091210119</v>
      </c>
      <c r="G282" s="1" t="str">
        <f>"9780091210113"</f>
        <v>9780091210113</v>
      </c>
      <c r="H282" s="1">
        <v>0.0</v>
      </c>
      <c r="I282" s="1">
        <v>2.67</v>
      </c>
      <c r="J282" s="1" t="s">
        <v>1411</v>
      </c>
      <c r="K282" s="1" t="s">
        <v>44</v>
      </c>
      <c r="L282" s="1">
        <v>254.0</v>
      </c>
      <c r="M282" s="1">
        <v>1975.0</v>
      </c>
      <c r="N282" s="1">
        <v>1975.0</v>
      </c>
      <c r="P282" s="3">
        <v>44908.0</v>
      </c>
      <c r="Q282" s="1" t="s">
        <v>32</v>
      </c>
      <c r="R282" s="1" t="s">
        <v>1412</v>
      </c>
      <c r="S282" s="1" t="s">
        <v>32</v>
      </c>
      <c r="W282" s="1">
        <v>0.0</v>
      </c>
      <c r="X282" s="1">
        <v>0.0</v>
      </c>
    </row>
    <row r="283" spans="1:24" ht="15.75" customHeight="1">
      <c r="A283" s="1">
        <v>550912.0</v>
      </c>
      <c r="B283" s="1" t="s">
        <v>1413</v>
      </c>
      <c r="C283" s="1" t="s">
        <v>1414</v>
      </c>
      <c r="D283" s="1" t="s">
        <v>1415</v>
      </c>
      <c r="F283" s="1" t="str">
        <f>"0345456874"</f>
        <v>0345456874</v>
      </c>
      <c r="G283" s="1" t="str">
        <f>"9780345456878"</f>
        <v>9780345456878</v>
      </c>
      <c r="H283" s="1">
        <v>0.0</v>
      </c>
      <c r="I283" s="1">
        <v>3.77</v>
      </c>
      <c r="J283" s="1" t="s">
        <v>1416</v>
      </c>
      <c r="K283" s="1" t="s">
        <v>37</v>
      </c>
      <c r="L283" s="1">
        <v>304.0</v>
      </c>
      <c r="M283" s="1">
        <v>2005.0</v>
      </c>
      <c r="N283" s="1">
        <v>2005.0</v>
      </c>
      <c r="P283" s="3">
        <v>44192.0</v>
      </c>
      <c r="Q283" s="1" t="s">
        <v>32</v>
      </c>
      <c r="R283" s="1" t="s">
        <v>1417</v>
      </c>
      <c r="S283" s="1" t="s">
        <v>32</v>
      </c>
      <c r="W283" s="1">
        <v>0.0</v>
      </c>
      <c r="X283" s="1">
        <v>0.0</v>
      </c>
    </row>
    <row r="284" spans="1:24" ht="15.75" customHeight="1">
      <c r="A284" s="1">
        <v>1378145.0</v>
      </c>
      <c r="B284" s="1" t="s">
        <v>1418</v>
      </c>
      <c r="C284" s="1" t="s">
        <v>1414</v>
      </c>
      <c r="D284" s="1" t="s">
        <v>1415</v>
      </c>
      <c r="F284" s="1" t="str">
        <f>"0671028146"</f>
        <v>0671028146</v>
      </c>
      <c r="G284" s="1" t="str">
        <f>"9780671028145"</f>
        <v>9780671028145</v>
      </c>
      <c r="H284" s="1">
        <v>0.0</v>
      </c>
      <c r="I284" s="1">
        <v>3.73</v>
      </c>
      <c r="J284" s="1" t="s">
        <v>1419</v>
      </c>
      <c r="K284" s="1" t="s">
        <v>37</v>
      </c>
      <c r="L284" s="1">
        <v>368.0</v>
      </c>
      <c r="M284" s="1">
        <v>2001.0</v>
      </c>
      <c r="N284" s="1">
        <v>2001.0</v>
      </c>
      <c r="P284" s="3">
        <v>44192.0</v>
      </c>
      <c r="Q284" s="1" t="s">
        <v>32</v>
      </c>
      <c r="R284" s="1" t="s">
        <v>1420</v>
      </c>
      <c r="S284" s="1" t="s">
        <v>32</v>
      </c>
      <c r="W284" s="1">
        <v>0.0</v>
      </c>
      <c r="X284" s="1">
        <v>0.0</v>
      </c>
    </row>
    <row r="285" spans="1:24" ht="15.75" customHeight="1">
      <c r="A285" s="1">
        <v>81661.0</v>
      </c>
      <c r="B285" s="1" t="s">
        <v>1421</v>
      </c>
      <c r="C285" s="1" t="s">
        <v>1422</v>
      </c>
      <c r="D285" s="1" t="s">
        <v>1423</v>
      </c>
      <c r="F285" s="1" t="str">
        <f>"0670037966"</f>
        <v>0670037966</v>
      </c>
      <c r="G285" s="1" t="str">
        <f>"9780670037964"</f>
        <v>9780670037964</v>
      </c>
      <c r="H285" s="1">
        <v>0.0</v>
      </c>
      <c r="I285" s="1">
        <v>4.18</v>
      </c>
      <c r="J285" s="1" t="s">
        <v>1424</v>
      </c>
      <c r="K285" s="1" t="s">
        <v>37</v>
      </c>
      <c r="L285" s="1">
        <v>720.0</v>
      </c>
      <c r="M285" s="1">
        <v>2006.0</v>
      </c>
      <c r="N285" s="1">
        <v>2006.0</v>
      </c>
      <c r="P285" s="2">
        <v>42544.0</v>
      </c>
      <c r="Q285" s="1" t="s">
        <v>109</v>
      </c>
      <c r="R285" s="1" t="s">
        <v>1425</v>
      </c>
      <c r="S285" s="1" t="s">
        <v>32</v>
      </c>
      <c r="W285" s="1">
        <v>0.0</v>
      </c>
      <c r="X285" s="1">
        <v>0.0</v>
      </c>
    </row>
    <row r="286" spans="1:24" ht="15.75" customHeight="1">
      <c r="A286" s="1">
        <v>1.3403051E7</v>
      </c>
      <c r="B286" s="1" t="s">
        <v>1426</v>
      </c>
      <c r="C286" s="1" t="s">
        <v>1427</v>
      </c>
      <c r="D286" s="1" t="s">
        <v>1428</v>
      </c>
      <c r="E286" s="1" t="s">
        <v>1429</v>
      </c>
      <c r="F286" s="1" t="str">
        <f>"0670023736"</f>
        <v>0670023736</v>
      </c>
      <c r="G286" s="1" t="str">
        <f>"9780670023738"</f>
        <v>9780670023738</v>
      </c>
      <c r="H286" s="1">
        <v>0.0</v>
      </c>
      <c r="I286" s="1">
        <v>3.71</v>
      </c>
      <c r="J286" s="1" t="s">
        <v>1137</v>
      </c>
      <c r="K286" s="1" t="s">
        <v>37</v>
      </c>
      <c r="L286" s="1">
        <v>275.0</v>
      </c>
      <c r="M286" s="1">
        <v>2012.0</v>
      </c>
      <c r="N286" s="1">
        <v>2012.0</v>
      </c>
      <c r="P286" s="2">
        <v>44205.0</v>
      </c>
      <c r="Q286" s="1" t="s">
        <v>138</v>
      </c>
      <c r="R286" s="1" t="s">
        <v>1430</v>
      </c>
      <c r="S286" s="1" t="s">
        <v>32</v>
      </c>
      <c r="W286" s="1">
        <v>0.0</v>
      </c>
      <c r="X286" s="1">
        <v>0.0</v>
      </c>
    </row>
    <row r="287" spans="1:24" ht="15.75" customHeight="1">
      <c r="A287" s="1">
        <v>24406.0</v>
      </c>
      <c r="B287" s="1" t="s">
        <v>1431</v>
      </c>
      <c r="C287" s="1" t="s">
        <v>1432</v>
      </c>
      <c r="D287" s="1" t="s">
        <v>1433</v>
      </c>
      <c r="F287" s="1" t="str">
        <f>"155728024X"</f>
        <v>155728024X</v>
      </c>
      <c r="G287" s="1" t="str">
        <f>"9781557280244"</f>
        <v>9781557280244</v>
      </c>
      <c r="H287" s="1">
        <v>0.0</v>
      </c>
      <c r="I287" s="1">
        <v>4.18</v>
      </c>
      <c r="J287" s="1" t="s">
        <v>1434</v>
      </c>
      <c r="K287" s="1" t="s">
        <v>44</v>
      </c>
      <c r="L287" s="1">
        <v>61.0</v>
      </c>
      <c r="M287" s="1">
        <v>1988.0</v>
      </c>
      <c r="N287" s="1">
        <v>1988.0</v>
      </c>
      <c r="P287" s="2">
        <v>43961.0</v>
      </c>
      <c r="Q287" s="1" t="s">
        <v>32</v>
      </c>
      <c r="R287" s="1" t="s">
        <v>1435</v>
      </c>
      <c r="S287" s="1" t="s">
        <v>32</v>
      </c>
      <c r="W287" s="1">
        <v>0.0</v>
      </c>
      <c r="X287" s="1">
        <v>0.0</v>
      </c>
    </row>
    <row r="288" spans="1:24" ht="15.75" customHeight="1">
      <c r="A288" s="1">
        <v>4.3424859E7</v>
      </c>
      <c r="B288" s="1" t="s">
        <v>1436</v>
      </c>
      <c r="C288" s="1" t="s">
        <v>1437</v>
      </c>
      <c r="D288" s="1" t="s">
        <v>1438</v>
      </c>
      <c r="E288" s="1" t="s">
        <v>1439</v>
      </c>
      <c r="F288" s="1" t="str">
        <f>"1931883858"</f>
        <v>1931883858</v>
      </c>
      <c r="G288" s="1" t="str">
        <f>"9781931883856"</f>
        <v>9781931883856</v>
      </c>
      <c r="H288" s="1">
        <v>4.0</v>
      </c>
      <c r="I288" s="1">
        <v>3.54</v>
      </c>
      <c r="J288" s="1" t="s">
        <v>1440</v>
      </c>
      <c r="K288" s="1" t="s">
        <v>44</v>
      </c>
      <c r="L288" s="1">
        <v>120.0</v>
      </c>
      <c r="M288" s="1">
        <v>2019.0</v>
      </c>
      <c r="N288" s="1">
        <v>2011.0</v>
      </c>
      <c r="O288" s="3">
        <v>44186.0</v>
      </c>
      <c r="P288" s="3">
        <v>44179.0</v>
      </c>
      <c r="Q288" s="1" t="s">
        <v>594</v>
      </c>
      <c r="R288" s="1" t="s">
        <v>1441</v>
      </c>
      <c r="S288" s="1" t="s">
        <v>271</v>
      </c>
      <c r="W288" s="1">
        <v>1.0</v>
      </c>
      <c r="X288" s="1">
        <v>1.0</v>
      </c>
    </row>
    <row r="289" spans="1:24" ht="15.75" customHeight="1">
      <c r="A289" s="1">
        <v>27506.0</v>
      </c>
      <c r="B289" s="1" t="s">
        <v>1442</v>
      </c>
      <c r="C289" s="1" t="s">
        <v>1443</v>
      </c>
      <c r="D289" s="1" t="s">
        <v>1444</v>
      </c>
      <c r="F289" s="1" t="str">
        <f>"0743272234"</f>
        <v>0743272234</v>
      </c>
      <c r="G289" s="1" t="str">
        <f>"9780743272230"</f>
        <v>9780743272230</v>
      </c>
      <c r="H289" s="1">
        <v>0.0</v>
      </c>
      <c r="I289" s="1">
        <v>3.8</v>
      </c>
      <c r="J289" s="1" t="s">
        <v>622</v>
      </c>
      <c r="K289" s="1" t="s">
        <v>37</v>
      </c>
      <c r="L289" s="1">
        <v>576.0</v>
      </c>
      <c r="M289" s="1">
        <v>2006.0</v>
      </c>
      <c r="N289" s="1">
        <v>2006.0</v>
      </c>
      <c r="P289" s="3">
        <v>45278.0</v>
      </c>
      <c r="Q289" s="1" t="s">
        <v>479</v>
      </c>
      <c r="R289" s="1" t="s">
        <v>1445</v>
      </c>
      <c r="S289" s="1" t="s">
        <v>32</v>
      </c>
      <c r="W289" s="1">
        <v>0.0</v>
      </c>
      <c r="X289" s="1">
        <v>0.0</v>
      </c>
    </row>
    <row r="290" spans="1:24" ht="15.75" customHeight="1">
      <c r="A290" s="1">
        <v>4.3811348E7</v>
      </c>
      <c r="B290" s="1" t="s">
        <v>1446</v>
      </c>
      <c r="C290" s="1" t="s">
        <v>1447</v>
      </c>
      <c r="D290" s="1" t="s">
        <v>1448</v>
      </c>
      <c r="E290" s="1" t="s">
        <v>1449</v>
      </c>
      <c r="F290" s="1" t="str">
        <f>"0811228959"</f>
        <v>0811228959</v>
      </c>
      <c r="G290" s="1" t="str">
        <f>"9780811228954"</f>
        <v>9780811228954</v>
      </c>
      <c r="H290" s="1">
        <v>0.0</v>
      </c>
      <c r="I290" s="1">
        <v>3.58</v>
      </c>
      <c r="J290" s="1" t="s">
        <v>419</v>
      </c>
      <c r="K290" s="1" t="s">
        <v>37</v>
      </c>
      <c r="L290" s="1">
        <v>96.0</v>
      </c>
      <c r="M290" s="1">
        <v>2019.0</v>
      </c>
      <c r="N290" s="1">
        <v>1983.0</v>
      </c>
      <c r="P290" s="2">
        <v>45078.0</v>
      </c>
      <c r="Q290" s="1" t="s">
        <v>109</v>
      </c>
      <c r="R290" s="1" t="s">
        <v>1450</v>
      </c>
      <c r="S290" s="1" t="s">
        <v>32</v>
      </c>
      <c r="W290" s="1">
        <v>0.0</v>
      </c>
      <c r="X290" s="1">
        <v>0.0</v>
      </c>
    </row>
    <row r="291" spans="1:24" ht="15.75" customHeight="1">
      <c r="A291" s="1">
        <v>87282.0</v>
      </c>
      <c r="B291" s="1" t="s">
        <v>1451</v>
      </c>
      <c r="C291" s="1" t="s">
        <v>1447</v>
      </c>
      <c r="D291" s="1" t="s">
        <v>1448</v>
      </c>
      <c r="E291" s="1" t="s">
        <v>1452</v>
      </c>
      <c r="F291" s="1" t="str">
        <f>"0810112787"</f>
        <v>0810112787</v>
      </c>
      <c r="G291" s="1" t="str">
        <f>"9780810112780"</f>
        <v>9780810112780</v>
      </c>
      <c r="H291" s="1">
        <v>0.0</v>
      </c>
      <c r="I291" s="1">
        <v>3.75</v>
      </c>
      <c r="J291" s="1" t="s">
        <v>229</v>
      </c>
      <c r="K291" s="1" t="s">
        <v>44</v>
      </c>
      <c r="L291" s="1">
        <v>85.0</v>
      </c>
      <c r="M291" s="1">
        <v>1995.0</v>
      </c>
      <c r="N291" s="1">
        <v>1965.0</v>
      </c>
      <c r="P291" s="2">
        <v>45151.0</v>
      </c>
      <c r="Q291" s="1" t="s">
        <v>32</v>
      </c>
      <c r="R291" s="1" t="s">
        <v>1453</v>
      </c>
      <c r="S291" s="1" t="s">
        <v>32</v>
      </c>
      <c r="W291" s="1">
        <v>0.0</v>
      </c>
      <c r="X291" s="1">
        <v>0.0</v>
      </c>
    </row>
    <row r="292" spans="1:24" ht="15.75" customHeight="1">
      <c r="A292" s="1">
        <v>1.6178093E7</v>
      </c>
      <c r="B292" s="1" t="s">
        <v>1454</v>
      </c>
      <c r="C292" s="1" t="s">
        <v>1455</v>
      </c>
      <c r="D292" s="1" t="s">
        <v>1456</v>
      </c>
      <c r="F292" s="1" t="str">
        <f>"0091944317"</f>
        <v>0091944317</v>
      </c>
      <c r="G292" s="1" t="str">
        <f>"9780091944315"</f>
        <v>9780091944315</v>
      </c>
      <c r="H292" s="1">
        <v>0.0</v>
      </c>
      <c r="I292" s="1">
        <v>3.43</v>
      </c>
      <c r="J292" s="1" t="s">
        <v>1457</v>
      </c>
      <c r="K292" s="1" t="s">
        <v>44</v>
      </c>
      <c r="L292" s="1">
        <v>288.0</v>
      </c>
      <c r="M292" s="1">
        <v>2012.0</v>
      </c>
      <c r="N292" s="1">
        <v>2011.0</v>
      </c>
      <c r="P292" s="2">
        <v>41545.0</v>
      </c>
      <c r="Q292" s="1" t="s">
        <v>32</v>
      </c>
      <c r="R292" s="1" t="s">
        <v>1458</v>
      </c>
      <c r="S292" s="1" t="s">
        <v>32</v>
      </c>
      <c r="W292" s="1">
        <v>0.0</v>
      </c>
      <c r="X292" s="1">
        <v>0.0</v>
      </c>
    </row>
    <row r="293" spans="1:24" ht="15.75" customHeight="1">
      <c r="A293" s="1">
        <v>314377.0</v>
      </c>
      <c r="B293" s="1" t="s">
        <v>1459</v>
      </c>
      <c r="C293" s="1" t="s">
        <v>1460</v>
      </c>
      <c r="D293" s="1" t="s">
        <v>1461</v>
      </c>
      <c r="F293" s="1" t="str">
        <f>"0853458928"</f>
        <v>0853458928</v>
      </c>
      <c r="G293" s="1" t="str">
        <f>"9780853458920"</f>
        <v>9780853458920</v>
      </c>
      <c r="H293" s="1">
        <v>0.0</v>
      </c>
      <c r="I293" s="1">
        <v>4.5</v>
      </c>
      <c r="J293" s="1" t="s">
        <v>1462</v>
      </c>
      <c r="K293" s="1" t="s">
        <v>44</v>
      </c>
      <c r="L293" s="1">
        <v>224.0</v>
      </c>
      <c r="M293" s="1">
        <v>1994.0</v>
      </c>
      <c r="N293" s="1">
        <v>1994.0</v>
      </c>
      <c r="P293" s="3">
        <v>45274.0</v>
      </c>
      <c r="Q293" s="1" t="s">
        <v>479</v>
      </c>
      <c r="R293" s="1" t="s">
        <v>1463</v>
      </c>
      <c r="S293" s="1" t="s">
        <v>32</v>
      </c>
      <c r="W293" s="1">
        <v>0.0</v>
      </c>
      <c r="X293" s="1">
        <v>0.0</v>
      </c>
    </row>
    <row r="294" spans="1:24" ht="15.75" customHeight="1">
      <c r="A294" s="1">
        <v>2.7843368E7</v>
      </c>
      <c r="B294" s="1" t="s">
        <v>1464</v>
      </c>
      <c r="C294" s="1" t="s">
        <v>1465</v>
      </c>
      <c r="D294" s="1" t="s">
        <v>1466</v>
      </c>
      <c r="F294" s="1" t="str">
        <f>"0299278735"</f>
        <v>0299278735</v>
      </c>
      <c r="G294" s="1" t="str">
        <f>"9780299278731"</f>
        <v>9780299278731</v>
      </c>
      <c r="H294" s="1">
        <v>0.0</v>
      </c>
      <c r="I294" s="1">
        <v>0.0</v>
      </c>
      <c r="J294" s="1" t="s">
        <v>1467</v>
      </c>
      <c r="K294" s="1" t="s">
        <v>29</v>
      </c>
      <c r="L294" s="1">
        <v>244.0</v>
      </c>
      <c r="M294" s="1">
        <v>2011.0</v>
      </c>
      <c r="N294" s="1">
        <v>2011.0</v>
      </c>
      <c r="P294" s="2">
        <v>45136.0</v>
      </c>
      <c r="Q294" s="1" t="s">
        <v>32</v>
      </c>
      <c r="R294" s="1" t="s">
        <v>1468</v>
      </c>
      <c r="S294" s="1" t="s">
        <v>32</v>
      </c>
      <c r="W294" s="1">
        <v>0.0</v>
      </c>
      <c r="X294" s="1">
        <v>0.0</v>
      </c>
    </row>
    <row r="295" spans="1:24" ht="15.75" customHeight="1">
      <c r="A295" s="1">
        <v>1873962.0</v>
      </c>
      <c r="B295" s="1" t="s">
        <v>1469</v>
      </c>
      <c r="C295" s="1" t="s">
        <v>1470</v>
      </c>
      <c r="D295" s="1" t="s">
        <v>1471</v>
      </c>
      <c r="E295" s="1" t="s">
        <v>1472</v>
      </c>
      <c r="F295" s="1" t="str">
        <f>"0292704844"</f>
        <v>0292704844</v>
      </c>
      <c r="G295" s="1" t="str">
        <f>"9780292704848"</f>
        <v>9780292704848</v>
      </c>
      <c r="H295" s="1">
        <v>0.0</v>
      </c>
      <c r="I295" s="1">
        <v>4.3</v>
      </c>
      <c r="J295" s="1" t="s">
        <v>1473</v>
      </c>
      <c r="K295" s="1" t="s">
        <v>44</v>
      </c>
      <c r="L295" s="1">
        <v>267.0</v>
      </c>
      <c r="M295" s="1">
        <v>1998.0</v>
      </c>
      <c r="N295" s="1">
        <v>1986.0</v>
      </c>
      <c r="P295" s="3">
        <v>45271.0</v>
      </c>
      <c r="Q295" s="1" t="s">
        <v>479</v>
      </c>
      <c r="R295" s="1" t="s">
        <v>1474</v>
      </c>
      <c r="S295" s="1" t="s">
        <v>32</v>
      </c>
      <c r="W295" s="1">
        <v>0.0</v>
      </c>
      <c r="X295" s="1">
        <v>0.0</v>
      </c>
    </row>
    <row r="296" spans="1:24" ht="15.75" customHeight="1">
      <c r="A296" s="1">
        <v>5.9651372E7</v>
      </c>
      <c r="B296" s="1" t="s">
        <v>1475</v>
      </c>
      <c r="C296" s="1" t="s">
        <v>1476</v>
      </c>
      <c r="D296" s="1" t="s">
        <v>1477</v>
      </c>
      <c r="F296" s="1" t="str">
        <f>"0679781498"</f>
        <v>0679781498</v>
      </c>
      <c r="G296" s="1" t="str">
        <f>"9780679781493"</f>
        <v>9780679781493</v>
      </c>
      <c r="H296" s="1">
        <v>0.0</v>
      </c>
      <c r="I296" s="1">
        <v>3.6</v>
      </c>
      <c r="J296" s="1" t="s">
        <v>813</v>
      </c>
      <c r="K296" s="1" t="s">
        <v>44</v>
      </c>
      <c r="L296" s="1">
        <v>208.0</v>
      </c>
      <c r="M296" s="1">
        <v>1998.0</v>
      </c>
      <c r="N296" s="1">
        <v>1985.0</v>
      </c>
      <c r="P296" s="2">
        <v>44814.0</v>
      </c>
      <c r="Q296" s="1" t="s">
        <v>818</v>
      </c>
      <c r="R296" s="1" t="s">
        <v>1478</v>
      </c>
      <c r="S296" s="1" t="s">
        <v>32</v>
      </c>
      <c r="W296" s="1">
        <v>0.0</v>
      </c>
      <c r="X296" s="1">
        <v>1.0</v>
      </c>
    </row>
    <row r="297" spans="1:24" ht="15.75" customHeight="1">
      <c r="A297" s="1">
        <v>9915.0</v>
      </c>
      <c r="B297" s="1" t="s">
        <v>1475</v>
      </c>
      <c r="C297" s="1" t="s">
        <v>1476</v>
      </c>
      <c r="D297" s="1" t="s">
        <v>1477</v>
      </c>
      <c r="F297" s="1" t="str">
        <f t="shared" si="21" ref="F297:G297">""</f>
        <v/>
      </c>
      <c r="G297" s="1" t="str">
        <f t="shared" si="21"/>
        <v/>
      </c>
      <c r="H297" s="1">
        <v>0.0</v>
      </c>
      <c r="I297" s="1">
        <v>3.6</v>
      </c>
      <c r="J297" s="1" t="s">
        <v>813</v>
      </c>
      <c r="K297" s="1" t="s">
        <v>44</v>
      </c>
      <c r="L297" s="1">
        <v>208.0</v>
      </c>
      <c r="M297" s="1">
        <v>2010.0</v>
      </c>
      <c r="N297" s="1">
        <v>1985.0</v>
      </c>
      <c r="P297" s="2">
        <v>40971.0</v>
      </c>
      <c r="S297" s="1" t="s">
        <v>271</v>
      </c>
      <c r="W297" s="1">
        <v>1.0</v>
      </c>
      <c r="X297" s="1">
        <v>0.0</v>
      </c>
    </row>
    <row r="298" spans="1:24" ht="15.75" customHeight="1">
      <c r="A298" s="1">
        <v>1.789114E7</v>
      </c>
      <c r="B298" s="1" t="s">
        <v>1479</v>
      </c>
      <c r="C298" s="1" t="s">
        <v>1480</v>
      </c>
      <c r="D298" s="1" t="s">
        <v>1481</v>
      </c>
      <c r="F298" s="1" t="str">
        <f>"0988863200"</f>
        <v>0988863200</v>
      </c>
      <c r="G298" s="1" t="str">
        <f>"9780988863200"</f>
        <v>9780988863200</v>
      </c>
      <c r="H298" s="1">
        <v>0.0</v>
      </c>
      <c r="I298" s="1">
        <v>4.0</v>
      </c>
      <c r="J298" s="1" t="s">
        <v>1482</v>
      </c>
      <c r="K298" s="1" t="s">
        <v>44</v>
      </c>
      <c r="L298" s="1">
        <v>184.0</v>
      </c>
      <c r="M298" s="1">
        <v>2013.0</v>
      </c>
      <c r="N298" s="1">
        <v>2013.0</v>
      </c>
      <c r="P298" s="2">
        <v>45114.0</v>
      </c>
      <c r="Q298" s="1" t="s">
        <v>383</v>
      </c>
      <c r="R298" s="1" t="s">
        <v>1483</v>
      </c>
      <c r="S298" s="1" t="s">
        <v>32</v>
      </c>
      <c r="W298" s="1">
        <v>0.0</v>
      </c>
      <c r="X298" s="1">
        <v>1.0</v>
      </c>
    </row>
    <row r="299" spans="1:24" ht="15.75" customHeight="1">
      <c r="A299" s="1">
        <v>644361.0</v>
      </c>
      <c r="B299" s="1" t="s">
        <v>1484</v>
      </c>
      <c r="C299" s="1" t="s">
        <v>1485</v>
      </c>
      <c r="D299" s="1" t="s">
        <v>1486</v>
      </c>
      <c r="F299" s="1" t="str">
        <f>"0812930290"</f>
        <v>0812930290</v>
      </c>
      <c r="G299" s="1" t="str">
        <f>"9780812930290"</f>
        <v>9780812930290</v>
      </c>
      <c r="H299" s="1">
        <v>0.0</v>
      </c>
      <c r="I299" s="1">
        <v>3.89</v>
      </c>
      <c r="J299" s="1" t="s">
        <v>1487</v>
      </c>
      <c r="K299" s="1" t="s">
        <v>44</v>
      </c>
      <c r="L299" s="1">
        <v>426.0</v>
      </c>
      <c r="M299" s="1">
        <v>1998.0</v>
      </c>
      <c r="N299" s="1">
        <v>1997.0</v>
      </c>
      <c r="P299" s="2">
        <v>45173.0</v>
      </c>
      <c r="Q299" s="1" t="s">
        <v>32</v>
      </c>
      <c r="R299" s="1" t="s">
        <v>1488</v>
      </c>
      <c r="S299" s="1" t="s">
        <v>32</v>
      </c>
      <c r="W299" s="1">
        <v>0.0</v>
      </c>
      <c r="X299" s="1">
        <v>0.0</v>
      </c>
    </row>
    <row r="300" spans="1:24" ht="15.75" customHeight="1">
      <c r="A300" s="1">
        <v>3.8212134E7</v>
      </c>
      <c r="B300" s="1" t="s">
        <v>1489</v>
      </c>
      <c r="C300" s="1" t="s">
        <v>1490</v>
      </c>
      <c r="D300" s="1" t="s">
        <v>1491</v>
      </c>
      <c r="F300" s="1" t="str">
        <f>"1631493078"</f>
        <v>1631493078</v>
      </c>
      <c r="G300" s="1" t="str">
        <f>"9781631493072"</f>
        <v>9781631493072</v>
      </c>
      <c r="H300" s="1">
        <v>0.0</v>
      </c>
      <c r="I300" s="1">
        <v>4.29</v>
      </c>
      <c r="J300" s="1" t="s">
        <v>643</v>
      </c>
      <c r="K300" s="1" t="s">
        <v>37</v>
      </c>
      <c r="L300" s="1">
        <v>384.0</v>
      </c>
      <c r="M300" s="1">
        <v>2018.0</v>
      </c>
      <c r="N300" s="1">
        <v>2018.0</v>
      </c>
      <c r="P300" s="2">
        <v>45143.0</v>
      </c>
      <c r="Q300" s="1" t="s">
        <v>32</v>
      </c>
      <c r="R300" s="1" t="s">
        <v>1492</v>
      </c>
      <c r="S300" s="1" t="s">
        <v>32</v>
      </c>
      <c r="W300" s="1">
        <v>0.0</v>
      </c>
      <c r="X300" s="1">
        <v>0.0</v>
      </c>
    </row>
    <row r="301" spans="1:24" ht="15.75" customHeight="1">
      <c r="A301" s="42">
        <v>3.3301083E7</v>
      </c>
      <c r="B301" s="42" t="s">
        <v>1493</v>
      </c>
      <c r="C301" s="42" t="s">
        <v>1494</v>
      </c>
      <c r="D301" s="42" t="s">
        <v>1495</v>
      </c>
      <c r="E301" s="43"/>
      <c r="F301" s="42" t="str">
        <f>"1910695416"</f>
        <v>1910695416</v>
      </c>
      <c r="G301" s="42" t="str">
        <f>"9781910695418"</f>
        <v>9781910695418</v>
      </c>
      <c r="H301" s="42">
        <v>0.0</v>
      </c>
      <c r="I301" s="42">
        <v>4.15</v>
      </c>
      <c r="J301" s="42" t="s">
        <v>144</v>
      </c>
      <c r="K301" s="42" t="s">
        <v>44</v>
      </c>
      <c r="L301" s="42">
        <v>152.0</v>
      </c>
      <c r="M301" s="42">
        <v>2017.0</v>
      </c>
      <c r="N301" s="42">
        <v>2017.0</v>
      </c>
      <c r="O301" s="43"/>
      <c r="P301" s="44">
        <v>44213.0</v>
      </c>
      <c r="Q301" s="45" t="s">
        <v>10991</v>
      </c>
      <c r="R301" s="42" t="s">
        <v>1497</v>
      </c>
      <c r="S301" s="42" t="s">
        <v>32</v>
      </c>
      <c r="T301" s="43"/>
      <c r="U301" s="43"/>
      <c r="V301" s="43"/>
      <c r="W301" s="42">
        <v>0.0</v>
      </c>
      <c r="X301" s="42">
        <v>0.0</v>
      </c>
    </row>
    <row r="302" spans="1:24" ht="15.75" customHeight="1">
      <c r="A302" s="42">
        <v>5.2753017E7</v>
      </c>
      <c r="B302" s="42" t="s">
        <v>1498</v>
      </c>
      <c r="C302" s="42" t="s">
        <v>1494</v>
      </c>
      <c r="D302" s="42" t="s">
        <v>1495</v>
      </c>
      <c r="E302" s="43"/>
      <c r="F302" s="42" t="str">
        <f>"1913097013"</f>
        <v>1913097013</v>
      </c>
      <c r="G302" s="42" t="str">
        <f>"9781913097011"</f>
        <v>9781913097011</v>
      </c>
      <c r="H302" s="42">
        <v>0.0</v>
      </c>
      <c r="I302" s="42">
        <v>3.93</v>
      </c>
      <c r="J302" s="42" t="s">
        <v>144</v>
      </c>
      <c r="K302" s="42" t="s">
        <v>44</v>
      </c>
      <c r="L302" s="42">
        <v>192.0</v>
      </c>
      <c r="M302" s="42">
        <v>2020.0</v>
      </c>
      <c r="N302" s="42">
        <v>2020.0</v>
      </c>
      <c r="O302" s="43"/>
      <c r="P302" s="46">
        <v>44181.0</v>
      </c>
      <c r="Q302" s="45" t="s">
        <v>10991</v>
      </c>
      <c r="R302" s="42" t="s">
        <v>1499</v>
      </c>
      <c r="S302" s="42" t="s">
        <v>32</v>
      </c>
      <c r="T302" s="43"/>
      <c r="U302" s="43"/>
      <c r="V302" s="43"/>
      <c r="W302" s="42">
        <v>0.0</v>
      </c>
      <c r="X302" s="42">
        <v>0.0</v>
      </c>
    </row>
    <row r="303" spans="1:24" ht="15.75" customHeight="1">
      <c r="A303" s="1">
        <v>2.5330309E7</v>
      </c>
      <c r="B303" s="1" t="s">
        <v>1500</v>
      </c>
      <c r="C303" s="1" t="s">
        <v>1501</v>
      </c>
      <c r="D303" s="1" t="s">
        <v>1502</v>
      </c>
      <c r="E303" s="1" t="s">
        <v>1503</v>
      </c>
      <c r="F303" s="1" t="str">
        <f>"1566894158"</f>
        <v>1566894158</v>
      </c>
      <c r="G303" s="1" t="str">
        <f>"9781566894159"</f>
        <v>9781566894159</v>
      </c>
      <c r="H303" s="1">
        <v>0.0</v>
      </c>
      <c r="I303" s="1">
        <v>3.93</v>
      </c>
      <c r="J303" s="1" t="s">
        <v>1504</v>
      </c>
      <c r="K303" s="1" t="s">
        <v>44</v>
      </c>
      <c r="L303" s="1">
        <v>172.0</v>
      </c>
      <c r="M303" s="1">
        <v>2016.0</v>
      </c>
      <c r="N303" s="1">
        <v>1998.0</v>
      </c>
      <c r="P303" s="2">
        <v>45110.0</v>
      </c>
      <c r="Q303" s="1" t="s">
        <v>32</v>
      </c>
      <c r="R303" s="1" t="s">
        <v>1505</v>
      </c>
      <c r="S303" s="1" t="s">
        <v>32</v>
      </c>
      <c r="W303" s="1">
        <v>0.0</v>
      </c>
      <c r="X303" s="1">
        <v>0.0</v>
      </c>
    </row>
    <row r="304" spans="1:24" ht="15.75" customHeight="1">
      <c r="A304" s="1">
        <v>2.5330189E7</v>
      </c>
      <c r="B304" s="1" t="s">
        <v>1506</v>
      </c>
      <c r="C304" s="1" t="s">
        <v>1501</v>
      </c>
      <c r="D304" s="1" t="s">
        <v>1502</v>
      </c>
      <c r="F304" s="1" t="str">
        <f>"1566894131"</f>
        <v>1566894131</v>
      </c>
      <c r="G304" s="1" t="str">
        <f>"9781566894135"</f>
        <v>9781566894135</v>
      </c>
      <c r="H304" s="1">
        <v>0.0</v>
      </c>
      <c r="I304" s="1">
        <v>4.02</v>
      </c>
      <c r="J304" s="1" t="s">
        <v>1504</v>
      </c>
      <c r="K304" s="1" t="s">
        <v>44</v>
      </c>
      <c r="L304" s="1">
        <v>220.0</v>
      </c>
      <c r="M304" s="1">
        <v>2016.0</v>
      </c>
      <c r="N304" s="1">
        <v>2016.0</v>
      </c>
      <c r="P304" s="2">
        <v>44987.0</v>
      </c>
      <c r="Q304" s="1" t="s">
        <v>32</v>
      </c>
      <c r="R304" s="1" t="s">
        <v>1507</v>
      </c>
      <c r="S304" s="1" t="s">
        <v>32</v>
      </c>
      <c r="W304" s="1">
        <v>0.0</v>
      </c>
      <c r="X304" s="1">
        <v>0.0</v>
      </c>
    </row>
    <row r="305" spans="1:24" ht="15.75" customHeight="1">
      <c r="A305" s="1">
        <v>5.5405181E7</v>
      </c>
      <c r="B305" s="1" t="s">
        <v>1508</v>
      </c>
      <c r="C305" s="1" t="s">
        <v>1501</v>
      </c>
      <c r="D305" s="1" t="s">
        <v>1502</v>
      </c>
      <c r="F305" s="1" t="str">
        <f>"1566896150"</f>
        <v>1566896150</v>
      </c>
      <c r="G305" s="1" t="str">
        <f>"9781566896153"</f>
        <v>9781566896153</v>
      </c>
      <c r="H305" s="1">
        <v>0.0</v>
      </c>
      <c r="I305" s="1">
        <v>4.1</v>
      </c>
      <c r="J305" s="1" t="s">
        <v>1504</v>
      </c>
      <c r="K305" s="1" t="s">
        <v>420</v>
      </c>
      <c r="L305" s="1">
        <v>254.0</v>
      </c>
      <c r="M305" s="1">
        <v>2021.0</v>
      </c>
      <c r="N305" s="1">
        <v>2021.0</v>
      </c>
      <c r="P305" s="2">
        <v>44801.0</v>
      </c>
      <c r="Q305" s="1" t="s">
        <v>32</v>
      </c>
      <c r="R305" s="1" t="s">
        <v>1509</v>
      </c>
      <c r="S305" s="1" t="s">
        <v>32</v>
      </c>
      <c r="W305" s="1">
        <v>0.0</v>
      </c>
      <c r="X305" s="1">
        <v>0.0</v>
      </c>
    </row>
    <row r="306" spans="1:24" ht="15.75" customHeight="1">
      <c r="A306" s="1">
        <v>3.0112185E7</v>
      </c>
      <c r="B306" s="1" t="s">
        <v>1510</v>
      </c>
      <c r="C306" s="1" t="s">
        <v>1511</v>
      </c>
      <c r="D306" s="1" t="s">
        <v>1512</v>
      </c>
      <c r="F306" s="1" t="str">
        <f>"0141393149"</f>
        <v>0141393149</v>
      </c>
      <c r="G306" s="1" t="str">
        <f>"9780141393148"</f>
        <v>9780141393148</v>
      </c>
      <c r="H306" s="1">
        <v>0.0</v>
      </c>
      <c r="I306" s="1">
        <v>3.72</v>
      </c>
      <c r="J306" s="1" t="s">
        <v>1023</v>
      </c>
      <c r="K306" s="1" t="s">
        <v>44</v>
      </c>
      <c r="L306" s="1">
        <v>704.0</v>
      </c>
      <c r="M306" s="1">
        <v>2017.0</v>
      </c>
      <c r="N306" s="1">
        <v>2016.0</v>
      </c>
      <c r="P306" s="2">
        <v>43247.0</v>
      </c>
      <c r="Q306" s="1" t="s">
        <v>788</v>
      </c>
      <c r="R306" s="1" t="s">
        <v>1513</v>
      </c>
      <c r="S306" s="1" t="s">
        <v>32</v>
      </c>
      <c r="W306" s="1">
        <v>0.0</v>
      </c>
      <c r="X306" s="1">
        <v>1.0</v>
      </c>
    </row>
    <row r="307" spans="1:24" ht="15.75" customHeight="1">
      <c r="A307" s="1">
        <v>9554807.0</v>
      </c>
      <c r="B307" s="1" t="s">
        <v>1514</v>
      </c>
      <c r="C307" s="1" t="s">
        <v>1515</v>
      </c>
      <c r="D307" s="1" t="s">
        <v>1516</v>
      </c>
      <c r="F307" s="1" t="str">
        <f>"1934103160"</f>
        <v>1934103160</v>
      </c>
      <c r="G307" s="1" t="str">
        <f>"9781934103166"</f>
        <v>9781934103166</v>
      </c>
      <c r="H307" s="1">
        <v>0.0</v>
      </c>
      <c r="I307" s="1">
        <v>4.57</v>
      </c>
      <c r="J307" s="1" t="s">
        <v>730</v>
      </c>
      <c r="K307" s="1" t="s">
        <v>44</v>
      </c>
      <c r="L307" s="1">
        <v>73.0</v>
      </c>
      <c r="M307" s="1">
        <v>2010.0</v>
      </c>
      <c r="N307" s="1">
        <v>2010.0</v>
      </c>
      <c r="P307" s="3">
        <v>43402.0</v>
      </c>
      <c r="Q307" s="1" t="s">
        <v>32</v>
      </c>
      <c r="R307" s="1" t="s">
        <v>1517</v>
      </c>
      <c r="S307" s="1" t="s">
        <v>32</v>
      </c>
      <c r="W307" s="1">
        <v>0.0</v>
      </c>
      <c r="X307" s="1">
        <v>0.0</v>
      </c>
    </row>
    <row r="308" spans="1:24" ht="15.75" customHeight="1">
      <c r="A308" s="1">
        <v>5.3317498E7</v>
      </c>
      <c r="B308" s="1" t="s">
        <v>1518</v>
      </c>
      <c r="C308" s="1" t="s">
        <v>1519</v>
      </c>
      <c r="D308" s="1" t="s">
        <v>1520</v>
      </c>
      <c r="F308" s="1" t="str">
        <f>"0374538980"</f>
        <v>0374538980</v>
      </c>
      <c r="G308" s="1" t="str">
        <f>"9780374538989"</f>
        <v>9780374538989</v>
      </c>
      <c r="H308" s="1">
        <v>0.0</v>
      </c>
      <c r="I308" s="1">
        <v>3.77</v>
      </c>
      <c r="J308" s="1" t="s">
        <v>1521</v>
      </c>
      <c r="K308" s="1" t="s">
        <v>44</v>
      </c>
      <c r="L308" s="1">
        <v>192.0</v>
      </c>
      <c r="M308" s="1">
        <v>2021.0</v>
      </c>
      <c r="N308" s="1">
        <v>2021.0</v>
      </c>
      <c r="P308" s="2">
        <v>44216.0</v>
      </c>
      <c r="Q308" s="1" t="s">
        <v>1522</v>
      </c>
      <c r="R308" s="1" t="s">
        <v>1523</v>
      </c>
      <c r="S308" s="1" t="s">
        <v>32</v>
      </c>
      <c r="W308" s="1">
        <v>0.0</v>
      </c>
      <c r="X308" s="1">
        <v>0.0</v>
      </c>
    </row>
    <row r="309" spans="1:24" ht="15.75" customHeight="1">
      <c r="A309" s="1">
        <v>3.4525338E7</v>
      </c>
      <c r="B309" s="1" t="s">
        <v>1524</v>
      </c>
      <c r="C309" s="1" t="s">
        <v>1519</v>
      </c>
      <c r="D309" s="1" t="s">
        <v>1520</v>
      </c>
      <c r="F309" s="1" t="str">
        <f>"1936932156"</f>
        <v>1936932156</v>
      </c>
      <c r="G309" s="1" t="str">
        <f>"9781936932153"</f>
        <v>9781936932153</v>
      </c>
      <c r="H309" s="1">
        <v>0.0</v>
      </c>
      <c r="I309" s="1">
        <v>3.89</v>
      </c>
      <c r="J309" s="1" t="s">
        <v>1525</v>
      </c>
      <c r="K309" s="1" t="s">
        <v>44</v>
      </c>
      <c r="L309" s="1">
        <v>166.0</v>
      </c>
      <c r="M309" s="1">
        <v>2017.0</v>
      </c>
      <c r="N309" s="1">
        <v>2015.0</v>
      </c>
      <c r="P309" s="2">
        <v>43926.0</v>
      </c>
      <c r="Q309" s="1" t="s">
        <v>32</v>
      </c>
      <c r="R309" s="1" t="s">
        <v>1526</v>
      </c>
      <c r="S309" s="1" t="s">
        <v>32</v>
      </c>
      <c r="W309" s="1">
        <v>0.0</v>
      </c>
      <c r="X309" s="1">
        <v>0.0</v>
      </c>
    </row>
    <row r="310" spans="1:24" ht="15.75" customHeight="1">
      <c r="A310" s="1">
        <v>79909.0</v>
      </c>
      <c r="B310" s="1" t="s">
        <v>1527</v>
      </c>
      <c r="C310" s="1" t="s">
        <v>1528</v>
      </c>
      <c r="D310" s="1" t="s">
        <v>1529</v>
      </c>
      <c r="E310" s="1" t="s">
        <v>1530</v>
      </c>
      <c r="F310" s="1" t="str">
        <f>"0142437190"</f>
        <v>0142437190</v>
      </c>
      <c r="G310" s="1" t="str">
        <f>"9780142437193"</f>
        <v>9780142437193</v>
      </c>
      <c r="H310" s="1">
        <v>0.0</v>
      </c>
      <c r="I310" s="1">
        <v>3.68</v>
      </c>
      <c r="J310" s="1" t="s">
        <v>1023</v>
      </c>
      <c r="K310" s="1" t="s">
        <v>44</v>
      </c>
      <c r="L310" s="1">
        <v>199.0</v>
      </c>
      <c r="M310" s="1">
        <v>2003.0</v>
      </c>
      <c r="N310" s="1">
        <v>1977.0</v>
      </c>
      <c r="P310" s="2">
        <v>45235.0</v>
      </c>
      <c r="Q310" s="1" t="s">
        <v>55</v>
      </c>
      <c r="R310" s="1" t="s">
        <v>1531</v>
      </c>
      <c r="S310" s="1" t="s">
        <v>32</v>
      </c>
      <c r="W310" s="1">
        <v>0.0</v>
      </c>
      <c r="X310" s="1">
        <v>0.0</v>
      </c>
    </row>
    <row r="311" spans="1:24" ht="15.75" customHeight="1">
      <c r="A311" s="1">
        <v>129909.0</v>
      </c>
      <c r="B311" s="1" t="s">
        <v>1532</v>
      </c>
      <c r="C311" s="1" t="s">
        <v>1533</v>
      </c>
      <c r="D311" s="1" t="s">
        <v>1534</v>
      </c>
      <c r="E311" s="1" t="s">
        <v>1535</v>
      </c>
      <c r="F311" s="1" t="str">
        <f>"0465056520"</f>
        <v>0465056520</v>
      </c>
      <c r="G311" s="1" t="str">
        <f>"9780465056521"</f>
        <v>9780465056521</v>
      </c>
      <c r="H311" s="1">
        <v>0.0</v>
      </c>
      <c r="I311" s="1">
        <v>4.58</v>
      </c>
      <c r="J311" s="1" t="s">
        <v>1536</v>
      </c>
      <c r="K311" s="1" t="s">
        <v>37</v>
      </c>
      <c r="L311" s="1">
        <v>288.0</v>
      </c>
      <c r="M311" s="1">
        <v>2007.0</v>
      </c>
      <c r="N311" s="1">
        <v>2007.0</v>
      </c>
      <c r="P311" s="2">
        <v>44468.0</v>
      </c>
      <c r="Q311" s="1" t="s">
        <v>55</v>
      </c>
      <c r="R311" s="1" t="s">
        <v>1537</v>
      </c>
      <c r="S311" s="1" t="s">
        <v>32</v>
      </c>
      <c r="W311" s="1">
        <v>0.0</v>
      </c>
      <c r="X311" s="1">
        <v>0.0</v>
      </c>
    </row>
    <row r="312" spans="1:24" ht="15.75" customHeight="1">
      <c r="A312" s="1">
        <v>1695103.0</v>
      </c>
      <c r="B312" s="1" t="s">
        <v>1538</v>
      </c>
      <c r="C312" s="1" t="s">
        <v>1539</v>
      </c>
      <c r="D312" s="1" t="s">
        <v>1540</v>
      </c>
      <c r="F312" s="1" t="str">
        <f>"0878338799"</f>
        <v>0878338799</v>
      </c>
      <c r="G312" s="1" t="str">
        <f>"9780878338795"</f>
        <v>9780878338795</v>
      </c>
      <c r="H312" s="1">
        <v>0.0</v>
      </c>
      <c r="I312" s="1">
        <v>3.89</v>
      </c>
      <c r="J312" s="1" t="s">
        <v>1541</v>
      </c>
      <c r="K312" s="1" t="s">
        <v>37</v>
      </c>
      <c r="M312" s="1">
        <v>1995.0</v>
      </c>
      <c r="N312" s="1">
        <v>1995.0</v>
      </c>
      <c r="P312" s="2">
        <v>43961.0</v>
      </c>
      <c r="Q312" s="1" t="s">
        <v>32</v>
      </c>
      <c r="R312" s="1" t="s">
        <v>1542</v>
      </c>
      <c r="S312" s="1" t="s">
        <v>32</v>
      </c>
      <c r="W312" s="1">
        <v>0.0</v>
      </c>
      <c r="X312" s="1">
        <v>0.0</v>
      </c>
    </row>
    <row r="313" spans="1:24" ht="15.75" customHeight="1">
      <c r="A313" s="1">
        <v>23257.0</v>
      </c>
      <c r="B313" s="1" t="s">
        <v>1543</v>
      </c>
      <c r="C313" s="1" t="s">
        <v>1544</v>
      </c>
      <c r="D313" s="1" t="s">
        <v>1545</v>
      </c>
      <c r="F313" s="1" t="str">
        <f>"019289322X"</f>
        <v>019289322X</v>
      </c>
      <c r="G313" s="1" t="str">
        <f>"9780192893222"</f>
        <v>9780192893222</v>
      </c>
      <c r="H313" s="1">
        <v>0.0</v>
      </c>
      <c r="I313" s="1">
        <v>4.05</v>
      </c>
      <c r="J313" s="1" t="s">
        <v>181</v>
      </c>
      <c r="K313" s="1" t="s">
        <v>44</v>
      </c>
      <c r="L313" s="1">
        <v>352.0</v>
      </c>
      <c r="M313" s="1">
        <v>2001.0</v>
      </c>
      <c r="N313" s="1">
        <v>1987.0</v>
      </c>
      <c r="P313" s="2">
        <v>45167.0</v>
      </c>
      <c r="Q313" s="1" t="s">
        <v>32</v>
      </c>
      <c r="R313" s="1" t="s">
        <v>1546</v>
      </c>
      <c r="S313" s="1" t="s">
        <v>32</v>
      </c>
      <c r="W313" s="1">
        <v>0.0</v>
      </c>
      <c r="X313" s="1">
        <v>0.0</v>
      </c>
    </row>
    <row r="314" spans="1:24" ht="15.75" customHeight="1">
      <c r="A314" s="1">
        <v>142239.0</v>
      </c>
      <c r="B314" s="1" t="s">
        <v>1547</v>
      </c>
      <c r="C314" s="1" t="s">
        <v>1548</v>
      </c>
      <c r="D314" s="1" t="s">
        <v>1549</v>
      </c>
      <c r="F314" s="1" t="str">
        <f>"0817463003"</f>
        <v>0817463003</v>
      </c>
      <c r="G314" s="1" t="str">
        <f>"9780817463007"</f>
        <v>9780817463007</v>
      </c>
      <c r="H314" s="1">
        <v>0.0</v>
      </c>
      <c r="I314" s="1">
        <v>4.32</v>
      </c>
      <c r="J314" s="1" t="s">
        <v>1550</v>
      </c>
      <c r="K314" s="1" t="s">
        <v>44</v>
      </c>
      <c r="L314" s="1">
        <v>160.0</v>
      </c>
      <c r="M314" s="1">
        <v>2004.0</v>
      </c>
      <c r="N314" s="1">
        <v>1990.0</v>
      </c>
      <c r="P314" s="2">
        <v>43934.0</v>
      </c>
      <c r="Q314" s="1" t="s">
        <v>32</v>
      </c>
      <c r="R314" s="1" t="s">
        <v>1551</v>
      </c>
      <c r="S314" s="1" t="s">
        <v>32</v>
      </c>
      <c r="W314" s="1">
        <v>0.0</v>
      </c>
      <c r="X314" s="1">
        <v>0.0</v>
      </c>
    </row>
    <row r="315" spans="1:24" ht="15.75" customHeight="1">
      <c r="A315" s="1">
        <v>1.629035E7</v>
      </c>
      <c r="B315" s="1" t="s">
        <v>1552</v>
      </c>
      <c r="C315" s="1" t="s">
        <v>1553</v>
      </c>
      <c r="D315" s="1" t="s">
        <v>1554</v>
      </c>
      <c r="E315" s="1" t="s">
        <v>1555</v>
      </c>
      <c r="F315" s="1" t="str">
        <f>"1479347744"</f>
        <v>1479347744</v>
      </c>
      <c r="G315" s="1" t="str">
        <f>"9781479347742"</f>
        <v>9781479347742</v>
      </c>
      <c r="H315" s="1">
        <v>0.0</v>
      </c>
      <c r="I315" s="1">
        <v>4.02</v>
      </c>
      <c r="J315" s="1" t="s">
        <v>1556</v>
      </c>
      <c r="K315" s="1" t="s">
        <v>44</v>
      </c>
      <c r="L315" s="1">
        <v>170.0</v>
      </c>
      <c r="M315" s="1">
        <v>2012.0</v>
      </c>
      <c r="N315" s="1">
        <v>2012.0</v>
      </c>
      <c r="P315" s="2">
        <v>41664.0</v>
      </c>
      <c r="Q315" s="1" t="s">
        <v>32</v>
      </c>
      <c r="R315" s="1" t="s">
        <v>1557</v>
      </c>
      <c r="S315" s="1" t="s">
        <v>32</v>
      </c>
      <c r="W315" s="1">
        <v>0.0</v>
      </c>
      <c r="X315" s="1">
        <v>0.0</v>
      </c>
    </row>
    <row r="316" spans="1:24" ht="15.75" customHeight="1">
      <c r="A316" s="1">
        <v>4.0308701E7</v>
      </c>
      <c r="B316" s="1" t="s">
        <v>1558</v>
      </c>
      <c r="C316" s="1" t="s">
        <v>1559</v>
      </c>
      <c r="D316" s="1" t="s">
        <v>1560</v>
      </c>
      <c r="F316" s="1" t="str">
        <f>"0830852220"</f>
        <v>0830852220</v>
      </c>
      <c r="G316" s="1" t="str">
        <f>"9780830852222"</f>
        <v>9780830852222</v>
      </c>
      <c r="H316" s="1">
        <v>0.0</v>
      </c>
      <c r="I316" s="1">
        <v>4.41</v>
      </c>
      <c r="J316" s="1" t="s">
        <v>1561</v>
      </c>
      <c r="K316" s="1" t="s">
        <v>37</v>
      </c>
      <c r="L316" s="1">
        <v>600.0</v>
      </c>
      <c r="M316" s="1">
        <v>2018.0</v>
      </c>
      <c r="N316" s="1">
        <v>2018.0</v>
      </c>
      <c r="P316" s="2">
        <v>44464.0</v>
      </c>
      <c r="Q316" s="1" t="s">
        <v>1562</v>
      </c>
      <c r="R316" s="1" t="s">
        <v>1563</v>
      </c>
      <c r="S316" s="1" t="s">
        <v>32</v>
      </c>
      <c r="W316" s="1">
        <v>0.0</v>
      </c>
      <c r="X316" s="1">
        <v>0.0</v>
      </c>
    </row>
    <row r="317" spans="1:24" ht="15.75" customHeight="1">
      <c r="A317" s="29">
        <v>114517.0</v>
      </c>
      <c r="B317" s="29" t="s">
        <v>1564</v>
      </c>
      <c r="C317" s="29" t="s">
        <v>1565</v>
      </c>
      <c r="D317" s="29" t="s">
        <v>1566</v>
      </c>
      <c r="E317" s="29" t="s">
        <v>1567</v>
      </c>
      <c r="F317" s="29" t="str">
        <f>"0691018154"</f>
        <v>0691018154</v>
      </c>
      <c r="G317" s="29" t="str">
        <f>"9780691018157"</f>
        <v>9780691018157</v>
      </c>
      <c r="H317" s="29">
        <v>0.0</v>
      </c>
      <c r="I317" s="29">
        <v>4.43</v>
      </c>
      <c r="J317" s="29" t="s">
        <v>1011</v>
      </c>
      <c r="K317" s="29" t="s">
        <v>44</v>
      </c>
      <c r="L317" s="29">
        <v>590.0</v>
      </c>
      <c r="M317" s="29">
        <v>1977.0</v>
      </c>
      <c r="N317" s="29">
        <v>1912.0</v>
      </c>
      <c r="O317" s="30"/>
      <c r="P317" s="31">
        <v>44959.0</v>
      </c>
      <c r="Q317" s="32" t="s">
        <v>1496</v>
      </c>
      <c r="R317" s="29" t="s">
        <v>1569</v>
      </c>
      <c r="S317" s="29" t="s">
        <v>32</v>
      </c>
      <c r="T317" s="30"/>
      <c r="U317" s="30"/>
      <c r="V317" s="30"/>
      <c r="W317" s="29">
        <v>0.0</v>
      </c>
      <c r="X317" s="29">
        <v>0.0</v>
      </c>
    </row>
    <row r="318" spans="1:24" ht="15.75" customHeight="1">
      <c r="A318" s="29">
        <v>646175.0</v>
      </c>
      <c r="B318" s="29" t="s">
        <v>1570</v>
      </c>
      <c r="C318" s="29" t="s">
        <v>1565</v>
      </c>
      <c r="D318" s="29" t="s">
        <v>1566</v>
      </c>
      <c r="E318" s="29" t="s">
        <v>1571</v>
      </c>
      <c r="F318" s="29" t="str">
        <f>"0156612062"</f>
        <v>0156612062</v>
      </c>
      <c r="G318" s="29" t="str">
        <f>"9780156612067"</f>
        <v>9780156612067</v>
      </c>
      <c r="H318" s="29">
        <v>0.0</v>
      </c>
      <c r="I318" s="29">
        <v>4.2</v>
      </c>
      <c r="J318" s="29" t="s">
        <v>1572</v>
      </c>
      <c r="K318" s="29" t="s">
        <v>44</v>
      </c>
      <c r="L318" s="29">
        <v>244.0</v>
      </c>
      <c r="M318" s="29">
        <v>1955.0</v>
      </c>
      <c r="N318" s="29">
        <v>1931.0</v>
      </c>
      <c r="O318" s="30"/>
      <c r="P318" s="31">
        <v>45173.0</v>
      </c>
      <c r="Q318" s="32" t="s">
        <v>1496</v>
      </c>
      <c r="R318" s="29" t="s">
        <v>1573</v>
      </c>
      <c r="S318" s="29" t="s">
        <v>32</v>
      </c>
      <c r="T318" s="30"/>
      <c r="U318" s="30"/>
      <c r="V318" s="30"/>
      <c r="W318" s="29">
        <v>0.0</v>
      </c>
      <c r="X318" s="29">
        <v>0.0</v>
      </c>
    </row>
    <row r="319" spans="1:24" ht="15.75" customHeight="1">
      <c r="A319" s="29">
        <v>495614.0</v>
      </c>
      <c r="B319" s="29" t="s">
        <v>1574</v>
      </c>
      <c r="C319" s="29" t="s">
        <v>1565</v>
      </c>
      <c r="D319" s="29" t="s">
        <v>1566</v>
      </c>
      <c r="E319" s="29" t="s">
        <v>1575</v>
      </c>
      <c r="F319" s="29" t="str">
        <f>"0415304415"</f>
        <v>0415304415</v>
      </c>
      <c r="G319" s="29" t="str">
        <f>"9780415304412"</f>
        <v>9780415304412</v>
      </c>
      <c r="H319" s="29">
        <v>0.0</v>
      </c>
      <c r="I319" s="29">
        <v>4.01</v>
      </c>
      <c r="J319" s="29" t="s">
        <v>280</v>
      </c>
      <c r="K319" s="29" t="s">
        <v>44</v>
      </c>
      <c r="L319" s="29">
        <v>201.0</v>
      </c>
      <c r="M319" s="29">
        <v>2004.0</v>
      </c>
      <c r="N319" s="29">
        <v>1970.0</v>
      </c>
      <c r="O319" s="30"/>
      <c r="P319" s="31">
        <v>45185.0</v>
      </c>
      <c r="Q319" s="32" t="s">
        <v>1568</v>
      </c>
      <c r="R319" s="29" t="s">
        <v>1577</v>
      </c>
      <c r="S319" s="29" t="s">
        <v>32</v>
      </c>
      <c r="T319" s="30"/>
      <c r="U319" s="30"/>
      <c r="V319" s="30"/>
      <c r="W319" s="29">
        <v>0.0</v>
      </c>
      <c r="X319" s="29">
        <v>0.0</v>
      </c>
    </row>
    <row r="320" spans="1:24" ht="15.75" customHeight="1">
      <c r="A320" s="29">
        <v>836937.0</v>
      </c>
      <c r="B320" s="29" t="s">
        <v>1578</v>
      </c>
      <c r="C320" s="29" t="s">
        <v>1565</v>
      </c>
      <c r="D320" s="29" t="s">
        <v>1566</v>
      </c>
      <c r="E320" s="29" t="s">
        <v>1575</v>
      </c>
      <c r="F320" s="29" t="str">
        <f>"0691017948"</f>
        <v>0691017948</v>
      </c>
      <c r="G320" s="29" t="str">
        <f>"9780691017945"</f>
        <v>9780691017945</v>
      </c>
      <c r="H320" s="29">
        <v>0.0</v>
      </c>
      <c r="I320" s="29">
        <v>4.05</v>
      </c>
      <c r="J320" s="29" t="s">
        <v>1011</v>
      </c>
      <c r="K320" s="29" t="s">
        <v>44</v>
      </c>
      <c r="L320" s="29">
        <v>115.0</v>
      </c>
      <c r="M320" s="29">
        <v>1973.0</v>
      </c>
      <c r="N320" s="29">
        <v>1952.0</v>
      </c>
      <c r="O320" s="30"/>
      <c r="P320" s="31">
        <v>45185.0</v>
      </c>
      <c r="Q320" s="32" t="s">
        <v>1568</v>
      </c>
      <c r="R320" s="29" t="s">
        <v>1579</v>
      </c>
      <c r="S320" s="29" t="s">
        <v>32</v>
      </c>
      <c r="T320" s="30"/>
      <c r="U320" s="30"/>
      <c r="V320" s="30"/>
      <c r="W320" s="29">
        <v>0.0</v>
      </c>
      <c r="X320" s="29">
        <v>0.0</v>
      </c>
    </row>
    <row r="321" spans="1:24" ht="15.75" customHeight="1">
      <c r="A321" s="29">
        <v>67890.0</v>
      </c>
      <c r="B321" s="29" t="s">
        <v>1580</v>
      </c>
      <c r="C321" s="29" t="s">
        <v>1565</v>
      </c>
      <c r="D321" s="29" t="s">
        <v>1566</v>
      </c>
      <c r="E321" s="29" t="s">
        <v>1581</v>
      </c>
      <c r="F321" s="29" t="str">
        <f>"0691097615"</f>
        <v>0691097615</v>
      </c>
      <c r="G321" s="29" t="str">
        <f>"9780691097619"</f>
        <v>9780691097619</v>
      </c>
      <c r="H321" s="29">
        <v>0.0</v>
      </c>
      <c r="I321" s="29">
        <v>4.3</v>
      </c>
      <c r="J321" s="29" t="s">
        <v>1582</v>
      </c>
      <c r="K321" s="29" t="s">
        <v>37</v>
      </c>
      <c r="L321" s="29">
        <v>550.0</v>
      </c>
      <c r="M321" s="29">
        <v>1969.0</v>
      </c>
      <c r="N321" s="29">
        <v>1959.0</v>
      </c>
      <c r="O321" s="30"/>
      <c r="P321" s="31">
        <v>45185.0</v>
      </c>
      <c r="Q321" s="32" t="s">
        <v>1568</v>
      </c>
      <c r="R321" s="29" t="s">
        <v>1583</v>
      </c>
      <c r="S321" s="29" t="s">
        <v>32</v>
      </c>
      <c r="T321" s="30"/>
      <c r="U321" s="30"/>
      <c r="V321" s="30"/>
      <c r="W321" s="29">
        <v>0.0</v>
      </c>
      <c r="X321" s="29">
        <v>0.0</v>
      </c>
    </row>
    <row r="322" spans="1:24" ht="15.75" customHeight="1">
      <c r="A322" s="29">
        <v>6.1065983E7</v>
      </c>
      <c r="B322" s="29" t="s">
        <v>1584</v>
      </c>
      <c r="C322" s="29" t="s">
        <v>1565</v>
      </c>
      <c r="D322" s="29" t="s">
        <v>1566</v>
      </c>
      <c r="E322" s="30"/>
      <c r="F322" s="29" t="str">
        <f>"0593499999"</f>
        <v>0593499999</v>
      </c>
      <c r="G322" s="29" t="str">
        <f>"9780593499993"</f>
        <v>9780593499993</v>
      </c>
      <c r="H322" s="29">
        <v>0.0</v>
      </c>
      <c r="I322" s="29">
        <v>4.19</v>
      </c>
      <c r="J322" s="29" t="s">
        <v>1585</v>
      </c>
      <c r="K322" s="29" t="s">
        <v>44</v>
      </c>
      <c r="L322" s="29">
        <v>432.0</v>
      </c>
      <c r="M322" s="29">
        <v>2023.0</v>
      </c>
      <c r="N322" s="29">
        <v>1964.0</v>
      </c>
      <c r="O322" s="30"/>
      <c r="P322" s="31">
        <v>44808.0</v>
      </c>
      <c r="Q322" s="32" t="s">
        <v>1586</v>
      </c>
      <c r="R322" s="29" t="s">
        <v>1587</v>
      </c>
      <c r="S322" s="29" t="s">
        <v>32</v>
      </c>
      <c r="T322" s="30"/>
      <c r="U322" s="30"/>
      <c r="V322" s="30"/>
      <c r="W322" s="29">
        <v>0.0</v>
      </c>
      <c r="X322" s="29">
        <v>1.0</v>
      </c>
    </row>
    <row r="323" spans="1:24" ht="15.75" customHeight="1">
      <c r="A323" s="1">
        <v>2.27575E7</v>
      </c>
      <c r="B323" s="1" t="s">
        <v>1588</v>
      </c>
      <c r="C323" s="1" t="s">
        <v>1589</v>
      </c>
      <c r="D323" s="1" t="s">
        <v>1590</v>
      </c>
      <c r="E323" s="1" t="s">
        <v>1591</v>
      </c>
      <c r="F323" s="1" t="str">
        <f>"0983265992"</f>
        <v>0983265992</v>
      </c>
      <c r="G323" s="1" t="str">
        <f>"9780983265993"</f>
        <v>9780983265993</v>
      </c>
      <c r="H323" s="1">
        <v>0.0</v>
      </c>
      <c r="I323" s="1">
        <v>3.5</v>
      </c>
      <c r="J323" s="1" t="s">
        <v>1592</v>
      </c>
      <c r="K323" s="1" t="s">
        <v>1593</v>
      </c>
      <c r="L323" s="1">
        <v>172.0</v>
      </c>
      <c r="M323" s="1">
        <v>2011.0</v>
      </c>
      <c r="N323" s="1">
        <v>2011.0</v>
      </c>
      <c r="P323" s="2">
        <v>45113.0</v>
      </c>
      <c r="Q323" s="1" t="s">
        <v>115</v>
      </c>
      <c r="R323" s="1" t="s">
        <v>1594</v>
      </c>
      <c r="S323" s="1" t="s">
        <v>32</v>
      </c>
      <c r="W323" s="1">
        <v>0.0</v>
      </c>
      <c r="X323" s="1">
        <v>1.0</v>
      </c>
    </row>
    <row r="324" spans="1:24" ht="15.75" customHeight="1">
      <c r="A324" s="47">
        <v>17343.0</v>
      </c>
      <c r="B324" s="47" t="s">
        <v>1595</v>
      </c>
      <c r="C324" s="47" t="s">
        <v>1596</v>
      </c>
      <c r="D324" s="47" t="s">
        <v>1597</v>
      </c>
      <c r="E324" s="48"/>
      <c r="F324" s="47" t="str">
        <f t="shared" si="22" ref="F324:G324">""</f>
        <v/>
      </c>
      <c r="G324" s="47" t="str">
        <f t="shared" si="22"/>
        <v/>
      </c>
      <c r="H324" s="47">
        <v>0.0</v>
      </c>
      <c r="I324" s="47">
        <v>4.19</v>
      </c>
      <c r="J324" s="47" t="s">
        <v>1598</v>
      </c>
      <c r="K324" s="47" t="s">
        <v>44</v>
      </c>
      <c r="L324" s="47">
        <v>313.0</v>
      </c>
      <c r="M324" s="47">
        <v>2006.0</v>
      </c>
      <c r="N324" s="47">
        <v>1956.0</v>
      </c>
      <c r="O324" s="48"/>
      <c r="P324" s="49">
        <v>45114.0</v>
      </c>
      <c r="Q324" s="50" t="s">
        <v>1576</v>
      </c>
      <c r="R324" s="47" t="s">
        <v>1600</v>
      </c>
      <c r="S324" s="47" t="s">
        <v>32</v>
      </c>
      <c r="T324" s="48"/>
      <c r="U324" s="48"/>
      <c r="V324" s="48"/>
      <c r="W324" s="47">
        <v>0.0</v>
      </c>
      <c r="X324" s="47">
        <v>0.0</v>
      </c>
    </row>
    <row r="325" spans="1:24" ht="15.75" customHeight="1">
      <c r="A325" s="47">
        <v>525957.0</v>
      </c>
      <c r="B325" s="47" t="s">
        <v>1601</v>
      </c>
      <c r="C325" s="47" t="s">
        <v>1596</v>
      </c>
      <c r="D325" s="47" t="s">
        <v>1597</v>
      </c>
      <c r="E325" s="48"/>
      <c r="F325" s="47" t="str">
        <f>"0060761512"</f>
        <v>0060761512</v>
      </c>
      <c r="G325" s="47" t="str">
        <f>"9780060761516"</f>
        <v>9780060761516</v>
      </c>
      <c r="H325" s="47">
        <v>0.0</v>
      </c>
      <c r="I325" s="47">
        <v>4.14</v>
      </c>
      <c r="J325" s="47" t="s">
        <v>525</v>
      </c>
      <c r="K325" s="47" t="s">
        <v>37</v>
      </c>
      <c r="L325" s="47">
        <v>112.0</v>
      </c>
      <c r="M325" s="47">
        <v>2005.0</v>
      </c>
      <c r="N325" s="47">
        <v>2005.0</v>
      </c>
      <c r="O325" s="48"/>
      <c r="P325" s="49">
        <v>45175.0</v>
      </c>
      <c r="Q325" s="50" t="s">
        <v>353</v>
      </c>
      <c r="R325" s="47" t="s">
        <v>1602</v>
      </c>
      <c r="S325" s="47" t="s">
        <v>32</v>
      </c>
      <c r="T325" s="48"/>
      <c r="U325" s="48"/>
      <c r="V325" s="48"/>
      <c r="W325" s="47">
        <v>0.0</v>
      </c>
      <c r="X325" s="47">
        <v>0.0</v>
      </c>
    </row>
    <row r="326" spans="1:24" ht="15.75" customHeight="1">
      <c r="A326" s="47">
        <v>1.3650513E7</v>
      </c>
      <c r="B326" s="47" t="s">
        <v>1603</v>
      </c>
      <c r="C326" s="47" t="s">
        <v>1596</v>
      </c>
      <c r="D326" s="47" t="s">
        <v>1597</v>
      </c>
      <c r="E326" s="48"/>
      <c r="F326" s="47" t="str">
        <f>"0007461267"</f>
        <v>0007461267</v>
      </c>
      <c r="G326" s="47" t="str">
        <f>"9780007461264"</f>
        <v>9780007461264</v>
      </c>
      <c r="H326" s="47">
        <v>0.0</v>
      </c>
      <c r="I326" s="47">
        <v>4.13</v>
      </c>
      <c r="J326" s="47" t="s">
        <v>1604</v>
      </c>
      <c r="K326" s="47" t="s">
        <v>44</v>
      </c>
      <c r="L326" s="47">
        <v>162.0</v>
      </c>
      <c r="M326" s="47">
        <v>2012.0</v>
      </c>
      <c r="N326" s="47">
        <v>1940.0</v>
      </c>
      <c r="O326" s="48"/>
      <c r="P326" s="49">
        <v>45153.0</v>
      </c>
      <c r="Q326" s="50" t="s">
        <v>353</v>
      </c>
      <c r="R326" s="47" t="s">
        <v>1605</v>
      </c>
      <c r="S326" s="47" t="s">
        <v>32</v>
      </c>
      <c r="T326" s="48"/>
      <c r="U326" s="48"/>
      <c r="V326" s="48"/>
      <c r="W326" s="47">
        <v>0.0</v>
      </c>
      <c r="X326" s="47">
        <v>0.0</v>
      </c>
    </row>
    <row r="327" spans="1:24" ht="15.75" customHeight="1">
      <c r="A327" s="47">
        <v>65605.0</v>
      </c>
      <c r="B327" s="47" t="s">
        <v>1606</v>
      </c>
      <c r="C327" s="47" t="s">
        <v>1596</v>
      </c>
      <c r="D327" s="47" t="s">
        <v>1597</v>
      </c>
      <c r="E327" s="48"/>
      <c r="F327" s="47" t="str">
        <f>"0060764902"</f>
        <v>0060764902</v>
      </c>
      <c r="G327" s="47" t="str">
        <f>"9780060764906"</f>
        <v>9780060764906</v>
      </c>
      <c r="H327" s="47">
        <v>5.0</v>
      </c>
      <c r="I327" s="47">
        <v>4.05</v>
      </c>
      <c r="J327" s="47" t="s">
        <v>1607</v>
      </c>
      <c r="K327" s="47" t="s">
        <v>1225</v>
      </c>
      <c r="L327" s="47">
        <v>221.0</v>
      </c>
      <c r="M327" s="47">
        <v>2005.0</v>
      </c>
      <c r="N327" s="47">
        <v>1955.0</v>
      </c>
      <c r="O327" s="48"/>
      <c r="P327" s="49">
        <v>41139.0</v>
      </c>
      <c r="Q327" s="50" t="s">
        <v>353</v>
      </c>
      <c r="R327" s="48"/>
      <c r="S327" s="47" t="s">
        <v>271</v>
      </c>
      <c r="T327" s="48"/>
      <c r="U327" s="48"/>
      <c r="V327" s="48"/>
      <c r="W327" s="47">
        <v>1.0</v>
      </c>
      <c r="X327" s="47">
        <v>0.0</v>
      </c>
    </row>
    <row r="328" spans="1:24" ht="15.75" customHeight="1">
      <c r="A328" s="1">
        <v>3.8212121E7</v>
      </c>
      <c r="B328" s="1" t="s">
        <v>1608</v>
      </c>
      <c r="C328" s="1" t="s">
        <v>1609</v>
      </c>
      <c r="D328" s="1" t="s">
        <v>1610</v>
      </c>
      <c r="E328" s="1" t="s">
        <v>1611</v>
      </c>
      <c r="F328" s="1" t="str">
        <f>"0393356280"</f>
        <v>0393356280</v>
      </c>
      <c r="G328" s="1" t="str">
        <f>"9780393356281"</f>
        <v>9780393356281</v>
      </c>
      <c r="H328" s="1">
        <v>0.0</v>
      </c>
      <c r="I328" s="1">
        <v>4.3</v>
      </c>
      <c r="J328" s="1" t="s">
        <v>1612</v>
      </c>
      <c r="K328" s="1" t="s">
        <v>44</v>
      </c>
      <c r="L328" s="1">
        <v>256.0</v>
      </c>
      <c r="M328" s="1">
        <v>2018.0</v>
      </c>
      <c r="N328" s="1">
        <v>2017.0</v>
      </c>
      <c r="P328" s="2">
        <v>44205.0</v>
      </c>
      <c r="Q328" s="1" t="s">
        <v>32</v>
      </c>
      <c r="R328" s="1" t="s">
        <v>1613</v>
      </c>
      <c r="S328" s="1" t="s">
        <v>32</v>
      </c>
      <c r="W328" s="1">
        <v>0.0</v>
      </c>
      <c r="X328" s="1">
        <v>0.0</v>
      </c>
    </row>
    <row r="329" spans="1:24" ht="15.75" customHeight="1">
      <c r="A329" s="1">
        <v>4.0672036E7</v>
      </c>
      <c r="B329" s="1" t="s">
        <v>1614</v>
      </c>
      <c r="C329" s="1" t="s">
        <v>1615</v>
      </c>
      <c r="D329" s="1" t="s">
        <v>1616</v>
      </c>
      <c r="F329" s="1" t="str">
        <f>"052553654X"</f>
        <v>052553654X</v>
      </c>
      <c r="G329" s="1" t="str">
        <f>""</f>
        <v/>
      </c>
      <c r="H329" s="1">
        <v>0.0</v>
      </c>
      <c r="I329" s="1">
        <v>4.06</v>
      </c>
      <c r="J329" s="1" t="s">
        <v>1617</v>
      </c>
      <c r="K329" s="1" t="s">
        <v>29</v>
      </c>
      <c r="L329" s="1">
        <v>302.0</v>
      </c>
      <c r="M329" s="1">
        <v>2019.0</v>
      </c>
      <c r="N329" s="1">
        <v>2019.0</v>
      </c>
      <c r="P329" s="2">
        <v>45068.0</v>
      </c>
      <c r="Q329" s="1" t="s">
        <v>32</v>
      </c>
      <c r="R329" s="1" t="s">
        <v>1618</v>
      </c>
      <c r="S329" s="1" t="s">
        <v>32</v>
      </c>
      <c r="W329" s="1">
        <v>0.0</v>
      </c>
      <c r="X329" s="1">
        <v>0.0</v>
      </c>
    </row>
    <row r="330" spans="1:24" ht="15.75" customHeight="1">
      <c r="A330" s="1">
        <v>5.6080246E7</v>
      </c>
      <c r="B330" s="1" t="s">
        <v>1619</v>
      </c>
      <c r="C330" s="1" t="s">
        <v>1620</v>
      </c>
      <c r="D330" s="1" t="s">
        <v>1621</v>
      </c>
      <c r="F330" s="1" t="str">
        <f>"1999058879"</f>
        <v>1999058879</v>
      </c>
      <c r="G330" s="1" t="str">
        <f>"9781999058876"</f>
        <v>9781999058876</v>
      </c>
      <c r="H330" s="1">
        <v>0.0</v>
      </c>
      <c r="I330" s="1">
        <v>4.21</v>
      </c>
      <c r="J330" s="1" t="s">
        <v>1622</v>
      </c>
      <c r="K330" s="1" t="s">
        <v>44</v>
      </c>
      <c r="L330" s="1">
        <v>200.0</v>
      </c>
      <c r="M330" s="1">
        <v>2021.0</v>
      </c>
      <c r="N330" s="1">
        <v>2021.0</v>
      </c>
      <c r="P330" s="2">
        <v>44216.0</v>
      </c>
      <c r="Q330" s="1" t="s">
        <v>1522</v>
      </c>
      <c r="R330" s="1" t="s">
        <v>1623</v>
      </c>
      <c r="S330" s="1" t="s">
        <v>32</v>
      </c>
      <c r="W330" s="1">
        <v>0.0</v>
      </c>
      <c r="X330" s="1">
        <v>0.0</v>
      </c>
    </row>
    <row r="331" spans="1:24" ht="15.75" customHeight="1">
      <c r="A331" s="1">
        <v>1034358.0</v>
      </c>
      <c r="B331" s="1" t="s">
        <v>1624</v>
      </c>
      <c r="C331" s="1" t="s">
        <v>1625</v>
      </c>
      <c r="D331" s="1" t="s">
        <v>1626</v>
      </c>
      <c r="E331" s="1" t="s">
        <v>1627</v>
      </c>
      <c r="F331" s="1" t="str">
        <f>"0451625781"</f>
        <v>0451625781</v>
      </c>
      <c r="G331" s="1" t="str">
        <f>"9780451625786"</f>
        <v>9780451625786</v>
      </c>
      <c r="H331" s="1">
        <v>0.0</v>
      </c>
      <c r="I331" s="1">
        <v>3.96</v>
      </c>
      <c r="J331" s="1" t="s">
        <v>1628</v>
      </c>
      <c r="K331" s="1" t="s">
        <v>44</v>
      </c>
      <c r="L331" s="1">
        <v>144.0</v>
      </c>
      <c r="M331" s="1">
        <v>1973.0</v>
      </c>
      <c r="N331" s="1">
        <v>1973.0</v>
      </c>
      <c r="P331" s="2">
        <v>44808.0</v>
      </c>
      <c r="Q331" s="1" t="s">
        <v>1064</v>
      </c>
      <c r="R331" s="1" t="s">
        <v>1629</v>
      </c>
      <c r="S331" s="1" t="s">
        <v>32</v>
      </c>
      <c r="W331" s="1">
        <v>0.0</v>
      </c>
      <c r="X331" s="1">
        <v>0.0</v>
      </c>
    </row>
    <row r="332" spans="1:24" ht="15.75" customHeight="1">
      <c r="A332" s="1">
        <v>3.4082935E7</v>
      </c>
      <c r="B332" s="1" t="s">
        <v>1630</v>
      </c>
      <c r="C332" s="1" t="s">
        <v>1631</v>
      </c>
      <c r="D332" s="1" t="s">
        <v>1632</v>
      </c>
      <c r="E332" s="1" t="s">
        <v>1633</v>
      </c>
      <c r="F332" s="1" t="str">
        <f>"1938753232"</f>
        <v>1938753232</v>
      </c>
      <c r="G332" s="1" t="str">
        <f>"9781938753237"</f>
        <v>9781938753237</v>
      </c>
      <c r="H332" s="1">
        <v>0.0</v>
      </c>
      <c r="I332" s="1">
        <v>4.38</v>
      </c>
      <c r="J332" s="1" t="s">
        <v>1634</v>
      </c>
      <c r="K332" s="1" t="s">
        <v>44</v>
      </c>
      <c r="L332" s="1">
        <v>188.0</v>
      </c>
      <c r="M332" s="1">
        <v>2017.0</v>
      </c>
      <c r="N332" s="1">
        <v>2017.0</v>
      </c>
      <c r="P332" s="2">
        <v>42782.0</v>
      </c>
      <c r="Q332" s="1" t="s">
        <v>32</v>
      </c>
      <c r="R332" s="1" t="s">
        <v>1635</v>
      </c>
      <c r="S332" s="1" t="s">
        <v>32</v>
      </c>
      <c r="W332" s="1">
        <v>0.0</v>
      </c>
      <c r="X332" s="1">
        <v>0.0</v>
      </c>
    </row>
    <row r="333" spans="1:24" ht="15.75" customHeight="1">
      <c r="A333" s="1">
        <v>2.7275824E7</v>
      </c>
      <c r="B333" s="1" t="s">
        <v>1636</v>
      </c>
      <c r="C333" s="1" t="s">
        <v>1637</v>
      </c>
      <c r="D333" s="1" t="s">
        <v>1638</v>
      </c>
      <c r="F333" s="1" t="str">
        <f t="shared" si="23" ref="F333:G333">""</f>
        <v/>
      </c>
      <c r="G333" s="1" t="str">
        <f t="shared" si="23"/>
        <v/>
      </c>
      <c r="H333" s="1">
        <v>0.0</v>
      </c>
      <c r="I333" s="1">
        <v>2.93</v>
      </c>
      <c r="J333" s="1" t="s">
        <v>1639</v>
      </c>
      <c r="K333" s="1" t="s">
        <v>44</v>
      </c>
      <c r="L333" s="1">
        <v>132.0</v>
      </c>
      <c r="M333" s="1">
        <v>2015.0</v>
      </c>
      <c r="N333" s="1">
        <v>2015.0</v>
      </c>
      <c r="P333" s="2">
        <v>43970.0</v>
      </c>
      <c r="Q333" s="1" t="s">
        <v>32</v>
      </c>
      <c r="R333" s="1" t="s">
        <v>1640</v>
      </c>
      <c r="S333" s="1" t="s">
        <v>32</v>
      </c>
      <c r="W333" s="1">
        <v>0.0</v>
      </c>
      <c r="X333" s="1">
        <v>0.0</v>
      </c>
    </row>
    <row r="334" spans="1:24" ht="15.75" customHeight="1">
      <c r="A334" s="1">
        <v>4.003624E7</v>
      </c>
      <c r="B334" s="1" t="s">
        <v>1641</v>
      </c>
      <c r="C334" s="1" t="s">
        <v>1642</v>
      </c>
      <c r="D334" s="1" t="s">
        <v>1643</v>
      </c>
      <c r="F334" s="1" t="str">
        <f>""</f>
        <v/>
      </c>
      <c r="G334" s="1" t="str">
        <f>"9789874445049"</f>
        <v>9789874445049</v>
      </c>
      <c r="H334" s="1">
        <v>0.0</v>
      </c>
      <c r="I334" s="1">
        <v>4.38</v>
      </c>
      <c r="J334" s="1" t="s">
        <v>1644</v>
      </c>
      <c r="K334" s="1" t="s">
        <v>44</v>
      </c>
      <c r="L334" s="1">
        <v>116.0</v>
      </c>
      <c r="N334" s="1">
        <v>2018.0</v>
      </c>
      <c r="P334" s="2">
        <v>43976.0</v>
      </c>
      <c r="Q334" s="1" t="s">
        <v>32</v>
      </c>
      <c r="R334" s="1" t="s">
        <v>1645</v>
      </c>
      <c r="S334" s="1" t="s">
        <v>32</v>
      </c>
      <c r="W334" s="1">
        <v>0.0</v>
      </c>
      <c r="X334" s="1">
        <v>0.0</v>
      </c>
    </row>
    <row r="335" spans="1:24" ht="15.75" customHeight="1">
      <c r="A335" s="1">
        <v>4.4438256E7</v>
      </c>
      <c r="B335" s="1" t="s">
        <v>1646</v>
      </c>
      <c r="C335" s="1" t="s">
        <v>1642</v>
      </c>
      <c r="D335" s="1" t="s">
        <v>1643</v>
      </c>
      <c r="F335" s="1" t="str">
        <f>"9876704818"</f>
        <v>9876704818</v>
      </c>
      <c r="G335" s="1" t="str">
        <f>"9789876704816"</f>
        <v>9789876704816</v>
      </c>
      <c r="H335" s="1">
        <v>0.0</v>
      </c>
      <c r="I335" s="1">
        <v>4.44</v>
      </c>
      <c r="J335" s="1" t="s">
        <v>1647</v>
      </c>
      <c r="K335" s="1" t="s">
        <v>44</v>
      </c>
      <c r="L335" s="1">
        <v>224.0</v>
      </c>
      <c r="M335" s="1">
        <v>2019.0</v>
      </c>
      <c r="N335" s="1">
        <v>2019.0</v>
      </c>
      <c r="P335" s="2">
        <v>43976.0</v>
      </c>
      <c r="Q335" s="1" t="s">
        <v>818</v>
      </c>
      <c r="R335" s="1" t="s">
        <v>1648</v>
      </c>
      <c r="S335" s="1" t="s">
        <v>32</v>
      </c>
      <c r="W335" s="1">
        <v>0.0</v>
      </c>
      <c r="X335" s="1">
        <v>1.0</v>
      </c>
    </row>
    <row r="336" spans="1:24" ht="15.75" customHeight="1">
      <c r="A336" s="1">
        <v>4.4244939E7</v>
      </c>
      <c r="B336" s="1" t="s">
        <v>1649</v>
      </c>
      <c r="C336" s="1" t="s">
        <v>1650</v>
      </c>
      <c r="D336" s="1" t="s">
        <v>1651</v>
      </c>
      <c r="F336" s="1" t="str">
        <f>"0190673060"</f>
        <v>0190673060</v>
      </c>
      <c r="G336" s="1" t="str">
        <f>"9780190673062"</f>
        <v>9780190673062</v>
      </c>
      <c r="H336" s="1">
        <v>0.0</v>
      </c>
      <c r="I336" s="1">
        <v>4.11</v>
      </c>
      <c r="J336" s="1" t="s">
        <v>181</v>
      </c>
      <c r="K336" s="1" t="s">
        <v>37</v>
      </c>
      <c r="L336" s="1">
        <v>320.0</v>
      </c>
      <c r="M336" s="1">
        <v>2019.0</v>
      </c>
      <c r="N336" s="1">
        <v>2019.0</v>
      </c>
      <c r="P336" s="2">
        <v>44235.0</v>
      </c>
      <c r="Q336" s="1" t="s">
        <v>138</v>
      </c>
      <c r="R336" s="1" t="s">
        <v>1652</v>
      </c>
      <c r="S336" s="1" t="s">
        <v>32</v>
      </c>
      <c r="W336" s="1">
        <v>0.0</v>
      </c>
      <c r="X336" s="1">
        <v>0.0</v>
      </c>
    </row>
    <row r="337" spans="1:24" ht="15.75" customHeight="1">
      <c r="A337" s="1">
        <v>6.115374E7</v>
      </c>
      <c r="B337" s="1" t="s">
        <v>1653</v>
      </c>
      <c r="C337" s="1" t="s">
        <v>1654</v>
      </c>
      <c r="D337" s="1" t="s">
        <v>1655</v>
      </c>
      <c r="F337" s="1" t="str">
        <f>"0593242173"</f>
        <v>0593242173</v>
      </c>
      <c r="G337" s="1" t="str">
        <f>"9780593242179"</f>
        <v>9780593242179</v>
      </c>
      <c r="H337" s="1">
        <v>0.0</v>
      </c>
      <c r="I337" s="1">
        <v>3.85</v>
      </c>
      <c r="J337" s="1" t="s">
        <v>1656</v>
      </c>
      <c r="K337" s="1" t="s">
        <v>37</v>
      </c>
      <c r="L337" s="1">
        <v>240.0</v>
      </c>
      <c r="M337" s="1">
        <v>2023.0</v>
      </c>
      <c r="N337" s="1">
        <v>2023.0</v>
      </c>
      <c r="P337" s="2">
        <v>45015.0</v>
      </c>
      <c r="Q337" s="1" t="s">
        <v>55</v>
      </c>
      <c r="R337" s="1" t="s">
        <v>1657</v>
      </c>
      <c r="S337" s="1" t="s">
        <v>32</v>
      </c>
      <c r="W337" s="1">
        <v>0.0</v>
      </c>
      <c r="X337" s="1">
        <v>0.0</v>
      </c>
    </row>
    <row r="338" spans="1:24" ht="15.75" customHeight="1">
      <c r="A338" s="1">
        <v>206547.0</v>
      </c>
      <c r="B338" s="1" t="s">
        <v>1658</v>
      </c>
      <c r="C338" s="1" t="s">
        <v>1659</v>
      </c>
      <c r="D338" s="1" t="s">
        <v>1660</v>
      </c>
      <c r="F338" s="1" t="str">
        <f>"0141002301"</f>
        <v>0141002301</v>
      </c>
      <c r="G338" s="1" t="str">
        <f>"9780141002309"</f>
        <v>9780141002309</v>
      </c>
      <c r="H338" s="1">
        <v>0.0</v>
      </c>
      <c r="I338" s="1">
        <v>3.96</v>
      </c>
      <c r="J338" s="1" t="s">
        <v>1661</v>
      </c>
      <c r="K338" s="1" t="s">
        <v>44</v>
      </c>
      <c r="L338" s="1">
        <v>78.0</v>
      </c>
      <c r="M338" s="1">
        <v>2001.0</v>
      </c>
      <c r="N338" s="1">
        <v>2001.0</v>
      </c>
      <c r="P338" s="2">
        <v>43589.0</v>
      </c>
      <c r="S338" s="1" t="s">
        <v>271</v>
      </c>
      <c r="W338" s="1">
        <v>1.0</v>
      </c>
      <c r="X338" s="1">
        <v>0.0</v>
      </c>
    </row>
    <row r="339" spans="1:24" ht="15.75" customHeight="1">
      <c r="A339" s="1">
        <v>5.7925153E7</v>
      </c>
      <c r="B339" s="1" t="s">
        <v>1662</v>
      </c>
      <c r="C339" s="1" t="s">
        <v>1663</v>
      </c>
      <c r="D339" s="1" t="s">
        <v>1664</v>
      </c>
      <c r="F339" s="1" t="str">
        <f>"073523700X"</f>
        <v>073523700X</v>
      </c>
      <c r="G339" s="1" t="str">
        <f>"9780735237001"</f>
        <v>9780735237001</v>
      </c>
      <c r="H339" s="1">
        <v>0.0</v>
      </c>
      <c r="I339" s="1">
        <v>4.02</v>
      </c>
      <c r="J339" s="1" t="s">
        <v>1665</v>
      </c>
      <c r="K339" s="1" t="s">
        <v>37</v>
      </c>
      <c r="L339" s="1">
        <v>400.0</v>
      </c>
      <c r="M339" s="1">
        <v>2022.0</v>
      </c>
      <c r="N339" s="1">
        <v>2022.0</v>
      </c>
      <c r="P339" s="2">
        <v>45169.0</v>
      </c>
      <c r="Q339" s="1" t="s">
        <v>1666</v>
      </c>
      <c r="R339" s="1" t="s">
        <v>1667</v>
      </c>
      <c r="S339" s="1" t="s">
        <v>32</v>
      </c>
      <c r="W339" s="1">
        <v>0.0</v>
      </c>
      <c r="X339" s="1">
        <v>0.0</v>
      </c>
    </row>
    <row r="340" spans="1:24" ht="15.75" customHeight="1">
      <c r="A340" s="1">
        <v>2.9875923E7</v>
      </c>
      <c r="B340" s="1" t="s">
        <v>1668</v>
      </c>
      <c r="C340" s="1" t="s">
        <v>1669</v>
      </c>
      <c r="D340" s="1" t="s">
        <v>1670</v>
      </c>
      <c r="F340" s="1" t="str">
        <f>"1555977626"</f>
        <v>1555977626</v>
      </c>
      <c r="G340" s="1" t="str">
        <f>"9781555977627"</f>
        <v>9781555977627</v>
      </c>
      <c r="H340" s="1">
        <v>0.0</v>
      </c>
      <c r="I340" s="1">
        <v>3.86</v>
      </c>
      <c r="J340" s="1" t="s">
        <v>337</v>
      </c>
      <c r="K340" s="1" t="s">
        <v>44</v>
      </c>
      <c r="L340" s="1">
        <v>336.0</v>
      </c>
      <c r="M340" s="1">
        <v>2017.0</v>
      </c>
      <c r="N340" s="1">
        <v>2007.0</v>
      </c>
      <c r="P340" s="2">
        <v>45137.0</v>
      </c>
      <c r="Q340" s="1" t="s">
        <v>32</v>
      </c>
      <c r="R340" s="1" t="s">
        <v>1671</v>
      </c>
      <c r="S340" s="1" t="s">
        <v>32</v>
      </c>
      <c r="W340" s="1">
        <v>0.0</v>
      </c>
      <c r="X340" s="1">
        <v>0.0</v>
      </c>
    </row>
    <row r="341" spans="1:24" ht="15.75" customHeight="1">
      <c r="A341" s="1">
        <v>806076.0</v>
      </c>
      <c r="B341" s="1" t="s">
        <v>1672</v>
      </c>
      <c r="C341" s="1" t="s">
        <v>1673</v>
      </c>
      <c r="D341" s="1" t="s">
        <v>1674</v>
      </c>
      <c r="F341" s="1" t="str">
        <f>"0374529620"</f>
        <v>0374529620</v>
      </c>
      <c r="G341" s="1" t="str">
        <f>"9780374529628"</f>
        <v>9780374529628</v>
      </c>
      <c r="H341" s="1">
        <v>0.0</v>
      </c>
      <c r="I341" s="1">
        <v>3.97</v>
      </c>
      <c r="J341" s="1" t="s">
        <v>438</v>
      </c>
      <c r="K341" s="1" t="s">
        <v>44</v>
      </c>
      <c r="L341" s="1">
        <v>80.0</v>
      </c>
      <c r="M341" s="1">
        <v>2005.0</v>
      </c>
      <c r="N341" s="1">
        <v>2004.0</v>
      </c>
      <c r="P341" s="3">
        <v>43403.0</v>
      </c>
      <c r="Q341" s="1" t="s">
        <v>32</v>
      </c>
      <c r="R341" s="1" t="s">
        <v>1675</v>
      </c>
      <c r="S341" s="1" t="s">
        <v>32</v>
      </c>
      <c r="W341" s="1">
        <v>0.0</v>
      </c>
      <c r="X341" s="1">
        <v>0.0</v>
      </c>
    </row>
    <row r="342" spans="1:24" ht="15.75" customHeight="1">
      <c r="A342" s="1">
        <v>2.3848148E7</v>
      </c>
      <c r="B342" s="1" t="s">
        <v>1676</v>
      </c>
      <c r="C342" s="1" t="s">
        <v>1673</v>
      </c>
      <c r="D342" s="1" t="s">
        <v>1674</v>
      </c>
      <c r="E342" s="1" t="s">
        <v>1677</v>
      </c>
      <c r="F342" s="1" t="str">
        <f>"0374248281"</f>
        <v>0374248281</v>
      </c>
      <c r="G342" s="1" t="str">
        <f>"9780374248284"</f>
        <v>9780374248284</v>
      </c>
      <c r="H342" s="1">
        <v>3.0</v>
      </c>
      <c r="I342" s="1">
        <v>4.0</v>
      </c>
      <c r="J342" s="1" t="s">
        <v>438</v>
      </c>
      <c r="K342" s="1" t="s">
        <v>37</v>
      </c>
      <c r="L342" s="1">
        <v>64.0</v>
      </c>
      <c r="M342" s="1">
        <v>2015.0</v>
      </c>
      <c r="N342" s="1">
        <v>2015.0</v>
      </c>
      <c r="P342" s="2">
        <v>44171.0</v>
      </c>
      <c r="S342" s="1" t="s">
        <v>271</v>
      </c>
      <c r="W342" s="1">
        <v>2.0</v>
      </c>
      <c r="X342" s="1">
        <v>0.0</v>
      </c>
    </row>
    <row r="343" spans="1:24" ht="15.75" customHeight="1">
      <c r="A343" s="1">
        <v>174879.0</v>
      </c>
      <c r="B343" s="1" t="s">
        <v>1678</v>
      </c>
      <c r="C343" s="1" t="s">
        <v>1679</v>
      </c>
      <c r="D343" s="1" t="s">
        <v>1680</v>
      </c>
      <c r="E343" s="1" t="s">
        <v>1681</v>
      </c>
      <c r="F343" s="1" t="str">
        <f>"039575531X"</f>
        <v>039575531X</v>
      </c>
      <c r="G343" s="1" t="str">
        <f>"9780395755310"</f>
        <v>9780395755310</v>
      </c>
      <c r="H343" s="1">
        <v>0.0</v>
      </c>
      <c r="I343" s="1">
        <v>4.16</v>
      </c>
      <c r="J343" s="1" t="s">
        <v>468</v>
      </c>
      <c r="K343" s="1" t="s">
        <v>44</v>
      </c>
      <c r="L343" s="1">
        <v>420.0</v>
      </c>
      <c r="M343" s="1">
        <v>1995.0</v>
      </c>
      <c r="N343" s="1">
        <v>1961.0</v>
      </c>
      <c r="P343" s="2">
        <v>45180.0</v>
      </c>
      <c r="Q343" s="1" t="s">
        <v>1682</v>
      </c>
      <c r="R343" s="1" t="s">
        <v>1683</v>
      </c>
      <c r="S343" s="1" t="s">
        <v>32</v>
      </c>
      <c r="W343" s="1">
        <v>0.0</v>
      </c>
      <c r="X343" s="1">
        <v>0.0</v>
      </c>
    </row>
    <row r="344" spans="1:24" ht="15.75" customHeight="1">
      <c r="A344" s="1">
        <v>32276.0</v>
      </c>
      <c r="B344" s="1" t="s">
        <v>1684</v>
      </c>
      <c r="C344" s="1" t="s">
        <v>1685</v>
      </c>
      <c r="D344" s="1" t="s">
        <v>1686</v>
      </c>
      <c r="F344" s="1" t="str">
        <f>"0345346297"</f>
        <v>0345346297</v>
      </c>
      <c r="G344" s="1" t="str">
        <f>"9780345346292"</f>
        <v>9780345346292</v>
      </c>
      <c r="H344" s="1">
        <v>0.0</v>
      </c>
      <c r="I344" s="1">
        <v>4.19</v>
      </c>
      <c r="J344" s="1" t="s">
        <v>1687</v>
      </c>
      <c r="K344" s="1" t="s">
        <v>44</v>
      </c>
      <c r="L344" s="1">
        <v>271.0</v>
      </c>
      <c r="M344" s="1">
        <v>1986.0</v>
      </c>
      <c r="N344" s="1">
        <v>1977.0</v>
      </c>
      <c r="P344" s="2">
        <v>45165.0</v>
      </c>
      <c r="Q344" s="1" t="s">
        <v>32</v>
      </c>
      <c r="R344" s="1" t="s">
        <v>1688</v>
      </c>
      <c r="S344" s="1" t="s">
        <v>32</v>
      </c>
      <c r="W344" s="1">
        <v>0.0</v>
      </c>
      <c r="X344" s="1">
        <v>0.0</v>
      </c>
    </row>
    <row r="345" spans="1:24" ht="15.75" customHeight="1">
      <c r="A345" s="1">
        <v>78250.0</v>
      </c>
      <c r="B345" s="1" t="s">
        <v>1689</v>
      </c>
      <c r="C345" s="1" t="s">
        <v>1690</v>
      </c>
      <c r="D345" s="1" t="s">
        <v>1691</v>
      </c>
      <c r="F345" s="1" t="str">
        <f>"0671227424"</f>
        <v>0671227424</v>
      </c>
      <c r="G345" s="1" t="str">
        <f>"9780671227425"</f>
        <v>9780671227425</v>
      </c>
      <c r="H345" s="1">
        <v>0.0</v>
      </c>
      <c r="I345" s="1">
        <v>3.94</v>
      </c>
      <c r="J345" s="1" t="s">
        <v>1692</v>
      </c>
      <c r="K345" s="1" t="s">
        <v>44</v>
      </c>
      <c r="L345" s="1">
        <v>288.0</v>
      </c>
      <c r="M345" s="1">
        <v>1983.0</v>
      </c>
      <c r="N345" s="1">
        <v>1968.0</v>
      </c>
      <c r="P345" s="2">
        <v>45154.0</v>
      </c>
      <c r="Q345" s="1" t="s">
        <v>32</v>
      </c>
      <c r="R345" s="1" t="s">
        <v>1693</v>
      </c>
      <c r="S345" s="1" t="s">
        <v>32</v>
      </c>
      <c r="W345" s="1">
        <v>0.0</v>
      </c>
      <c r="X345" s="1">
        <v>0.0</v>
      </c>
    </row>
    <row r="346" spans="1:24" ht="15.75" customHeight="1">
      <c r="A346" s="51">
        <v>56904.0</v>
      </c>
      <c r="B346" s="51" t="s">
        <v>1694</v>
      </c>
      <c r="C346" s="51" t="s">
        <v>1695</v>
      </c>
      <c r="D346" s="51" t="s">
        <v>1696</v>
      </c>
      <c r="E346" s="52"/>
      <c r="F346" s="51" t="str">
        <f>"9681903951"</f>
        <v>9681903951</v>
      </c>
      <c r="G346" s="51" t="str">
        <f>"9789681903954"</f>
        <v>9789681903954</v>
      </c>
      <c r="H346" s="51">
        <v>0.0</v>
      </c>
      <c r="I346" s="51">
        <v>4.02</v>
      </c>
      <c r="J346" s="51" t="s">
        <v>1697</v>
      </c>
      <c r="K346" s="51" t="s">
        <v>44</v>
      </c>
      <c r="L346" s="51">
        <v>573.0</v>
      </c>
      <c r="M346" s="51">
        <v>1998.0</v>
      </c>
      <c r="N346" s="51">
        <v>1992.0</v>
      </c>
      <c r="O346" s="52"/>
      <c r="P346" s="53">
        <v>45235.0</v>
      </c>
      <c r="Q346" s="54" t="s">
        <v>1698</v>
      </c>
      <c r="R346" s="51" t="s">
        <v>1699</v>
      </c>
      <c r="S346" s="51" t="s">
        <v>32</v>
      </c>
      <c r="T346" s="52"/>
      <c r="U346" s="52"/>
      <c r="V346" s="52"/>
      <c r="W346" s="51">
        <v>0.0</v>
      </c>
      <c r="X346" s="51">
        <v>0.0</v>
      </c>
    </row>
    <row r="347" spans="1:24" ht="15.75" customHeight="1">
      <c r="A347" s="51">
        <v>238155.0</v>
      </c>
      <c r="B347" s="51" t="s">
        <v>1700</v>
      </c>
      <c r="C347" s="51" t="s">
        <v>1695</v>
      </c>
      <c r="D347" s="51" t="s">
        <v>1696</v>
      </c>
      <c r="E347" s="52"/>
      <c r="F347" s="51" t="str">
        <f>"0525475281"</f>
        <v>0525475281</v>
      </c>
      <c r="G347" s="51" t="str">
        <f>"9780525475286"</f>
        <v>9780525475286</v>
      </c>
      <c r="H347" s="51">
        <v>0.0</v>
      </c>
      <c r="I347" s="51">
        <v>3.23</v>
      </c>
      <c r="J347" s="51" t="s">
        <v>1701</v>
      </c>
      <c r="K347" s="51" t="s">
        <v>44</v>
      </c>
      <c r="L347" s="51">
        <v>144.0</v>
      </c>
      <c r="M347" s="51">
        <v>1972.0</v>
      </c>
      <c r="N347" s="51">
        <v>1967.0</v>
      </c>
      <c r="O347" s="52"/>
      <c r="P347" s="53">
        <v>43972.0</v>
      </c>
      <c r="Q347" s="54" t="s">
        <v>10992</v>
      </c>
      <c r="R347" s="51" t="s">
        <v>1703</v>
      </c>
      <c r="S347" s="51" t="s">
        <v>32</v>
      </c>
      <c r="T347" s="52"/>
      <c r="U347" s="52"/>
      <c r="V347" s="52"/>
      <c r="W347" s="51">
        <v>0.0</v>
      </c>
      <c r="X347" s="51">
        <v>0.0</v>
      </c>
    </row>
    <row r="348" spans="1:24" ht="15.75" customHeight="1">
      <c r="A348" s="51">
        <v>5.3388537E7</v>
      </c>
      <c r="B348" s="51" t="s">
        <v>1704</v>
      </c>
      <c r="C348" s="51" t="s">
        <v>1695</v>
      </c>
      <c r="D348" s="51" t="s">
        <v>1696</v>
      </c>
      <c r="E348" s="52"/>
      <c r="F348" s="51" t="str">
        <f t="shared" si="24" ref="F348:G348">""</f>
        <v/>
      </c>
      <c r="G348" s="51" t="str">
        <f t="shared" si="24"/>
        <v/>
      </c>
      <c r="H348" s="51">
        <v>0.0</v>
      </c>
      <c r="I348" s="51">
        <v>4.05</v>
      </c>
      <c r="J348" s="51" t="s">
        <v>1705</v>
      </c>
      <c r="K348" s="51" t="s">
        <v>44</v>
      </c>
      <c r="L348" s="51">
        <v>460.0</v>
      </c>
      <c r="M348" s="51">
        <v>1977.0</v>
      </c>
      <c r="N348" s="51">
        <v>1958.0</v>
      </c>
      <c r="O348" s="52"/>
      <c r="P348" s="53">
        <v>44097.0</v>
      </c>
      <c r="Q348" s="54" t="s">
        <v>1706</v>
      </c>
      <c r="R348" s="51" t="s">
        <v>1707</v>
      </c>
      <c r="S348" s="51" t="s">
        <v>32</v>
      </c>
      <c r="T348" s="52"/>
      <c r="U348" s="52"/>
      <c r="V348" s="52"/>
      <c r="W348" s="51">
        <v>0.0</v>
      </c>
      <c r="X348" s="51">
        <v>1.0</v>
      </c>
    </row>
    <row r="349" spans="1:24" ht="15.75" customHeight="1">
      <c r="A349" s="51">
        <v>6885122.0</v>
      </c>
      <c r="B349" s="51" t="s">
        <v>1708</v>
      </c>
      <c r="C349" s="51" t="s">
        <v>1695</v>
      </c>
      <c r="D349" s="51" t="s">
        <v>1696</v>
      </c>
      <c r="E349" s="52"/>
      <c r="F349" s="51" t="str">
        <f>"9682316855"</f>
        <v>9682316855</v>
      </c>
      <c r="G349" s="51" t="str">
        <f>"9789682316852"</f>
        <v>9789682316852</v>
      </c>
      <c r="H349" s="51">
        <v>0.0</v>
      </c>
      <c r="I349" s="51">
        <v>3.79</v>
      </c>
      <c r="J349" s="51" t="s">
        <v>1709</v>
      </c>
      <c r="K349" s="51" t="s">
        <v>44</v>
      </c>
      <c r="L349" s="51">
        <v>187.0</v>
      </c>
      <c r="M349" s="51">
        <v>2005.0</v>
      </c>
      <c r="N349" s="51">
        <v>1970.0</v>
      </c>
      <c r="O349" s="52"/>
      <c r="P349" s="53">
        <v>43972.0</v>
      </c>
      <c r="Q349" s="54" t="s">
        <v>10992</v>
      </c>
      <c r="R349" s="51" t="s">
        <v>1710</v>
      </c>
      <c r="S349" s="51" t="s">
        <v>32</v>
      </c>
      <c r="T349" s="52"/>
      <c r="U349" s="52"/>
      <c r="V349" s="52"/>
      <c r="W349" s="51">
        <v>0.0</v>
      </c>
      <c r="X349" s="51">
        <v>0.0</v>
      </c>
    </row>
    <row r="350" spans="1:24" ht="15.75" customHeight="1">
      <c r="A350" s="1">
        <v>5.2759282E7</v>
      </c>
      <c r="B350" s="1" t="s">
        <v>1711</v>
      </c>
      <c r="C350" s="1" t="s">
        <v>1712</v>
      </c>
      <c r="D350" s="1" t="s">
        <v>1713</v>
      </c>
      <c r="F350" s="1" t="str">
        <f>"1982145625"</f>
        <v>1982145625</v>
      </c>
      <c r="G350" s="1" t="str">
        <f>"9781982145620"</f>
        <v>9781982145620</v>
      </c>
      <c r="H350" s="1">
        <v>0.0</v>
      </c>
      <c r="I350" s="1">
        <v>4.01</v>
      </c>
      <c r="J350" s="1" t="s">
        <v>622</v>
      </c>
      <c r="K350" s="1" t="s">
        <v>37</v>
      </c>
      <c r="L350" s="1">
        <v>320.0</v>
      </c>
      <c r="M350" s="1">
        <v>2020.0</v>
      </c>
      <c r="N350" s="1">
        <v>2020.0</v>
      </c>
      <c r="P350" s="2">
        <v>45173.0</v>
      </c>
      <c r="Q350" s="1" t="s">
        <v>55</v>
      </c>
      <c r="R350" s="1" t="s">
        <v>1714</v>
      </c>
      <c r="S350" s="1" t="s">
        <v>32</v>
      </c>
      <c r="W350" s="1">
        <v>0.0</v>
      </c>
      <c r="X350" s="1">
        <v>0.0</v>
      </c>
    </row>
    <row r="351" spans="1:24" ht="15.75" customHeight="1">
      <c r="A351" s="1">
        <v>86349.0</v>
      </c>
      <c r="B351" s="1" t="s">
        <v>1715</v>
      </c>
      <c r="C351" s="1" t="s">
        <v>1716</v>
      </c>
      <c r="D351" s="1" t="s">
        <v>1717</v>
      </c>
      <c r="E351" s="1" t="s">
        <v>1718</v>
      </c>
      <c r="F351" s="1" t="str">
        <f>"0814731325"</f>
        <v>0814731325</v>
      </c>
      <c r="G351" s="1" t="str">
        <f>"9780814731321"</f>
        <v>9780814731321</v>
      </c>
      <c r="H351" s="1">
        <v>0.0</v>
      </c>
      <c r="I351" s="1">
        <v>4.12</v>
      </c>
      <c r="J351" s="1" t="s">
        <v>1719</v>
      </c>
      <c r="K351" s="1" t="s">
        <v>44</v>
      </c>
      <c r="L351" s="1">
        <v>416.0</v>
      </c>
      <c r="M351" s="1">
        <v>1999.0</v>
      </c>
      <c r="N351" s="1">
        <v>1997.0</v>
      </c>
      <c r="P351" s="3">
        <v>45277.0</v>
      </c>
      <c r="Q351" s="1" t="s">
        <v>479</v>
      </c>
      <c r="R351" s="1" t="s">
        <v>1720</v>
      </c>
      <c r="S351" s="1" t="s">
        <v>32</v>
      </c>
      <c r="W351" s="1">
        <v>0.0</v>
      </c>
      <c r="X351" s="1">
        <v>0.0</v>
      </c>
    </row>
    <row r="352" spans="1:24" ht="15.75" customHeight="1">
      <c r="A352" s="1">
        <v>7976610.0</v>
      </c>
      <c r="B352" s="1" t="s">
        <v>1721</v>
      </c>
      <c r="C352" s="1" t="s">
        <v>1722</v>
      </c>
      <c r="D352" s="1" t="s">
        <v>1723</v>
      </c>
      <c r="E352" s="1" t="s">
        <v>1724</v>
      </c>
      <c r="F352" s="1" t="str">
        <f>"098416670X"</f>
        <v>098416670X</v>
      </c>
      <c r="G352" s="1" t="str">
        <f>"9780984166701"</f>
        <v>9780984166701</v>
      </c>
      <c r="H352" s="1">
        <v>0.0</v>
      </c>
      <c r="I352" s="1">
        <v>0.0</v>
      </c>
      <c r="J352" s="1" t="s">
        <v>1725</v>
      </c>
      <c r="K352" s="1" t="s">
        <v>37</v>
      </c>
      <c r="L352" s="1">
        <v>240.0</v>
      </c>
      <c r="M352" s="1">
        <v>2010.0</v>
      </c>
      <c r="P352" s="2">
        <v>45136.0</v>
      </c>
      <c r="Q352" s="1" t="s">
        <v>115</v>
      </c>
      <c r="R352" s="1" t="s">
        <v>1726</v>
      </c>
      <c r="S352" s="1" t="s">
        <v>32</v>
      </c>
      <c r="W352" s="1">
        <v>0.0</v>
      </c>
      <c r="X352" s="1">
        <v>1.0</v>
      </c>
    </row>
    <row r="353" spans="1:24" ht="15.75" customHeight="1">
      <c r="A353" s="1">
        <v>3284612.0</v>
      </c>
      <c r="B353" s="1" t="s">
        <v>1727</v>
      </c>
      <c r="C353" s="1" t="s">
        <v>1728</v>
      </c>
      <c r="D353" s="1" t="s">
        <v>1729</v>
      </c>
      <c r="F353" s="1" t="str">
        <f>"0847831124"</f>
        <v>0847831124</v>
      </c>
      <c r="G353" s="1" t="str">
        <f>"9780847831128"</f>
        <v>9780847831128</v>
      </c>
      <c r="H353" s="1">
        <v>0.0</v>
      </c>
      <c r="I353" s="1">
        <v>3.96</v>
      </c>
      <c r="J353" s="1" t="s">
        <v>1730</v>
      </c>
      <c r="K353" s="1" t="s">
        <v>44</v>
      </c>
      <c r="L353" s="1">
        <v>256.0</v>
      </c>
      <c r="M353" s="1">
        <v>2008.0</v>
      </c>
      <c r="N353" s="1">
        <v>2008.0</v>
      </c>
      <c r="P353" s="2">
        <v>45138.0</v>
      </c>
      <c r="Q353" s="1" t="s">
        <v>32</v>
      </c>
      <c r="R353" s="1" t="s">
        <v>1731</v>
      </c>
      <c r="S353" s="1" t="s">
        <v>32</v>
      </c>
      <c r="W353" s="1">
        <v>0.0</v>
      </c>
      <c r="X353" s="1">
        <v>0.0</v>
      </c>
    </row>
    <row r="354" spans="1:24" ht="15.75" customHeight="1">
      <c r="A354" s="1">
        <v>1.3792158E7</v>
      </c>
      <c r="B354" s="1" t="s">
        <v>1732</v>
      </c>
      <c r="C354" s="1" t="s">
        <v>1733</v>
      </c>
      <c r="D354" s="1" t="s">
        <v>1734</v>
      </c>
      <c r="F354" s="1" t="str">
        <f>"0810875985"</f>
        <v>0810875985</v>
      </c>
      <c r="G354" s="1" t="str">
        <f>"9780810875982"</f>
        <v>9780810875982</v>
      </c>
      <c r="H354" s="1">
        <v>0.0</v>
      </c>
      <c r="I354" s="1">
        <v>5.0</v>
      </c>
      <c r="J354" s="1" t="s">
        <v>1735</v>
      </c>
      <c r="K354" s="1" t="s">
        <v>44</v>
      </c>
      <c r="L354" s="1">
        <v>430.0</v>
      </c>
      <c r="M354" s="1">
        <v>2010.0</v>
      </c>
      <c r="N354" s="1">
        <v>2010.0</v>
      </c>
      <c r="P354" s="2">
        <v>44261.0</v>
      </c>
      <c r="Q354" s="1" t="s">
        <v>1258</v>
      </c>
      <c r="R354" s="1" t="s">
        <v>1736</v>
      </c>
      <c r="S354" s="1" t="s">
        <v>32</v>
      </c>
      <c r="W354" s="1">
        <v>0.0</v>
      </c>
      <c r="X354" s="1">
        <v>0.0</v>
      </c>
    </row>
    <row r="355" spans="1:24" ht="15.75" customHeight="1">
      <c r="A355" s="1">
        <v>31788.0</v>
      </c>
      <c r="B355" s="1" t="s">
        <v>1737</v>
      </c>
      <c r="C355" s="1" t="s">
        <v>1733</v>
      </c>
      <c r="D355" s="1" t="s">
        <v>1734</v>
      </c>
      <c r="F355" s="1" t="str">
        <f>"025207467X"</f>
        <v>025207467X</v>
      </c>
      <c r="G355" s="1" t="str">
        <f>"9780252074677"</f>
        <v>9780252074677</v>
      </c>
      <c r="H355" s="1">
        <v>0.0</v>
      </c>
      <c r="I355" s="1">
        <v>3.43</v>
      </c>
      <c r="J355" s="1" t="s">
        <v>1738</v>
      </c>
      <c r="K355" s="1" t="s">
        <v>44</v>
      </c>
      <c r="L355" s="1">
        <v>240.0</v>
      </c>
      <c r="M355" s="1">
        <v>2007.0</v>
      </c>
      <c r="N355" s="1">
        <v>2003.0</v>
      </c>
      <c r="P355" s="2">
        <v>44261.0</v>
      </c>
      <c r="Q355" s="1" t="s">
        <v>1739</v>
      </c>
      <c r="R355" s="1" t="s">
        <v>1740</v>
      </c>
      <c r="S355" s="1" t="s">
        <v>32</v>
      </c>
      <c r="W355" s="1">
        <v>0.0</v>
      </c>
      <c r="X355" s="1">
        <v>0.0</v>
      </c>
    </row>
    <row r="356" spans="1:24" ht="15.75" customHeight="1">
      <c r="A356" s="1">
        <v>98780.0</v>
      </c>
      <c r="B356" s="1" t="s">
        <v>1741</v>
      </c>
      <c r="C356" s="1" t="s">
        <v>1742</v>
      </c>
      <c r="D356" s="1" t="s">
        <v>1743</v>
      </c>
      <c r="F356" s="1" t="str">
        <f>"080506270X"</f>
        <v>080506270X</v>
      </c>
      <c r="G356" s="1" t="str">
        <f>"9780805062700"</f>
        <v>9780805062700</v>
      </c>
      <c r="H356" s="1">
        <v>0.0</v>
      </c>
      <c r="I356" s="1">
        <v>3.81</v>
      </c>
      <c r="J356" s="1" t="s">
        <v>1744</v>
      </c>
      <c r="K356" s="1" t="s">
        <v>1745</v>
      </c>
      <c r="L356" s="1">
        <v>296.0</v>
      </c>
      <c r="M356" s="1">
        <v>1999.0</v>
      </c>
      <c r="N356" s="1">
        <v>1998.0</v>
      </c>
      <c r="P356" s="2">
        <v>43934.0</v>
      </c>
      <c r="Q356" s="1" t="s">
        <v>1132</v>
      </c>
      <c r="R356" s="1" t="s">
        <v>1746</v>
      </c>
      <c r="S356" s="1" t="s">
        <v>32</v>
      </c>
      <c r="W356" s="1">
        <v>0.0</v>
      </c>
      <c r="X356" s="1">
        <v>0.0</v>
      </c>
    </row>
    <row r="357" spans="1:24" ht="15.75" customHeight="1">
      <c r="A357" s="1">
        <v>2773442.0</v>
      </c>
      <c r="B357" s="1" t="s">
        <v>1747</v>
      </c>
      <c r="C357" s="1" t="s">
        <v>1748</v>
      </c>
      <c r="D357" s="1" t="s">
        <v>1749</v>
      </c>
      <c r="E357" s="1" t="s">
        <v>1750</v>
      </c>
      <c r="F357" s="1" t="str">
        <f>"0415977770"</f>
        <v>0415977770</v>
      </c>
      <c r="G357" s="1" t="str">
        <f>"9780415977777"</f>
        <v>9780415977777</v>
      </c>
      <c r="H357" s="1">
        <v>0.0</v>
      </c>
      <c r="I357" s="1">
        <v>3.87</v>
      </c>
      <c r="J357" s="1" t="s">
        <v>280</v>
      </c>
      <c r="K357" s="1" t="s">
        <v>44</v>
      </c>
      <c r="L357" s="1">
        <v>624.0</v>
      </c>
      <c r="M357" s="1">
        <v>2007.0</v>
      </c>
      <c r="N357" s="1">
        <v>1997.0</v>
      </c>
      <c r="P357" s="2">
        <v>43926.0</v>
      </c>
      <c r="Q357" s="1" t="s">
        <v>32</v>
      </c>
      <c r="R357" s="1" t="s">
        <v>1751</v>
      </c>
      <c r="S357" s="1" t="s">
        <v>32</v>
      </c>
      <c r="W357" s="1">
        <v>0.0</v>
      </c>
      <c r="X357" s="1">
        <v>0.0</v>
      </c>
    </row>
    <row r="358" spans="1:24" ht="15.75" customHeight="1">
      <c r="A358" s="1">
        <v>91686.0</v>
      </c>
      <c r="B358" s="1" t="s">
        <v>1752</v>
      </c>
      <c r="C358" s="1" t="s">
        <v>1753</v>
      </c>
      <c r="D358" s="1" t="s">
        <v>1754</v>
      </c>
      <c r="E358" s="1" t="s">
        <v>737</v>
      </c>
      <c r="F358" s="1" t="str">
        <f>"1590170067"</f>
        <v>1590170067</v>
      </c>
      <c r="G358" s="1" t="str">
        <f>"9781590170069"</f>
        <v>9781590170069</v>
      </c>
      <c r="H358" s="1">
        <v>0.0</v>
      </c>
      <c r="I358" s="1">
        <v>3.86</v>
      </c>
      <c r="J358" s="1" t="s">
        <v>204</v>
      </c>
      <c r="K358" s="1" t="s">
        <v>44</v>
      </c>
      <c r="L358" s="1">
        <v>319.0</v>
      </c>
      <c r="M358" s="1">
        <v>2002.0</v>
      </c>
      <c r="N358" s="1">
        <v>1984.0</v>
      </c>
      <c r="P358" s="2">
        <v>45164.0</v>
      </c>
      <c r="Q358" s="1" t="s">
        <v>32</v>
      </c>
      <c r="R358" s="1" t="s">
        <v>1755</v>
      </c>
      <c r="S358" s="1" t="s">
        <v>32</v>
      </c>
      <c r="W358" s="1">
        <v>0.0</v>
      </c>
      <c r="X358" s="1">
        <v>0.0</v>
      </c>
    </row>
    <row r="359" spans="1:24" ht="15.75" customHeight="1">
      <c r="A359" s="1">
        <v>865440.0</v>
      </c>
      <c r="B359" s="1" t="s">
        <v>1756</v>
      </c>
      <c r="C359" s="1" t="s">
        <v>1757</v>
      </c>
      <c r="D359" s="1" t="s">
        <v>1758</v>
      </c>
      <c r="F359" s="1" t="str">
        <f>"0521627176"</f>
        <v>0521627176</v>
      </c>
      <c r="G359" s="1" t="str">
        <f>"9780521627177"</f>
        <v>9780521627177</v>
      </c>
      <c r="H359" s="1">
        <v>0.0</v>
      </c>
      <c r="I359" s="1">
        <v>4.11</v>
      </c>
      <c r="J359" s="1" t="s">
        <v>388</v>
      </c>
      <c r="K359" s="1" t="s">
        <v>44</v>
      </c>
      <c r="L359" s="1">
        <v>540.0</v>
      </c>
      <c r="M359" s="1">
        <v>1998.0</v>
      </c>
      <c r="N359" s="1">
        <v>1996.0</v>
      </c>
      <c r="P359" s="3">
        <v>45278.0</v>
      </c>
      <c r="Q359" s="1" t="s">
        <v>479</v>
      </c>
      <c r="R359" s="1" t="s">
        <v>1759</v>
      </c>
      <c r="S359" s="1" t="s">
        <v>32</v>
      </c>
      <c r="W359" s="1">
        <v>0.0</v>
      </c>
      <c r="X359" s="1">
        <v>0.0</v>
      </c>
    </row>
    <row r="360" spans="1:24" ht="15.75" customHeight="1">
      <c r="A360" s="1">
        <v>4.2879606E7</v>
      </c>
      <c r="B360" s="1" t="s">
        <v>1760</v>
      </c>
      <c r="C360" s="1" t="s">
        <v>1761</v>
      </c>
      <c r="D360" s="1" t="s">
        <v>1762</v>
      </c>
      <c r="E360" s="1" t="s">
        <v>1763</v>
      </c>
      <c r="F360" s="1" t="str">
        <f>"1788840267"</f>
        <v>1788840267</v>
      </c>
      <c r="G360" s="1" t="str">
        <f>"9781788840262"</f>
        <v>9781788840262</v>
      </c>
      <c r="H360" s="1">
        <v>0.0</v>
      </c>
      <c r="I360" s="1">
        <v>5.0</v>
      </c>
      <c r="J360" s="1" t="s">
        <v>1764</v>
      </c>
      <c r="K360" s="1" t="s">
        <v>37</v>
      </c>
      <c r="L360" s="1">
        <v>240.0</v>
      </c>
      <c r="M360" s="1">
        <v>2019.0</v>
      </c>
      <c r="P360" s="2">
        <v>44812.0</v>
      </c>
      <c r="Q360" s="1" t="s">
        <v>32</v>
      </c>
      <c r="R360" s="1" t="s">
        <v>1765</v>
      </c>
      <c r="S360" s="1" t="s">
        <v>32</v>
      </c>
      <c r="W360" s="1">
        <v>0.0</v>
      </c>
      <c r="X360" s="1">
        <v>0.0</v>
      </c>
    </row>
    <row r="361" spans="1:24" ht="15.75" customHeight="1">
      <c r="A361" s="1">
        <v>6202980.0</v>
      </c>
      <c r="B361" s="1" t="s">
        <v>1766</v>
      </c>
      <c r="C361" s="1" t="s">
        <v>1767</v>
      </c>
      <c r="D361" s="1" t="s">
        <v>1768</v>
      </c>
      <c r="F361" s="1" t="str">
        <f>"1934103063"</f>
        <v>1934103063</v>
      </c>
      <c r="G361" s="1" t="str">
        <f>"9781934103067"</f>
        <v>9781934103067</v>
      </c>
      <c r="H361" s="1">
        <v>0.0</v>
      </c>
      <c r="I361" s="1">
        <v>4.27</v>
      </c>
      <c r="J361" s="1" t="s">
        <v>730</v>
      </c>
      <c r="K361" s="1" t="s">
        <v>44</v>
      </c>
      <c r="L361" s="1">
        <v>96.0</v>
      </c>
      <c r="M361" s="1">
        <v>2009.0</v>
      </c>
      <c r="N361" s="1">
        <v>2009.0</v>
      </c>
      <c r="P361" s="2">
        <v>45113.0</v>
      </c>
      <c r="Q361" s="1" t="s">
        <v>449</v>
      </c>
      <c r="R361" s="1" t="s">
        <v>1769</v>
      </c>
      <c r="S361" s="1" t="s">
        <v>32</v>
      </c>
      <c r="W361" s="1">
        <v>0.0</v>
      </c>
      <c r="X361" s="1">
        <v>1.0</v>
      </c>
    </row>
    <row r="362" spans="1:24" ht="15.75" customHeight="1">
      <c r="A362" s="1">
        <v>37380.0</v>
      </c>
      <c r="B362" s="1" t="s">
        <v>1770</v>
      </c>
      <c r="C362" s="1" t="s">
        <v>1771</v>
      </c>
      <c r="D362" s="1" t="s">
        <v>1772</v>
      </c>
      <c r="F362" s="1" t="str">
        <f>"0618084746"</f>
        <v>0618084746</v>
      </c>
      <c r="G362" s="1" t="str">
        <f>"9780618084746"</f>
        <v>9780618084746</v>
      </c>
      <c r="H362" s="1">
        <v>0.0</v>
      </c>
      <c r="I362" s="1">
        <v>3.99</v>
      </c>
      <c r="J362" s="1" t="s">
        <v>1773</v>
      </c>
      <c r="K362" s="1" t="s">
        <v>44</v>
      </c>
      <c r="L362" s="1">
        <v>359.0</v>
      </c>
      <c r="M362" s="1">
        <v>1961.0</v>
      </c>
      <c r="N362" s="1">
        <v>1940.0</v>
      </c>
      <c r="P362" s="2">
        <v>44226.0</v>
      </c>
      <c r="Q362" s="1" t="s">
        <v>502</v>
      </c>
      <c r="R362" s="1" t="s">
        <v>1774</v>
      </c>
      <c r="S362" s="1" t="s">
        <v>32</v>
      </c>
      <c r="W362" s="1">
        <v>0.0</v>
      </c>
      <c r="X362" s="1">
        <v>0.0</v>
      </c>
    </row>
    <row r="363" spans="1:24" ht="15.75" customHeight="1">
      <c r="A363" s="1">
        <v>4.1805298E7</v>
      </c>
      <c r="B363" s="1" t="s">
        <v>1775</v>
      </c>
      <c r="C363" s="1" t="s">
        <v>1776</v>
      </c>
      <c r="D363" s="1" t="s">
        <v>1777</v>
      </c>
      <c r="E363" s="1" t="s">
        <v>1778</v>
      </c>
      <c r="F363" s="1" t="str">
        <f>"1578636485"</f>
        <v>1578636485</v>
      </c>
      <c r="G363" s="1" t="str">
        <f>"9781578636488"</f>
        <v>9781578636488</v>
      </c>
      <c r="H363" s="1">
        <v>0.0</v>
      </c>
      <c r="I363" s="1">
        <v>4.13</v>
      </c>
      <c r="J363" s="1" t="s">
        <v>405</v>
      </c>
      <c r="K363" s="1" t="s">
        <v>44</v>
      </c>
      <c r="L363" s="1">
        <v>224.0</v>
      </c>
      <c r="M363" s="1">
        <v>2019.0</v>
      </c>
      <c r="N363" s="1">
        <v>2019.0</v>
      </c>
      <c r="P363" s="2">
        <v>44790.0</v>
      </c>
      <c r="Q363" s="1" t="s">
        <v>32</v>
      </c>
      <c r="R363" s="1" t="s">
        <v>1779</v>
      </c>
      <c r="S363" s="1" t="s">
        <v>32</v>
      </c>
      <c r="W363" s="1">
        <v>0.0</v>
      </c>
      <c r="X363" s="1">
        <v>0.0</v>
      </c>
    </row>
    <row r="364" spans="1:24" ht="15.75" customHeight="1">
      <c r="A364" s="1">
        <v>2470204.0</v>
      </c>
      <c r="B364" s="1" t="s">
        <v>1780</v>
      </c>
      <c r="C364" s="1" t="s">
        <v>1781</v>
      </c>
      <c r="D364" s="1" t="s">
        <v>1782</v>
      </c>
      <c r="F364" s="1" t="str">
        <f>""</f>
        <v/>
      </c>
      <c r="G364" s="1" t="str">
        <f>"9789681603007"</f>
        <v>9789681603007</v>
      </c>
      <c r="H364" s="1">
        <v>0.0</v>
      </c>
      <c r="I364" s="1">
        <v>3.76</v>
      </c>
      <c r="J364" s="1" t="s">
        <v>1783</v>
      </c>
      <c r="K364" s="1" t="s">
        <v>44</v>
      </c>
      <c r="L364" s="1">
        <v>355.0</v>
      </c>
      <c r="M364" s="1">
        <v>2013.0</v>
      </c>
      <c r="N364" s="1">
        <v>1734.0</v>
      </c>
      <c r="P364" s="2">
        <v>44960.0</v>
      </c>
      <c r="Q364" s="1" t="s">
        <v>45</v>
      </c>
      <c r="R364" s="1" t="s">
        <v>1784</v>
      </c>
      <c r="S364" s="1" t="s">
        <v>32</v>
      </c>
      <c r="W364" s="1">
        <v>0.0</v>
      </c>
      <c r="X364" s="1">
        <v>0.0</v>
      </c>
    </row>
    <row r="365" spans="1:24" ht="15.75" customHeight="1">
      <c r="A365" s="1">
        <v>5.154237E7</v>
      </c>
      <c r="B365" s="1" t="s">
        <v>1785</v>
      </c>
      <c r="C365" s="1" t="s">
        <v>1786</v>
      </c>
      <c r="D365" s="1" t="s">
        <v>1787</v>
      </c>
      <c r="F365" s="1" t="str">
        <f>"0374230927"</f>
        <v>0374230927</v>
      </c>
      <c r="G365" s="1" t="str">
        <f>"9780374230920"</f>
        <v>9780374230920</v>
      </c>
      <c r="H365" s="1">
        <v>0.0</v>
      </c>
      <c r="I365" s="1">
        <v>3.7</v>
      </c>
      <c r="J365" s="1" t="s">
        <v>438</v>
      </c>
      <c r="K365" s="1" t="s">
        <v>37</v>
      </c>
      <c r="L365" s="1">
        <v>224.0</v>
      </c>
      <c r="M365" s="1">
        <v>2020.0</v>
      </c>
      <c r="N365" s="1">
        <v>2020.0</v>
      </c>
      <c r="P365" s="2">
        <v>44034.0</v>
      </c>
      <c r="Q365" s="1" t="s">
        <v>32</v>
      </c>
      <c r="R365" s="1" t="s">
        <v>1788</v>
      </c>
      <c r="S365" s="1" t="s">
        <v>32</v>
      </c>
      <c r="W365" s="1">
        <v>0.0</v>
      </c>
      <c r="X365" s="1">
        <v>0.0</v>
      </c>
    </row>
    <row r="366" spans="1:24" ht="15.75" customHeight="1">
      <c r="A366" s="1">
        <v>4063515.0</v>
      </c>
      <c r="B366" s="1" t="s">
        <v>1789</v>
      </c>
      <c r="C366" s="1" t="s">
        <v>1790</v>
      </c>
      <c r="D366" s="1" t="s">
        <v>1791</v>
      </c>
      <c r="E366" s="1" t="s">
        <v>1792</v>
      </c>
      <c r="F366" s="1" t="str">
        <f>"0822955326"</f>
        <v>0822955326</v>
      </c>
      <c r="G366" s="1" t="str">
        <f>"9780822955320"</f>
        <v>9780822955320</v>
      </c>
      <c r="H366" s="1">
        <v>0.0</v>
      </c>
      <c r="I366" s="1">
        <v>5.0</v>
      </c>
      <c r="J366" s="1" t="s">
        <v>1793</v>
      </c>
      <c r="K366" s="1" t="s">
        <v>44</v>
      </c>
      <c r="L366" s="1">
        <v>320.0</v>
      </c>
      <c r="M366" s="1">
        <v>1995.0</v>
      </c>
      <c r="P366" s="3">
        <v>45273.0</v>
      </c>
      <c r="Q366" s="1" t="s">
        <v>479</v>
      </c>
      <c r="R366" s="1" t="s">
        <v>1794</v>
      </c>
      <c r="S366" s="1" t="s">
        <v>32</v>
      </c>
      <c r="W366" s="1">
        <v>0.0</v>
      </c>
      <c r="X366" s="1">
        <v>0.0</v>
      </c>
    </row>
    <row r="367" spans="1:24" ht="15.75" customHeight="1">
      <c r="A367" s="1">
        <v>1259368.0</v>
      </c>
      <c r="B367" s="1" t="s">
        <v>1795</v>
      </c>
      <c r="C367" s="1" t="s">
        <v>1796</v>
      </c>
      <c r="D367" s="1" t="s">
        <v>1797</v>
      </c>
      <c r="F367" s="1" t="str">
        <f>"1891117122"</f>
        <v>1891117122</v>
      </c>
      <c r="G367" s="1" t="str">
        <f>"9781891117121"</f>
        <v>9781891117121</v>
      </c>
      <c r="H367" s="1">
        <v>0.0</v>
      </c>
      <c r="I367" s="1">
        <v>4.02</v>
      </c>
      <c r="J367" s="1" t="s">
        <v>1798</v>
      </c>
      <c r="K367" s="1" t="s">
        <v>44</v>
      </c>
      <c r="L367" s="1">
        <v>543.0</v>
      </c>
      <c r="M367" s="1">
        <v>1998.0</v>
      </c>
      <c r="N367" s="1">
        <v>1998.0</v>
      </c>
      <c r="P367" s="2">
        <v>44808.0</v>
      </c>
      <c r="Q367" s="1" t="s">
        <v>32</v>
      </c>
      <c r="R367" s="1" t="s">
        <v>1799</v>
      </c>
      <c r="S367" s="1" t="s">
        <v>32</v>
      </c>
      <c r="W367" s="1">
        <v>0.0</v>
      </c>
      <c r="X367" s="1">
        <v>0.0</v>
      </c>
    </row>
    <row r="368" spans="1:24" ht="15.75" customHeight="1">
      <c r="A368" s="1">
        <v>3.6863631E7</v>
      </c>
      <c r="B368" s="1" t="s">
        <v>1800</v>
      </c>
      <c r="C368" s="1" t="s">
        <v>1801</v>
      </c>
      <c r="D368" s="1" t="s">
        <v>1802</v>
      </c>
      <c r="F368" s="1" t="str">
        <f>"0135166306"</f>
        <v>0135166306</v>
      </c>
      <c r="G368" s="1" t="str">
        <f>"9780135166307"</f>
        <v>9780135166307</v>
      </c>
      <c r="H368" s="1">
        <v>0.0</v>
      </c>
      <c r="I368" s="1">
        <v>4.18</v>
      </c>
      <c r="J368" s="1" t="s">
        <v>1803</v>
      </c>
      <c r="K368" s="1" t="s">
        <v>44</v>
      </c>
      <c r="L368" s="1">
        <v>928.0</v>
      </c>
      <c r="M368" s="1">
        <v>2018.0</v>
      </c>
      <c r="N368" s="1">
        <v>2007.0</v>
      </c>
      <c r="P368" s="2">
        <v>44814.0</v>
      </c>
      <c r="Q368" s="1" t="s">
        <v>1017</v>
      </c>
      <c r="R368" s="1" t="s">
        <v>1804</v>
      </c>
      <c r="S368" s="1" t="s">
        <v>32</v>
      </c>
      <c r="W368" s="1">
        <v>0.0</v>
      </c>
      <c r="X368" s="1">
        <v>1.0</v>
      </c>
    </row>
    <row r="369" spans="1:24" ht="15.75" customHeight="1">
      <c r="A369" s="1">
        <v>1230482.0</v>
      </c>
      <c r="B369" s="1" t="s">
        <v>1805</v>
      </c>
      <c r="C369" s="1" t="s">
        <v>1806</v>
      </c>
      <c r="D369" s="1" t="s">
        <v>1807</v>
      </c>
      <c r="F369" s="1" t="str">
        <f>"0333082400"</f>
        <v>0333082400</v>
      </c>
      <c r="G369" s="1" t="str">
        <f>"9780333082409"</f>
        <v>9780333082409</v>
      </c>
      <c r="H369" s="1">
        <v>0.0</v>
      </c>
      <c r="I369" s="1">
        <v>4.42</v>
      </c>
      <c r="J369" s="1" t="s">
        <v>1808</v>
      </c>
      <c r="K369" s="1" t="s">
        <v>37</v>
      </c>
      <c r="M369" s="1">
        <v>1943.0</v>
      </c>
      <c r="N369" s="1">
        <v>1967.0</v>
      </c>
      <c r="P369" s="2">
        <v>44960.0</v>
      </c>
      <c r="Q369" s="1" t="s">
        <v>32</v>
      </c>
      <c r="R369" s="1" t="s">
        <v>1809</v>
      </c>
      <c r="S369" s="1" t="s">
        <v>32</v>
      </c>
      <c r="W369" s="1">
        <v>0.0</v>
      </c>
      <c r="X369" s="1">
        <v>0.0</v>
      </c>
    </row>
    <row r="370" spans="1:24" ht="15.75" customHeight="1">
      <c r="A370" s="1">
        <v>1.8160427E7</v>
      </c>
      <c r="B370" s="1" t="s">
        <v>1810</v>
      </c>
      <c r="C370" s="1" t="s">
        <v>1811</v>
      </c>
      <c r="D370" s="1" t="s">
        <v>1812</v>
      </c>
      <c r="F370" s="1" t="str">
        <f>"9871474679"</f>
        <v>9871474679</v>
      </c>
      <c r="G370" s="1" t="str">
        <f>"9789871474677"</f>
        <v>9789871474677</v>
      </c>
      <c r="H370" s="1">
        <v>0.0</v>
      </c>
      <c r="I370" s="1">
        <v>4.06</v>
      </c>
      <c r="J370" s="1" t="s">
        <v>1813</v>
      </c>
      <c r="K370" s="1" t="s">
        <v>44</v>
      </c>
      <c r="L370" s="1">
        <v>160.0</v>
      </c>
      <c r="M370" s="1">
        <v>2012.0</v>
      </c>
      <c r="N370" s="1">
        <v>2012.0</v>
      </c>
      <c r="P370" s="2">
        <v>44284.0</v>
      </c>
      <c r="Q370" s="1" t="s">
        <v>421</v>
      </c>
      <c r="R370" s="1" t="s">
        <v>1814</v>
      </c>
      <c r="S370" s="1" t="s">
        <v>32</v>
      </c>
      <c r="W370" s="1">
        <v>0.0</v>
      </c>
      <c r="X370" s="1">
        <v>0.0</v>
      </c>
    </row>
    <row r="371" spans="1:24" ht="15.75" customHeight="1">
      <c r="A371" s="1">
        <v>4.9079377E7</v>
      </c>
      <c r="B371" s="1" t="s">
        <v>1815</v>
      </c>
      <c r="C371" s="1" t="s">
        <v>1811</v>
      </c>
      <c r="D371" s="1" t="s">
        <v>1812</v>
      </c>
      <c r="F371" s="1" t="str">
        <f>"9569667362"</f>
        <v>9569667362</v>
      </c>
      <c r="G371" s="1" t="str">
        <f>"9789569667367"</f>
        <v>9789569667367</v>
      </c>
      <c r="H371" s="1">
        <v>0.0</v>
      </c>
      <c r="I371" s="1">
        <v>4.07</v>
      </c>
      <c r="J371" s="1" t="s">
        <v>1184</v>
      </c>
      <c r="K371" s="1" t="s">
        <v>44</v>
      </c>
      <c r="L371" s="1">
        <v>86.0</v>
      </c>
      <c r="M371" s="1">
        <v>2019.0</v>
      </c>
      <c r="P371" s="2">
        <v>44284.0</v>
      </c>
      <c r="Q371" s="1" t="s">
        <v>32</v>
      </c>
      <c r="R371" s="1" t="s">
        <v>1816</v>
      </c>
      <c r="S371" s="1" t="s">
        <v>32</v>
      </c>
      <c r="W371" s="1">
        <v>0.0</v>
      </c>
      <c r="X371" s="1">
        <v>0.0</v>
      </c>
    </row>
    <row r="372" spans="1:24" ht="15.75" customHeight="1">
      <c r="A372" s="1">
        <v>4286863.0</v>
      </c>
      <c r="B372" s="1" t="s">
        <v>1817</v>
      </c>
      <c r="C372" s="1" t="s">
        <v>1818</v>
      </c>
      <c r="D372" s="1" t="s">
        <v>1819</v>
      </c>
      <c r="E372" s="1" t="s">
        <v>1818</v>
      </c>
      <c r="F372" s="1" t="str">
        <f>"0810983206"</f>
        <v>0810983206</v>
      </c>
      <c r="G372" s="1" t="str">
        <f>"9780810983205"</f>
        <v>9780810983205</v>
      </c>
      <c r="H372" s="1">
        <v>0.0</v>
      </c>
      <c r="I372" s="1">
        <v>4.12</v>
      </c>
      <c r="J372" s="1" t="s">
        <v>1820</v>
      </c>
      <c r="K372" s="1" t="s">
        <v>37</v>
      </c>
      <c r="L372" s="1">
        <v>160.0</v>
      </c>
      <c r="M372" s="1">
        <v>2008.0</v>
      </c>
      <c r="N372" s="1">
        <v>2006.0</v>
      </c>
      <c r="P372" s="2">
        <v>45161.0</v>
      </c>
      <c r="Q372" s="1" t="s">
        <v>1821</v>
      </c>
      <c r="R372" s="1" t="s">
        <v>1822</v>
      </c>
      <c r="S372" s="1" t="s">
        <v>32</v>
      </c>
      <c r="W372" s="1">
        <v>0.0</v>
      </c>
      <c r="X372" s="1">
        <v>1.0</v>
      </c>
    </row>
    <row r="373" spans="1:24" ht="15.75" customHeight="1">
      <c r="A373" s="1">
        <v>3.2303187E7</v>
      </c>
      <c r="B373" s="1" t="s">
        <v>1823</v>
      </c>
      <c r="C373" s="1" t="s">
        <v>1824</v>
      </c>
      <c r="D373" s="1" t="s">
        <v>1825</v>
      </c>
      <c r="E373" s="1" t="s">
        <v>1826</v>
      </c>
      <c r="F373" s="1" t="str">
        <f>"1784787191"</f>
        <v>1784787191</v>
      </c>
      <c r="G373" s="1" t="str">
        <f>"9781784787196"</f>
        <v>9781784787196</v>
      </c>
      <c r="H373" s="1">
        <v>0.0</v>
      </c>
      <c r="I373" s="1">
        <v>3.71</v>
      </c>
      <c r="J373" s="1" t="s">
        <v>720</v>
      </c>
      <c r="K373" s="1" t="s">
        <v>44</v>
      </c>
      <c r="L373" s="1">
        <v>164.0</v>
      </c>
      <c r="M373" s="1">
        <v>2017.0</v>
      </c>
      <c r="N373" s="1">
        <v>2014.0</v>
      </c>
      <c r="P373" s="3">
        <v>43038.0</v>
      </c>
      <c r="Q373" s="1" t="s">
        <v>32</v>
      </c>
      <c r="R373" s="1" t="s">
        <v>1827</v>
      </c>
      <c r="S373" s="1" t="s">
        <v>32</v>
      </c>
      <c r="W373" s="1">
        <v>0.0</v>
      </c>
      <c r="X373" s="1">
        <v>0.0</v>
      </c>
    </row>
    <row r="374" spans="1:24" ht="15.75" customHeight="1">
      <c r="A374" s="1">
        <v>152809.0</v>
      </c>
      <c r="B374" s="1" t="s">
        <v>1828</v>
      </c>
      <c r="C374" s="1" t="s">
        <v>1829</v>
      </c>
      <c r="D374" s="1" t="s">
        <v>1830</v>
      </c>
      <c r="E374" s="1" t="s">
        <v>1831</v>
      </c>
      <c r="F374" s="1" t="str">
        <f>"0811216306"</f>
        <v>0811216306</v>
      </c>
      <c r="G374" s="1" t="str">
        <f>"9780811216302"</f>
        <v>9780811216302</v>
      </c>
      <c r="H374" s="1">
        <v>0.0</v>
      </c>
      <c r="I374" s="1">
        <v>3.87</v>
      </c>
      <c r="J374" s="1" t="s">
        <v>419</v>
      </c>
      <c r="K374" s="1" t="s">
        <v>44</v>
      </c>
      <c r="L374" s="1">
        <v>88.0</v>
      </c>
      <c r="M374" s="1">
        <v>2006.0</v>
      </c>
      <c r="N374" s="1">
        <v>2000.0</v>
      </c>
      <c r="P374" s="2">
        <v>45239.0</v>
      </c>
      <c r="Q374" s="1" t="s">
        <v>145</v>
      </c>
      <c r="R374" s="1" t="s">
        <v>1832</v>
      </c>
      <c r="S374" s="1" t="s">
        <v>32</v>
      </c>
      <c r="W374" s="1">
        <v>0.0</v>
      </c>
      <c r="X374" s="1">
        <v>0.0</v>
      </c>
    </row>
    <row r="375" spans="1:24" ht="15.75" customHeight="1">
      <c r="A375" s="1">
        <v>2.4826356E7</v>
      </c>
      <c r="B375" s="1" t="s">
        <v>1833</v>
      </c>
      <c r="C375" s="1" t="s">
        <v>1829</v>
      </c>
      <c r="D375" s="1" t="s">
        <v>1830</v>
      </c>
      <c r="E375" s="1" t="s">
        <v>1834</v>
      </c>
      <c r="F375" s="1" t="str">
        <f>"0811221083"</f>
        <v>0811221083</v>
      </c>
      <c r="G375" s="1" t="str">
        <f>"9780811221085"</f>
        <v>9780811221085</v>
      </c>
      <c r="H375" s="1">
        <v>0.0</v>
      </c>
      <c r="I375" s="1">
        <v>3.67</v>
      </c>
      <c r="J375" s="1" t="s">
        <v>419</v>
      </c>
      <c r="K375" s="1" t="s">
        <v>44</v>
      </c>
      <c r="L375" s="1">
        <v>101.0</v>
      </c>
      <c r="M375" s="1">
        <v>2015.0</v>
      </c>
      <c r="N375" s="1">
        <v>2006.0</v>
      </c>
      <c r="P375" s="2">
        <v>42485.0</v>
      </c>
      <c r="Q375" s="1" t="s">
        <v>502</v>
      </c>
      <c r="R375" s="1" t="s">
        <v>1835</v>
      </c>
      <c r="S375" s="1" t="s">
        <v>32</v>
      </c>
      <c r="W375" s="1">
        <v>0.0</v>
      </c>
      <c r="X375" s="1">
        <v>0.0</v>
      </c>
    </row>
    <row r="376" spans="1:24" ht="15.75" customHeight="1">
      <c r="A376" s="1">
        <v>152808.0</v>
      </c>
      <c r="B376" s="1" t="s">
        <v>1836</v>
      </c>
      <c r="C376" s="1" t="s">
        <v>1829</v>
      </c>
      <c r="D376" s="1" t="s">
        <v>1830</v>
      </c>
      <c r="E376" s="1" t="s">
        <v>1837</v>
      </c>
      <c r="F376" s="1" t="str">
        <f>"0811216314"</f>
        <v>0811216314</v>
      </c>
      <c r="G376" s="1" t="str">
        <f>"9780811216319"</f>
        <v>9780811216319</v>
      </c>
      <c r="H376" s="1">
        <v>0.0</v>
      </c>
      <c r="I376" s="1">
        <v>3.69</v>
      </c>
      <c r="J376" s="1" t="s">
        <v>419</v>
      </c>
      <c r="K376" s="1" t="s">
        <v>44</v>
      </c>
      <c r="L376" s="1">
        <v>117.0</v>
      </c>
      <c r="M376" s="1">
        <v>2007.0</v>
      </c>
      <c r="N376" s="1">
        <v>1993.0</v>
      </c>
      <c r="P376" s="2">
        <v>41494.0</v>
      </c>
      <c r="Q376" s="1" t="s">
        <v>502</v>
      </c>
      <c r="R376" s="1" t="s">
        <v>1838</v>
      </c>
      <c r="S376" s="1" t="s">
        <v>32</v>
      </c>
      <c r="W376" s="1">
        <v>0.0</v>
      </c>
      <c r="X376" s="1">
        <v>0.0</v>
      </c>
    </row>
    <row r="377" spans="1:24" ht="15.75" customHeight="1">
      <c r="A377" s="1">
        <v>6014397.0</v>
      </c>
      <c r="B377" s="1" t="s">
        <v>1839</v>
      </c>
      <c r="C377" s="1" t="s">
        <v>1840</v>
      </c>
      <c r="D377" s="1" t="s">
        <v>1841</v>
      </c>
      <c r="F377" s="1" t="str">
        <f>"8483109301"</f>
        <v>8483109301</v>
      </c>
      <c r="G377" s="1" t="str">
        <f>"9788483109304"</f>
        <v>9788483109304</v>
      </c>
      <c r="H377" s="1">
        <v>0.0</v>
      </c>
      <c r="I377" s="1">
        <v>4.27</v>
      </c>
      <c r="J377" s="1" t="s">
        <v>1842</v>
      </c>
      <c r="K377" s="1" t="s">
        <v>44</v>
      </c>
      <c r="L377" s="1">
        <v>96.0</v>
      </c>
      <c r="M377" s="1">
        <v>2004.0</v>
      </c>
      <c r="N377" s="1">
        <v>2004.0</v>
      </c>
      <c r="P377" s="2">
        <v>44211.0</v>
      </c>
      <c r="Q377" s="1" t="s">
        <v>32</v>
      </c>
      <c r="R377" s="1" t="s">
        <v>1843</v>
      </c>
      <c r="S377" s="1" t="s">
        <v>32</v>
      </c>
      <c r="W377" s="1">
        <v>0.0</v>
      </c>
      <c r="X377" s="1">
        <v>0.0</v>
      </c>
    </row>
    <row r="378" spans="1:24" ht="15.75" customHeight="1">
      <c r="A378" s="1">
        <v>433547.0</v>
      </c>
      <c r="B378" s="1" t="s">
        <v>1844</v>
      </c>
      <c r="C378" s="1" t="s">
        <v>1845</v>
      </c>
      <c r="D378" s="1" t="s">
        <v>1846</v>
      </c>
      <c r="F378" s="1" t="str">
        <f>"0892551526"</f>
        <v>0892551526</v>
      </c>
      <c r="G378" s="1" t="str">
        <f>"9780892551521"</f>
        <v>9780892551521</v>
      </c>
      <c r="H378" s="1">
        <v>0.0</v>
      </c>
      <c r="I378" s="1">
        <v>3.93</v>
      </c>
      <c r="J378" s="1" t="s">
        <v>1847</v>
      </c>
      <c r="K378" s="1" t="s">
        <v>44</v>
      </c>
      <c r="L378" s="1">
        <v>266.0</v>
      </c>
      <c r="M378" s="1">
        <v>1990.0</v>
      </c>
      <c r="N378" s="1">
        <v>1984.0</v>
      </c>
      <c r="P378" s="2">
        <v>44840.0</v>
      </c>
      <c r="Q378" s="1" t="s">
        <v>1848</v>
      </c>
      <c r="R378" s="1" t="s">
        <v>1849</v>
      </c>
      <c r="S378" s="1" t="s">
        <v>32</v>
      </c>
      <c r="W378" s="1">
        <v>0.0</v>
      </c>
      <c r="X378" s="1">
        <v>0.0</v>
      </c>
    </row>
    <row r="379" spans="1:24" ht="15.75" customHeight="1">
      <c r="A379" s="13">
        <v>1232960.0</v>
      </c>
      <c r="B379" s="13" t="s">
        <v>1850</v>
      </c>
      <c r="C379" s="13" t="s">
        <v>1851</v>
      </c>
      <c r="D379" s="13" t="s">
        <v>1852</v>
      </c>
      <c r="E379" s="14"/>
      <c r="F379" s="13" t="str">
        <f>"1573831115"</f>
        <v>1573831115</v>
      </c>
      <c r="G379" s="13" t="str">
        <f>"9781573831116"</f>
        <v>9781573831116</v>
      </c>
      <c r="H379" s="13">
        <v>0.0</v>
      </c>
      <c r="I379" s="13">
        <v>3.84</v>
      </c>
      <c r="J379" s="13" t="s">
        <v>1853</v>
      </c>
      <c r="K379" s="13" t="s">
        <v>44</v>
      </c>
      <c r="L379" s="13">
        <v>288.0</v>
      </c>
      <c r="M379" s="13">
        <v>2003.0</v>
      </c>
      <c r="N379" s="13">
        <v>1932.0</v>
      </c>
      <c r="O379" s="14"/>
      <c r="P379" s="55">
        <v>44908.0</v>
      </c>
      <c r="Q379" s="16" t="s">
        <v>1576</v>
      </c>
      <c r="R379" s="13" t="s">
        <v>1854</v>
      </c>
      <c r="S379" s="13" t="s">
        <v>32</v>
      </c>
      <c r="T379" s="14"/>
      <c r="U379" s="14"/>
      <c r="V379" s="14"/>
      <c r="W379" s="13">
        <v>0.0</v>
      </c>
      <c r="X379" s="13">
        <v>0.0</v>
      </c>
    </row>
    <row r="380" spans="1:24" ht="15.75" customHeight="1">
      <c r="A380" s="13">
        <v>3173904.0</v>
      </c>
      <c r="B380" s="13" t="s">
        <v>1855</v>
      </c>
      <c r="C380" s="13" t="s">
        <v>1851</v>
      </c>
      <c r="D380" s="13" t="s">
        <v>1852</v>
      </c>
      <c r="E380" s="14"/>
      <c r="F380" s="13" t="str">
        <f t="shared" si="25" ref="F380:G380">""</f>
        <v/>
      </c>
      <c r="G380" s="13" t="str">
        <f t="shared" si="25"/>
        <v/>
      </c>
      <c r="H380" s="13">
        <v>0.0</v>
      </c>
      <c r="I380" s="13">
        <v>3.92</v>
      </c>
      <c r="J380" s="13" t="s">
        <v>1856</v>
      </c>
      <c r="K380" s="13" t="s">
        <v>44</v>
      </c>
      <c r="L380" s="13">
        <v>317.0</v>
      </c>
      <c r="M380" s="13">
        <v>1969.0</v>
      </c>
      <c r="N380" s="13">
        <v>1941.0</v>
      </c>
      <c r="O380" s="14"/>
      <c r="P380" s="15">
        <v>45156.0</v>
      </c>
      <c r="Q380" s="16" t="s">
        <v>1857</v>
      </c>
      <c r="R380" s="13" t="s">
        <v>1858</v>
      </c>
      <c r="S380" s="13" t="s">
        <v>32</v>
      </c>
      <c r="T380" s="14"/>
      <c r="U380" s="14"/>
      <c r="V380" s="14"/>
      <c r="W380" s="13">
        <v>0.0</v>
      </c>
      <c r="X380" s="13">
        <v>0.0</v>
      </c>
    </row>
    <row r="381" spans="1:24" ht="15.75" customHeight="1">
      <c r="A381" s="13">
        <v>143224.0</v>
      </c>
      <c r="B381" s="13" t="s">
        <v>1859</v>
      </c>
      <c r="C381" s="13" t="s">
        <v>1851</v>
      </c>
      <c r="D381" s="13" t="s">
        <v>1852</v>
      </c>
      <c r="E381" s="14"/>
      <c r="F381" s="13" t="str">
        <f>"1419132474"</f>
        <v>1419132474</v>
      </c>
      <c r="G381" s="13" t="str">
        <f>"9781419132476"</f>
        <v>9781419132476</v>
      </c>
      <c r="H381" s="13">
        <v>0.0</v>
      </c>
      <c r="I381" s="13">
        <v>3.9</v>
      </c>
      <c r="J381" s="13" t="s">
        <v>1860</v>
      </c>
      <c r="K381" s="13" t="s">
        <v>44</v>
      </c>
      <c r="L381" s="13">
        <v>221.0</v>
      </c>
      <c r="M381" s="13">
        <v>2004.0</v>
      </c>
      <c r="N381" s="13">
        <v>1930.0</v>
      </c>
      <c r="O381" s="14"/>
      <c r="P381" s="15">
        <v>45156.0</v>
      </c>
      <c r="Q381" s="16" t="s">
        <v>353</v>
      </c>
      <c r="R381" s="13" t="s">
        <v>1861</v>
      </c>
      <c r="S381" s="13" t="s">
        <v>32</v>
      </c>
      <c r="T381" s="14"/>
      <c r="U381" s="14"/>
      <c r="V381" s="14"/>
      <c r="W381" s="13">
        <v>0.0</v>
      </c>
      <c r="X381" s="13">
        <v>0.0</v>
      </c>
    </row>
    <row r="382" spans="1:24" ht="15.75" customHeight="1">
      <c r="A382" s="13">
        <v>960493.0</v>
      </c>
      <c r="B382" s="13" t="s">
        <v>1862</v>
      </c>
      <c r="C382" s="13" t="s">
        <v>1851</v>
      </c>
      <c r="D382" s="13" t="s">
        <v>1852</v>
      </c>
      <c r="E382" s="14"/>
      <c r="F382" s="13" t="str">
        <f>"0802812201"</f>
        <v>0802812201</v>
      </c>
      <c r="G382" s="13" t="str">
        <f>"9780802812209"</f>
        <v>9780802812209</v>
      </c>
      <c r="H382" s="13">
        <v>0.0</v>
      </c>
      <c r="I382" s="13">
        <v>3.94</v>
      </c>
      <c r="J382" s="13" t="s">
        <v>1863</v>
      </c>
      <c r="K382" s="13" t="s">
        <v>44</v>
      </c>
      <c r="L382" s="13">
        <v>220.0</v>
      </c>
      <c r="M382" s="13">
        <v>1980.0</v>
      </c>
      <c r="N382" s="13">
        <v>1937.0</v>
      </c>
      <c r="O382" s="14"/>
      <c r="P382" s="55">
        <v>43423.0</v>
      </c>
      <c r="Q382" s="16" t="s">
        <v>353</v>
      </c>
      <c r="R382" s="13" t="s">
        <v>1864</v>
      </c>
      <c r="S382" s="13" t="s">
        <v>32</v>
      </c>
      <c r="T382" s="14"/>
      <c r="U382" s="14"/>
      <c r="V382" s="14"/>
      <c r="W382" s="13">
        <v>0.0</v>
      </c>
      <c r="X382" s="13">
        <v>0.0</v>
      </c>
    </row>
    <row r="383" spans="1:24" ht="15.75" customHeight="1">
      <c r="A383" s="1">
        <v>536387.0</v>
      </c>
      <c r="B383" s="1" t="s">
        <v>1865</v>
      </c>
      <c r="C383" s="1" t="s">
        <v>1866</v>
      </c>
      <c r="D383" s="1" t="s">
        <v>1867</v>
      </c>
      <c r="E383" s="1" t="s">
        <v>1868</v>
      </c>
      <c r="F383" s="1" t="str">
        <f>"0192835459"</f>
        <v>0192835459</v>
      </c>
      <c r="G383" s="1" t="str">
        <f>"9780192835451"</f>
        <v>9780192835451</v>
      </c>
      <c r="H383" s="1">
        <v>0.0</v>
      </c>
      <c r="I383" s="1">
        <v>4.2</v>
      </c>
      <c r="J383" s="1" t="s">
        <v>181</v>
      </c>
      <c r="K383" s="1" t="s">
        <v>44</v>
      </c>
      <c r="L383" s="1">
        <v>464.0</v>
      </c>
      <c r="M383" s="1">
        <v>1998.0</v>
      </c>
      <c r="N383" s="1">
        <v>1857.0</v>
      </c>
      <c r="P383" s="2">
        <v>41545.0</v>
      </c>
      <c r="Q383" s="1" t="s">
        <v>249</v>
      </c>
      <c r="R383" s="1" t="s">
        <v>1869</v>
      </c>
      <c r="S383" s="1" t="s">
        <v>32</v>
      </c>
      <c r="W383" s="1">
        <v>0.0</v>
      </c>
      <c r="X383" s="1">
        <v>0.0</v>
      </c>
    </row>
    <row r="384" spans="1:24" ht="15.75" customHeight="1">
      <c r="A384" s="1">
        <v>325085.0</v>
      </c>
      <c r="B384" s="1" t="s">
        <v>1870</v>
      </c>
      <c r="C384" s="1" t="s">
        <v>1871</v>
      </c>
      <c r="D384" s="1" t="s">
        <v>1872</v>
      </c>
      <c r="F384" s="1" t="str">
        <f>"0140435123"</f>
        <v>0140435123</v>
      </c>
      <c r="G384" s="1" t="str">
        <f>"9780140435122"</f>
        <v>9780140435122</v>
      </c>
      <c r="H384" s="1">
        <v>0.0</v>
      </c>
      <c r="I384" s="1">
        <v>3.94</v>
      </c>
      <c r="J384" s="1" t="s">
        <v>61</v>
      </c>
      <c r="K384" s="1" t="s">
        <v>44</v>
      </c>
      <c r="L384" s="1">
        <v>817.0</v>
      </c>
      <c r="M384" s="1">
        <v>2003.0</v>
      </c>
      <c r="N384" s="1">
        <v>1839.0</v>
      </c>
      <c r="P384" s="2">
        <v>45189.0</v>
      </c>
      <c r="Q384" s="1" t="s">
        <v>1873</v>
      </c>
      <c r="R384" s="1" t="s">
        <v>1874</v>
      </c>
      <c r="S384" s="1" t="s">
        <v>32</v>
      </c>
      <c r="W384" s="1">
        <v>0.0</v>
      </c>
      <c r="X384" s="1">
        <v>0.0</v>
      </c>
    </row>
    <row r="385" spans="1:24" ht="15.75" customHeight="1">
      <c r="A385" s="1">
        <v>1256859.0</v>
      </c>
      <c r="B385" s="1" t="s">
        <v>1875</v>
      </c>
      <c r="C385" s="1" t="s">
        <v>1871</v>
      </c>
      <c r="D385" s="1" t="s">
        <v>1872</v>
      </c>
      <c r="F385" s="1" t="str">
        <f>"0893753564"</f>
        <v>0893753564</v>
      </c>
      <c r="G385" s="1" t="str">
        <f>"9780893753566"</f>
        <v>9780893753566</v>
      </c>
      <c r="H385" s="1">
        <v>0.0</v>
      </c>
      <c r="I385" s="1">
        <v>4.08</v>
      </c>
      <c r="J385" s="1" t="s">
        <v>1876</v>
      </c>
      <c r="K385" s="1" t="s">
        <v>1225</v>
      </c>
      <c r="L385" s="1">
        <v>124.0</v>
      </c>
      <c r="M385" s="1">
        <v>1980.0</v>
      </c>
      <c r="N385" s="1">
        <v>1843.0</v>
      </c>
      <c r="P385" s="2">
        <v>45160.0</v>
      </c>
      <c r="Q385" s="1" t="s">
        <v>818</v>
      </c>
      <c r="R385" s="1" t="s">
        <v>1877</v>
      </c>
      <c r="S385" s="1" t="s">
        <v>32</v>
      </c>
      <c r="W385" s="1">
        <v>0.0</v>
      </c>
      <c r="X385" s="1">
        <v>1.0</v>
      </c>
    </row>
    <row r="386" spans="1:24" ht="15.75" customHeight="1">
      <c r="A386" s="1">
        <v>359157.0</v>
      </c>
      <c r="B386" s="1" t="s">
        <v>1878</v>
      </c>
      <c r="C386" s="1" t="s">
        <v>1879</v>
      </c>
      <c r="D386" s="1" t="s">
        <v>1880</v>
      </c>
      <c r="E386" s="1" t="s">
        <v>1881</v>
      </c>
      <c r="F386" s="1" t="str">
        <f>"0940322676"</f>
        <v>0940322676</v>
      </c>
      <c r="G386" s="1" t="str">
        <f>"9780940322677"</f>
        <v>9780940322677</v>
      </c>
      <c r="H386" s="1">
        <v>0.0</v>
      </c>
      <c r="I386" s="1">
        <v>3.6</v>
      </c>
      <c r="J386" s="1" t="s">
        <v>204</v>
      </c>
      <c r="K386" s="1" t="s">
        <v>44</v>
      </c>
      <c r="L386" s="1">
        <v>232.0</v>
      </c>
      <c r="M386" s="1">
        <v>1999.0</v>
      </c>
      <c r="N386" s="1">
        <v>1927.0</v>
      </c>
      <c r="P386" s="2">
        <v>45102.0</v>
      </c>
      <c r="Q386" s="1" t="s">
        <v>55</v>
      </c>
      <c r="R386" s="1" t="s">
        <v>1882</v>
      </c>
      <c r="S386" s="1" t="s">
        <v>32</v>
      </c>
      <c r="W386" s="1">
        <v>0.0</v>
      </c>
      <c r="X386" s="1">
        <v>0.0</v>
      </c>
    </row>
    <row r="387" spans="1:24" ht="15.75" customHeight="1">
      <c r="A387" s="1">
        <v>315736.0</v>
      </c>
      <c r="B387" s="1" t="s">
        <v>1883</v>
      </c>
      <c r="C387" s="1" t="s">
        <v>1884</v>
      </c>
      <c r="D387" s="1" t="s">
        <v>1885</v>
      </c>
      <c r="E387" s="1" t="s">
        <v>1886</v>
      </c>
      <c r="F387" s="1" t="str">
        <f>"0803269072"</f>
        <v>0803269072</v>
      </c>
      <c r="G387" s="1" t="str">
        <f>"9780803269071"</f>
        <v>9780803269071</v>
      </c>
      <c r="H387" s="1">
        <v>0.0</v>
      </c>
      <c r="I387" s="1">
        <v>3.81</v>
      </c>
      <c r="J387" s="1" t="s">
        <v>649</v>
      </c>
      <c r="K387" s="1" t="s">
        <v>44</v>
      </c>
      <c r="L387" s="1">
        <v>154.0</v>
      </c>
      <c r="M387" s="1">
        <v>2002.0</v>
      </c>
      <c r="N387" s="1">
        <v>1935.0</v>
      </c>
      <c r="P387" s="2">
        <v>44460.0</v>
      </c>
      <c r="Q387" s="1" t="s">
        <v>32</v>
      </c>
      <c r="R387" s="1" t="s">
        <v>1887</v>
      </c>
      <c r="S387" s="1" t="s">
        <v>32</v>
      </c>
      <c r="W387" s="1">
        <v>0.0</v>
      </c>
      <c r="X387" s="1">
        <v>0.0</v>
      </c>
    </row>
    <row r="388" spans="1:24" ht="15.75" customHeight="1">
      <c r="A388" s="1">
        <v>114523.0</v>
      </c>
      <c r="B388" s="1" t="s">
        <v>1888</v>
      </c>
      <c r="C388" s="1" t="s">
        <v>1889</v>
      </c>
      <c r="D388" s="1" t="s">
        <v>1890</v>
      </c>
      <c r="F388" s="1" t="str">
        <f>"0380726335"</f>
        <v>0380726335</v>
      </c>
      <c r="G388" s="1" t="str">
        <f>"9780380726332"</f>
        <v>9780380726332</v>
      </c>
      <c r="H388" s="1">
        <v>0.0</v>
      </c>
      <c r="I388" s="1">
        <v>3.99</v>
      </c>
      <c r="J388" s="1" t="s">
        <v>677</v>
      </c>
      <c r="K388" s="1" t="s">
        <v>44</v>
      </c>
      <c r="L388" s="1">
        <v>416.0</v>
      </c>
      <c r="M388" s="1">
        <v>1995.0</v>
      </c>
      <c r="N388" s="1">
        <v>1994.0</v>
      </c>
      <c r="P388" s="2">
        <v>45156.0</v>
      </c>
      <c r="Q388" s="1" t="s">
        <v>32</v>
      </c>
      <c r="R388" s="1" t="s">
        <v>1891</v>
      </c>
      <c r="S388" s="1" t="s">
        <v>32</v>
      </c>
      <c r="W388" s="1">
        <v>0.0</v>
      </c>
      <c r="X388" s="1">
        <v>0.0</v>
      </c>
    </row>
    <row r="389" spans="1:24" ht="15.75" customHeight="1">
      <c r="A389" s="1">
        <v>4.5856526E7</v>
      </c>
      <c r="B389" s="1" t="s">
        <v>1892</v>
      </c>
      <c r="C389" s="1" t="s">
        <v>1893</v>
      </c>
      <c r="D389" s="1" t="s">
        <v>1894</v>
      </c>
      <c r="F389" s="1" t="str">
        <f t="shared" si="26" ref="F389:G389">""</f>
        <v/>
      </c>
      <c r="G389" s="1" t="str">
        <f t="shared" si="26"/>
        <v/>
      </c>
      <c r="H389" s="1">
        <v>0.0</v>
      </c>
      <c r="I389" s="1">
        <v>3.64</v>
      </c>
      <c r="J389" s="1" t="s">
        <v>1893</v>
      </c>
      <c r="K389" s="1" t="s">
        <v>29</v>
      </c>
      <c r="L389" s="1">
        <v>59.0</v>
      </c>
      <c r="M389" s="1">
        <v>2019.0</v>
      </c>
      <c r="N389" s="1">
        <v>2019.0</v>
      </c>
      <c r="P389" s="3">
        <v>45224.0</v>
      </c>
      <c r="Q389" s="1" t="s">
        <v>1848</v>
      </c>
      <c r="R389" s="1" t="s">
        <v>1895</v>
      </c>
      <c r="S389" s="1" t="s">
        <v>32</v>
      </c>
      <c r="W389" s="1">
        <v>0.0</v>
      </c>
      <c r="X389" s="1">
        <v>0.0</v>
      </c>
    </row>
    <row r="390" spans="1:24" ht="15.75" customHeight="1">
      <c r="A390" s="1">
        <v>329336.0</v>
      </c>
      <c r="B390" s="1" t="s">
        <v>1896</v>
      </c>
      <c r="C390" s="1" t="s">
        <v>1897</v>
      </c>
      <c r="D390" s="1" t="s">
        <v>1898</v>
      </c>
      <c r="F390" s="1" t="str">
        <f>"0140296476"</f>
        <v>0140296476</v>
      </c>
      <c r="G390" s="1" t="str">
        <f>"9780140296471"</f>
        <v>9780140296471</v>
      </c>
      <c r="H390" s="1">
        <v>0.0</v>
      </c>
      <c r="I390" s="1">
        <v>3.97</v>
      </c>
      <c r="J390" s="1" t="s">
        <v>61</v>
      </c>
      <c r="K390" s="1" t="s">
        <v>44</v>
      </c>
      <c r="L390" s="1">
        <v>248.0</v>
      </c>
      <c r="M390" s="1">
        <v>2000.0</v>
      </c>
      <c r="N390" s="1">
        <v>2000.0</v>
      </c>
      <c r="P390" s="2">
        <v>44205.0</v>
      </c>
      <c r="Q390" s="1" t="s">
        <v>32</v>
      </c>
      <c r="R390" s="1" t="s">
        <v>1899</v>
      </c>
      <c r="S390" s="1" t="s">
        <v>32</v>
      </c>
      <c r="W390" s="1">
        <v>0.0</v>
      </c>
      <c r="X390" s="1">
        <v>0.0</v>
      </c>
    </row>
    <row r="391" spans="1:24" ht="15.75" customHeight="1">
      <c r="A391" s="1">
        <v>461959.0</v>
      </c>
      <c r="B391" s="1" t="s">
        <v>1900</v>
      </c>
      <c r="C391" s="1" t="s">
        <v>1901</v>
      </c>
      <c r="D391" s="1" t="s">
        <v>1902</v>
      </c>
      <c r="F391" s="1" t="str">
        <f>"1555971652"</f>
        <v>1555971652</v>
      </c>
      <c r="G391" s="1" t="str">
        <f>"9781555971656"</f>
        <v>9781555971656</v>
      </c>
      <c r="H391" s="1">
        <v>0.0</v>
      </c>
      <c r="I391" s="1">
        <v>4.32</v>
      </c>
      <c r="J391" s="1" t="s">
        <v>337</v>
      </c>
      <c r="K391" s="1" t="s">
        <v>44</v>
      </c>
      <c r="L391" s="1">
        <v>222.0</v>
      </c>
      <c r="M391" s="1">
        <v>1992.0</v>
      </c>
      <c r="N391" s="1">
        <v>1992.0</v>
      </c>
      <c r="P391" s="2">
        <v>45129.0</v>
      </c>
      <c r="Q391" s="1" t="s">
        <v>449</v>
      </c>
      <c r="R391" s="1" t="s">
        <v>1903</v>
      </c>
      <c r="S391" s="1" t="s">
        <v>32</v>
      </c>
      <c r="W391" s="1">
        <v>0.0</v>
      </c>
      <c r="X391" s="1">
        <v>1.0</v>
      </c>
    </row>
    <row r="392" spans="1:24" ht="15.75" customHeight="1">
      <c r="A392" s="1">
        <v>440704.0</v>
      </c>
      <c r="B392" s="1" t="s">
        <v>1904</v>
      </c>
      <c r="C392" s="1" t="s">
        <v>1905</v>
      </c>
      <c r="D392" s="1" t="s">
        <v>1906</v>
      </c>
      <c r="F392" s="1" t="str">
        <f>"0801484634"</f>
        <v>0801484634</v>
      </c>
      <c r="G392" s="1" t="str">
        <f>"9780801484636"</f>
        <v>9780801484636</v>
      </c>
      <c r="H392" s="1">
        <v>0.0</v>
      </c>
      <c r="I392" s="1">
        <v>4.38</v>
      </c>
      <c r="J392" s="1" t="s">
        <v>1907</v>
      </c>
      <c r="K392" s="1" t="s">
        <v>44</v>
      </c>
      <c r="L392" s="1">
        <v>192.0</v>
      </c>
      <c r="M392" s="1">
        <v>1999.0</v>
      </c>
      <c r="N392" s="1">
        <v>1997.0</v>
      </c>
      <c r="P392" s="2">
        <v>45143.0</v>
      </c>
      <c r="Q392" s="1" t="s">
        <v>1207</v>
      </c>
      <c r="R392" s="1" t="s">
        <v>1908</v>
      </c>
      <c r="S392" s="1" t="s">
        <v>32</v>
      </c>
      <c r="W392" s="1">
        <v>0.0</v>
      </c>
      <c r="X392" s="1">
        <v>1.0</v>
      </c>
    </row>
    <row r="393" spans="1:24" ht="15.75" customHeight="1">
      <c r="A393" s="1">
        <v>5.6246237E7</v>
      </c>
      <c r="B393" s="1" t="s">
        <v>1909</v>
      </c>
      <c r="C393" s="1" t="s">
        <v>1910</v>
      </c>
      <c r="D393" s="1" t="s">
        <v>1911</v>
      </c>
      <c r="F393" s="1" t="str">
        <f>"1787331652"</f>
        <v>1787331652</v>
      </c>
      <c r="G393" s="1" t="str">
        <f>"9781787331655"</f>
        <v>9781787331655</v>
      </c>
      <c r="H393" s="1">
        <v>0.0</v>
      </c>
      <c r="I393" s="1">
        <v>3.85</v>
      </c>
      <c r="J393" s="1" t="s">
        <v>1912</v>
      </c>
      <c r="K393" s="1" t="s">
        <v>37</v>
      </c>
      <c r="L393" s="1">
        <v>336.0</v>
      </c>
      <c r="M393" s="1">
        <v>2021.0</v>
      </c>
      <c r="P393" s="2">
        <v>45120.0</v>
      </c>
      <c r="Q393" s="1" t="s">
        <v>725</v>
      </c>
      <c r="R393" s="1" t="s">
        <v>1913</v>
      </c>
      <c r="S393" s="1" t="s">
        <v>32</v>
      </c>
      <c r="W393" s="1">
        <v>0.0</v>
      </c>
      <c r="X393" s="1">
        <v>0.0</v>
      </c>
    </row>
    <row r="394" spans="1:24" ht="15.75" customHeight="1">
      <c r="A394" s="1">
        <v>3.6521344E7</v>
      </c>
      <c r="B394" s="1" t="s">
        <v>1914</v>
      </c>
      <c r="C394" s="1" t="s">
        <v>1910</v>
      </c>
      <c r="D394" s="1" t="s">
        <v>1911</v>
      </c>
      <c r="F394" s="1" t="str">
        <f>"1910702390"</f>
        <v>1910702390</v>
      </c>
      <c r="G394" s="1" t="str">
        <f>"9781910702390"</f>
        <v>9781910702390</v>
      </c>
      <c r="H394" s="1">
        <v>0.0</v>
      </c>
      <c r="I394" s="1">
        <v>3.71</v>
      </c>
      <c r="J394" s="1" t="s">
        <v>1912</v>
      </c>
      <c r="K394" s="1" t="s">
        <v>37</v>
      </c>
      <c r="L394" s="1">
        <v>224.0</v>
      </c>
      <c r="M394" s="1">
        <v>2018.0</v>
      </c>
      <c r="P394" s="2">
        <v>45124.0</v>
      </c>
      <c r="Q394" s="1" t="s">
        <v>32</v>
      </c>
      <c r="R394" s="1" t="s">
        <v>1915</v>
      </c>
      <c r="S394" s="1" t="s">
        <v>32</v>
      </c>
      <c r="W394" s="1">
        <v>0.0</v>
      </c>
      <c r="X394" s="1">
        <v>0.0</v>
      </c>
    </row>
    <row r="395" spans="1:24" ht="15.75" customHeight="1">
      <c r="A395" s="1">
        <v>286957.0</v>
      </c>
      <c r="B395" s="1" t="s">
        <v>1916</v>
      </c>
      <c r="C395" s="1" t="s">
        <v>1917</v>
      </c>
      <c r="D395" s="1" t="s">
        <v>1918</v>
      </c>
      <c r="E395" s="1" t="s">
        <v>1919</v>
      </c>
      <c r="F395" s="1" t="str">
        <f>"1558611584"</f>
        <v>1558611584</v>
      </c>
      <c r="G395" s="1" t="str">
        <f>"9781558611580"</f>
        <v>9781558611580</v>
      </c>
      <c r="H395" s="1">
        <v>0.0</v>
      </c>
      <c r="I395" s="1">
        <v>4.1</v>
      </c>
      <c r="J395" s="1" t="s">
        <v>1525</v>
      </c>
      <c r="K395" s="1" t="s">
        <v>44</v>
      </c>
      <c r="L395" s="1">
        <v>64.0</v>
      </c>
      <c r="M395" s="1">
        <v>1996.0</v>
      </c>
      <c r="N395" s="1">
        <v>1892.0</v>
      </c>
      <c r="P395" s="2">
        <v>45115.0</v>
      </c>
      <c r="Q395" s="1" t="s">
        <v>32</v>
      </c>
      <c r="R395" s="1" t="s">
        <v>1920</v>
      </c>
      <c r="S395" s="1" t="s">
        <v>32</v>
      </c>
      <c r="W395" s="1">
        <v>0.0</v>
      </c>
      <c r="X395" s="1">
        <v>0.0</v>
      </c>
    </row>
    <row r="396" spans="1:24" ht="15.75" customHeight="1">
      <c r="A396" s="1">
        <v>6077503.0</v>
      </c>
      <c r="B396" s="1" t="s">
        <v>1921</v>
      </c>
      <c r="C396" s="1" t="s">
        <v>1922</v>
      </c>
      <c r="D396" s="1" t="s">
        <v>1923</v>
      </c>
      <c r="E396" s="1" t="s">
        <v>1924</v>
      </c>
      <c r="F396" s="1" t="str">
        <f>"0802118925"</f>
        <v>0802118925</v>
      </c>
      <c r="G396" s="1" t="str">
        <f>"9780802118929"</f>
        <v>9780802118929</v>
      </c>
      <c r="H396" s="1">
        <v>4.0</v>
      </c>
      <c r="I396" s="1">
        <v>2.85</v>
      </c>
      <c r="J396" s="1" t="s">
        <v>663</v>
      </c>
      <c r="K396" s="1" t="s">
        <v>37</v>
      </c>
      <c r="L396" s="1">
        <v>208.0</v>
      </c>
      <c r="M396" s="1">
        <v>2009.0</v>
      </c>
      <c r="N396" s="1">
        <v>2008.0</v>
      </c>
      <c r="O396" s="2">
        <v>43949.0</v>
      </c>
      <c r="P396" s="2">
        <v>43939.0</v>
      </c>
      <c r="Q396" s="1" t="s">
        <v>1925</v>
      </c>
      <c r="R396" s="1" t="s">
        <v>1926</v>
      </c>
      <c r="S396" s="1" t="s">
        <v>271</v>
      </c>
      <c r="T396" s="1" t="s">
        <v>1927</v>
      </c>
      <c r="W396" s="1">
        <v>1.0</v>
      </c>
      <c r="X396" s="1">
        <v>0.0</v>
      </c>
    </row>
    <row r="397" spans="1:24" ht="15.75" customHeight="1">
      <c r="A397" s="1">
        <v>3.157825E7</v>
      </c>
      <c r="B397" s="1" t="s">
        <v>1928</v>
      </c>
      <c r="C397" s="1" t="s">
        <v>1929</v>
      </c>
      <c r="D397" s="1" t="s">
        <v>1930</v>
      </c>
      <c r="F397" s="1" t="str">
        <f>"1784782777"</f>
        <v>1784782777</v>
      </c>
      <c r="G397" s="1" t="str">
        <f>"9781784782771"</f>
        <v>9781784782771</v>
      </c>
      <c r="H397" s="1">
        <v>0.0</v>
      </c>
      <c r="I397" s="1">
        <v>3.91</v>
      </c>
      <c r="J397" s="1" t="s">
        <v>367</v>
      </c>
      <c r="K397" s="1" t="s">
        <v>37</v>
      </c>
      <c r="L397" s="1">
        <v>369.0</v>
      </c>
      <c r="M397" s="1">
        <v>2017.0</v>
      </c>
      <c r="N397" s="1">
        <v>2017.0</v>
      </c>
      <c r="P397" s="2">
        <v>43070.0</v>
      </c>
      <c r="Q397" s="1" t="s">
        <v>32</v>
      </c>
      <c r="R397" s="1" t="s">
        <v>1931</v>
      </c>
      <c r="S397" s="1" t="s">
        <v>32</v>
      </c>
      <c r="W397" s="1">
        <v>0.0</v>
      </c>
      <c r="X397" s="1">
        <v>0.0</v>
      </c>
    </row>
    <row r="398" spans="1:24" ht="15.75" customHeight="1">
      <c r="A398" s="1">
        <v>1.3410837E7</v>
      </c>
      <c r="B398" s="1" t="s">
        <v>1932</v>
      </c>
      <c r="C398" s="1" t="s">
        <v>1933</v>
      </c>
      <c r="D398" s="1" t="s">
        <v>1934</v>
      </c>
      <c r="F398" s="1" t="str">
        <f>"1892061422"</f>
        <v>1892061422</v>
      </c>
      <c r="G398" s="1" t="str">
        <f>"9781892061423"</f>
        <v>9781892061423</v>
      </c>
      <c r="H398" s="1">
        <v>0.0</v>
      </c>
      <c r="I398" s="1">
        <v>3.95</v>
      </c>
      <c r="J398" s="1" t="s">
        <v>1935</v>
      </c>
      <c r="K398" s="1" t="s">
        <v>44</v>
      </c>
      <c r="L398" s="1">
        <v>164.0</v>
      </c>
      <c r="M398" s="1">
        <v>2011.0</v>
      </c>
      <c r="N398" s="1">
        <v>2011.0</v>
      </c>
      <c r="P398" s="2">
        <v>42346.0</v>
      </c>
      <c r="Q398" s="1" t="s">
        <v>32</v>
      </c>
      <c r="R398" s="1" t="s">
        <v>1936</v>
      </c>
      <c r="S398" s="1" t="s">
        <v>32</v>
      </c>
      <c r="W398" s="1">
        <v>0.0</v>
      </c>
      <c r="X398" s="1">
        <v>0.0</v>
      </c>
    </row>
    <row r="399" spans="1:24" ht="15.75" customHeight="1">
      <c r="A399" s="1">
        <v>3.3307193E7</v>
      </c>
      <c r="B399" s="1" t="s">
        <v>1937</v>
      </c>
      <c r="C399" s="1" t="s">
        <v>1938</v>
      </c>
      <c r="D399" s="1" t="s">
        <v>1939</v>
      </c>
      <c r="F399" s="1" t="str">
        <f t="shared" si="27" ref="F399:G399">""</f>
        <v/>
      </c>
      <c r="G399" s="1" t="str">
        <f t="shared" si="27"/>
        <v/>
      </c>
      <c r="H399" s="1">
        <v>0.0</v>
      </c>
      <c r="I399" s="1">
        <v>4.16</v>
      </c>
      <c r="J399" s="1" t="s">
        <v>280</v>
      </c>
      <c r="K399" s="1" t="s">
        <v>29</v>
      </c>
      <c r="L399" s="1">
        <v>273.0</v>
      </c>
      <c r="M399" s="1">
        <v>2016.0</v>
      </c>
      <c r="P399" s="3">
        <v>43094.0</v>
      </c>
      <c r="Q399" s="1" t="s">
        <v>1940</v>
      </c>
      <c r="R399" s="1" t="s">
        <v>1941</v>
      </c>
      <c r="S399" s="1" t="s">
        <v>32</v>
      </c>
      <c r="W399" s="1">
        <v>0.0</v>
      </c>
      <c r="X399" s="1">
        <v>0.0</v>
      </c>
    </row>
    <row r="400" spans="1:24" ht="15.75" customHeight="1">
      <c r="A400" s="1">
        <v>1.78628338E8</v>
      </c>
      <c r="B400" s="1" t="s">
        <v>1942</v>
      </c>
      <c r="C400" s="1" t="s">
        <v>1943</v>
      </c>
      <c r="D400" s="1" t="s">
        <v>1944</v>
      </c>
      <c r="F400" s="1" t="str">
        <f>"0593731387"</f>
        <v>0593731387</v>
      </c>
      <c r="G400" s="1" t="str">
        <f>"9780593731383"</f>
        <v>9780593731383</v>
      </c>
      <c r="H400" s="1">
        <v>0.0</v>
      </c>
      <c r="I400" s="1">
        <v>4.1</v>
      </c>
      <c r="J400" s="1" t="s">
        <v>1189</v>
      </c>
      <c r="K400" s="1" t="s">
        <v>37</v>
      </c>
      <c r="L400" s="1">
        <v>320.0</v>
      </c>
      <c r="M400" s="1">
        <v>2024.0</v>
      </c>
      <c r="P400" s="2">
        <v>45328.0</v>
      </c>
      <c r="Q400" s="1" t="s">
        <v>55</v>
      </c>
      <c r="R400" s="1" t="s">
        <v>1945</v>
      </c>
      <c r="S400" s="1" t="s">
        <v>32</v>
      </c>
      <c r="W400" s="1">
        <v>0.0</v>
      </c>
      <c r="X400" s="1">
        <v>0.0</v>
      </c>
    </row>
    <row r="401" spans="1:24" ht="15.75" customHeight="1">
      <c r="A401" s="1">
        <v>1.23410752E8</v>
      </c>
      <c r="B401" s="1" t="s">
        <v>1946</v>
      </c>
      <c r="C401" s="1" t="s">
        <v>1947</v>
      </c>
      <c r="D401" s="1" t="s">
        <v>1948</v>
      </c>
      <c r="E401" s="1" t="s">
        <v>1949</v>
      </c>
      <c r="F401" s="1" t="str">
        <f>"1324065400"</f>
        <v>1324065400</v>
      </c>
      <c r="G401" s="1" t="str">
        <f>"9781324065401"</f>
        <v>9781324065401</v>
      </c>
      <c r="H401" s="1">
        <v>0.0</v>
      </c>
      <c r="I401" s="1">
        <v>3.89</v>
      </c>
      <c r="J401" s="1" t="s">
        <v>248</v>
      </c>
      <c r="K401" s="1" t="s">
        <v>37</v>
      </c>
      <c r="L401" s="1">
        <v>240.0</v>
      </c>
      <c r="M401" s="1">
        <v>2023.0</v>
      </c>
      <c r="N401" s="1">
        <v>2023.0</v>
      </c>
      <c r="P401" s="3">
        <v>45273.0</v>
      </c>
      <c r="Q401" s="1" t="s">
        <v>145</v>
      </c>
      <c r="R401" s="1" t="s">
        <v>1950</v>
      </c>
      <c r="S401" s="1" t="s">
        <v>32</v>
      </c>
      <c r="W401" s="1">
        <v>0.0</v>
      </c>
      <c r="X401" s="1">
        <v>0.0</v>
      </c>
    </row>
    <row r="402" spans="1:24" ht="15.75" customHeight="1">
      <c r="A402" s="1">
        <v>581365.0</v>
      </c>
      <c r="B402" s="1" t="s">
        <v>1951</v>
      </c>
      <c r="C402" s="1" t="s">
        <v>1952</v>
      </c>
      <c r="D402" s="1" t="s">
        <v>1953</v>
      </c>
      <c r="E402" s="1" t="s">
        <v>1954</v>
      </c>
      <c r="F402" s="1" t="str">
        <f>"1405160225"</f>
        <v>1405160225</v>
      </c>
      <c r="G402" s="1" t="str">
        <f>"9781405160223"</f>
        <v>9781405160223</v>
      </c>
      <c r="H402" s="1">
        <v>0.0</v>
      </c>
      <c r="I402" s="1">
        <v>4.11</v>
      </c>
      <c r="J402" s="1" t="s">
        <v>48</v>
      </c>
      <c r="K402" s="1" t="s">
        <v>44</v>
      </c>
      <c r="L402" s="1">
        <v>256.0</v>
      </c>
      <c r="M402" s="1">
        <v>2007.0</v>
      </c>
      <c r="N402" s="1">
        <v>2007.0</v>
      </c>
      <c r="P402" s="2">
        <v>45173.0</v>
      </c>
      <c r="Q402" s="1" t="s">
        <v>32</v>
      </c>
      <c r="R402" s="1" t="s">
        <v>1955</v>
      </c>
      <c r="S402" s="1" t="s">
        <v>32</v>
      </c>
      <c r="W402" s="1">
        <v>0.0</v>
      </c>
      <c r="X402" s="1">
        <v>0.0</v>
      </c>
    </row>
    <row r="403" spans="1:24" ht="15.75" customHeight="1">
      <c r="A403" s="1">
        <v>452151.0</v>
      </c>
      <c r="B403" s="1" t="s">
        <v>1956</v>
      </c>
      <c r="C403" s="1" t="s">
        <v>1952</v>
      </c>
      <c r="D403" s="1" t="s">
        <v>1953</v>
      </c>
      <c r="E403" s="1" t="s">
        <v>1957</v>
      </c>
      <c r="F403" s="1" t="str">
        <f>"0192802216"</f>
        <v>0192802216</v>
      </c>
      <c r="G403" s="1" t="str">
        <f>"9780192802217"</f>
        <v>9780192802217</v>
      </c>
      <c r="H403" s="1">
        <v>0.0</v>
      </c>
      <c r="I403" s="1">
        <v>3.67</v>
      </c>
      <c r="J403" s="1" t="s">
        <v>181</v>
      </c>
      <c r="K403" s="1" t="s">
        <v>44</v>
      </c>
      <c r="L403" s="1">
        <v>216.0</v>
      </c>
      <c r="M403" s="1">
        <v>2003.0</v>
      </c>
      <c r="N403" s="1">
        <v>2003.0</v>
      </c>
      <c r="P403" s="2">
        <v>42556.0</v>
      </c>
      <c r="Q403" s="1" t="s">
        <v>32</v>
      </c>
      <c r="R403" s="1" t="s">
        <v>1958</v>
      </c>
      <c r="S403" s="1" t="s">
        <v>32</v>
      </c>
      <c r="W403" s="1">
        <v>0.0</v>
      </c>
      <c r="X403" s="1">
        <v>0.0</v>
      </c>
    </row>
    <row r="404" spans="1:24" ht="15.75" customHeight="1">
      <c r="A404" s="1">
        <v>1475250.0</v>
      </c>
      <c r="B404" s="1" t="s">
        <v>1959</v>
      </c>
      <c r="C404" s="1" t="s">
        <v>1960</v>
      </c>
      <c r="D404" s="1" t="s">
        <v>1961</v>
      </c>
      <c r="E404" s="1" t="s">
        <v>1962</v>
      </c>
      <c r="F404" s="1" t="str">
        <f>"0316871125"</f>
        <v>0316871125</v>
      </c>
      <c r="G404" s="1" t="str">
        <f>"9780316871129"</f>
        <v>9780316871129</v>
      </c>
      <c r="H404" s="1">
        <v>0.0</v>
      </c>
      <c r="I404" s="1">
        <v>3.61</v>
      </c>
      <c r="J404" s="1" t="s">
        <v>1963</v>
      </c>
      <c r="K404" s="1" t="s">
        <v>37</v>
      </c>
      <c r="L404" s="1">
        <v>512.0</v>
      </c>
      <c r="M404" s="1">
        <v>2004.0</v>
      </c>
      <c r="N404" s="1">
        <v>2004.0</v>
      </c>
      <c r="P404" s="2">
        <v>45308.0</v>
      </c>
      <c r="Q404" s="1" t="s">
        <v>30</v>
      </c>
      <c r="R404" s="1" t="s">
        <v>1964</v>
      </c>
      <c r="S404" s="1" t="s">
        <v>32</v>
      </c>
      <c r="W404" s="1">
        <v>0.0</v>
      </c>
      <c r="X404" s="1">
        <v>0.0</v>
      </c>
    </row>
    <row r="405" spans="1:24" ht="15.75" customHeight="1">
      <c r="A405" s="1">
        <v>6.0323152E7</v>
      </c>
      <c r="B405" s="1" t="s">
        <v>1965</v>
      </c>
      <c r="C405" s="1" t="s">
        <v>1966</v>
      </c>
      <c r="D405" s="1" t="s">
        <v>1967</v>
      </c>
      <c r="F405" s="1" t="str">
        <f>"0063251280"</f>
        <v>0063251280</v>
      </c>
      <c r="G405" s="1" t="str">
        <f>"9780063251281"</f>
        <v>9780063251281</v>
      </c>
      <c r="H405" s="1">
        <v>0.0</v>
      </c>
      <c r="I405" s="1">
        <v>4.44</v>
      </c>
      <c r="J405" s="1" t="s">
        <v>1968</v>
      </c>
      <c r="K405" s="1" t="s">
        <v>37</v>
      </c>
      <c r="L405" s="1">
        <v>496.0</v>
      </c>
      <c r="M405" s="1">
        <v>2023.0</v>
      </c>
      <c r="N405" s="1">
        <v>2023.0</v>
      </c>
      <c r="P405" s="2">
        <v>45088.0</v>
      </c>
      <c r="Q405" s="1" t="s">
        <v>138</v>
      </c>
      <c r="R405" s="1" t="s">
        <v>1969</v>
      </c>
      <c r="S405" s="1" t="s">
        <v>32</v>
      </c>
      <c r="W405" s="1">
        <v>0.0</v>
      </c>
      <c r="X405" s="1">
        <v>0.0</v>
      </c>
    </row>
    <row r="406" spans="1:24" ht="15.75" customHeight="1">
      <c r="A406" s="1">
        <v>5.30412E7</v>
      </c>
      <c r="B406" s="1" t="s">
        <v>1970</v>
      </c>
      <c r="C406" s="1" t="s">
        <v>1971</v>
      </c>
      <c r="D406" s="1" t="s">
        <v>1972</v>
      </c>
      <c r="F406" s="1" t="str">
        <f>"1603589023"</f>
        <v>1603589023</v>
      </c>
      <c r="G406" s="1" t="str">
        <f>"9781603589024"</f>
        <v>9781603589024</v>
      </c>
      <c r="H406" s="1">
        <v>0.0</v>
      </c>
      <c r="I406" s="1">
        <v>4.08</v>
      </c>
      <c r="J406" s="1" t="s">
        <v>1973</v>
      </c>
      <c r="K406" s="1" t="s">
        <v>37</v>
      </c>
      <c r="L406" s="1">
        <v>288.0</v>
      </c>
      <c r="M406" s="1">
        <v>2020.0</v>
      </c>
      <c r="N406" s="1">
        <v>2020.0</v>
      </c>
      <c r="P406" s="2">
        <v>44214.0</v>
      </c>
      <c r="Q406" s="1" t="s">
        <v>32</v>
      </c>
      <c r="R406" s="1" t="s">
        <v>1974</v>
      </c>
      <c r="S406" s="1" t="s">
        <v>32</v>
      </c>
      <c r="W406" s="1">
        <v>0.0</v>
      </c>
      <c r="X406" s="1">
        <v>0.0</v>
      </c>
    </row>
    <row r="407" spans="1:24" ht="15.75" customHeight="1">
      <c r="A407" s="1">
        <v>153480.0</v>
      </c>
      <c r="B407" s="1" t="s">
        <v>1975</v>
      </c>
      <c r="C407" s="1" t="s">
        <v>1976</v>
      </c>
      <c r="D407" s="1" t="s">
        <v>1977</v>
      </c>
      <c r="F407" s="1" t="str">
        <f>"0385518579"</f>
        <v>0385518579</v>
      </c>
      <c r="G407" s="1" t="str">
        <f>"9780385518574"</f>
        <v>9780385518574</v>
      </c>
      <c r="H407" s="1">
        <v>0.0</v>
      </c>
      <c r="I407" s="1">
        <v>3.92</v>
      </c>
      <c r="J407" s="1" t="s">
        <v>1978</v>
      </c>
      <c r="K407" s="1" t="s">
        <v>44</v>
      </c>
      <c r="L407" s="1">
        <v>208.0</v>
      </c>
      <c r="M407" s="1">
        <v>1998.0</v>
      </c>
      <c r="N407" s="1">
        <v>1996.0</v>
      </c>
      <c r="P407" s="2">
        <v>45122.0</v>
      </c>
      <c r="Q407" s="1" t="s">
        <v>1979</v>
      </c>
      <c r="R407" s="1" t="s">
        <v>1980</v>
      </c>
      <c r="S407" s="1" t="s">
        <v>32</v>
      </c>
      <c r="W407" s="1">
        <v>0.0</v>
      </c>
      <c r="X407" s="1">
        <v>0.0</v>
      </c>
    </row>
    <row r="408" spans="1:24" ht="15.75" customHeight="1">
      <c r="A408" s="1">
        <v>1.7329126E7</v>
      </c>
      <c r="B408" s="1" t="s">
        <v>1981</v>
      </c>
      <c r="C408" s="1" t="s">
        <v>1976</v>
      </c>
      <c r="D408" s="1" t="s">
        <v>1977</v>
      </c>
      <c r="F408" s="1" t="str">
        <f>"1907970118"</f>
        <v>1907970118</v>
      </c>
      <c r="G408" s="1" t="str">
        <f>"9781907970115"</f>
        <v>9781907970115</v>
      </c>
      <c r="H408" s="1">
        <v>0.0</v>
      </c>
      <c r="I408" s="1">
        <v>3.87</v>
      </c>
      <c r="J408" s="1" t="s">
        <v>1982</v>
      </c>
      <c r="K408" s="1" t="s">
        <v>44</v>
      </c>
      <c r="L408" s="1">
        <v>200.0</v>
      </c>
      <c r="M408" s="1">
        <v>2013.0</v>
      </c>
      <c r="N408" s="1">
        <v>1983.0</v>
      </c>
      <c r="P408" s="2">
        <v>45120.0</v>
      </c>
      <c r="Q408" s="1" t="s">
        <v>1983</v>
      </c>
      <c r="R408" s="1" t="s">
        <v>1984</v>
      </c>
      <c r="S408" s="1" t="s">
        <v>32</v>
      </c>
      <c r="W408" s="1">
        <v>0.0</v>
      </c>
      <c r="X408" s="1">
        <v>0.0</v>
      </c>
    </row>
    <row r="409" spans="1:24" ht="15.75" customHeight="1">
      <c r="A409" s="1">
        <v>9481372.0</v>
      </c>
      <c r="B409" s="1" t="s">
        <v>1985</v>
      </c>
      <c r="C409" s="1" t="s">
        <v>1986</v>
      </c>
      <c r="D409" s="1" t="s">
        <v>1987</v>
      </c>
      <c r="F409" s="1" t="str">
        <f>"1934828092"</f>
        <v>1934828092</v>
      </c>
      <c r="G409" s="1" t="str">
        <f>"9781934828090"</f>
        <v>9781934828090</v>
      </c>
      <c r="H409" s="1">
        <v>0.0</v>
      </c>
      <c r="I409" s="1">
        <v>4.44</v>
      </c>
      <c r="J409" s="1" t="s">
        <v>1988</v>
      </c>
      <c r="K409" s="1" t="s">
        <v>44</v>
      </c>
      <c r="L409" s="1">
        <v>67.0</v>
      </c>
      <c r="M409" s="1">
        <v>2010.0</v>
      </c>
      <c r="N409" s="1">
        <v>2010.0</v>
      </c>
      <c r="P409" s="2">
        <v>45143.0</v>
      </c>
      <c r="Q409" s="1" t="s">
        <v>449</v>
      </c>
      <c r="R409" s="1" t="s">
        <v>1989</v>
      </c>
      <c r="S409" s="1" t="s">
        <v>32</v>
      </c>
      <c r="W409" s="1">
        <v>0.0</v>
      </c>
      <c r="X409" s="1">
        <v>1.0</v>
      </c>
    </row>
    <row r="410" spans="1:24" ht="15.75" customHeight="1">
      <c r="A410" s="1">
        <v>1.337725E7</v>
      </c>
      <c r="B410" s="1" t="s">
        <v>1990</v>
      </c>
      <c r="C410" s="1" t="s">
        <v>1991</v>
      </c>
      <c r="D410" s="1" t="s">
        <v>1992</v>
      </c>
      <c r="F410" s="1" t="str">
        <f>"0522855547"</f>
        <v>0522855547</v>
      </c>
      <c r="G410" s="1" t="str">
        <f>"9780522855548"</f>
        <v>9780522855548</v>
      </c>
      <c r="H410" s="1">
        <v>0.0</v>
      </c>
      <c r="I410" s="1">
        <v>3.57</v>
      </c>
      <c r="J410" s="1" t="s">
        <v>1993</v>
      </c>
      <c r="K410" s="1" t="s">
        <v>44</v>
      </c>
      <c r="L410" s="1">
        <v>551.0</v>
      </c>
      <c r="M410" s="1">
        <v>2011.0</v>
      </c>
      <c r="N410" s="1">
        <v>1940.0</v>
      </c>
      <c r="P410" s="2">
        <v>43952.0</v>
      </c>
      <c r="Q410" s="1" t="s">
        <v>32</v>
      </c>
      <c r="R410" s="1" t="s">
        <v>1994</v>
      </c>
      <c r="S410" s="1" t="s">
        <v>32</v>
      </c>
      <c r="W410" s="1">
        <v>0.0</v>
      </c>
      <c r="X410" s="1">
        <v>0.0</v>
      </c>
    </row>
    <row r="411" spans="1:24" ht="15.75" customHeight="1">
      <c r="A411" s="1">
        <v>5.534882E7</v>
      </c>
      <c r="B411" s="1" t="s">
        <v>1995</v>
      </c>
      <c r="C411" s="1" t="s">
        <v>1996</v>
      </c>
      <c r="D411" s="1" t="s">
        <v>1997</v>
      </c>
      <c r="F411" s="1" t="str">
        <f>"1734976608"</f>
        <v>1734976608</v>
      </c>
      <c r="G411" s="1" t="str">
        <f>"9781734976601"</f>
        <v>9781734976601</v>
      </c>
      <c r="H411" s="1">
        <v>0.0</v>
      </c>
      <c r="I411" s="1">
        <v>4.53</v>
      </c>
      <c r="J411" s="1" t="s">
        <v>1998</v>
      </c>
      <c r="K411" s="1" t="s">
        <v>44</v>
      </c>
      <c r="L411" s="1">
        <v>142.0</v>
      </c>
      <c r="M411" s="1">
        <v>2020.0</v>
      </c>
      <c r="P411" s="2">
        <v>45075.0</v>
      </c>
      <c r="Q411" s="1" t="s">
        <v>1739</v>
      </c>
      <c r="R411" s="1" t="s">
        <v>1999</v>
      </c>
      <c r="S411" s="1" t="s">
        <v>32</v>
      </c>
      <c r="W411" s="1">
        <v>0.0</v>
      </c>
      <c r="X411" s="1">
        <v>0.0</v>
      </c>
    </row>
    <row r="412" spans="1:24" ht="15.75" customHeight="1">
      <c r="A412" s="1">
        <v>6.2120814E7</v>
      </c>
      <c r="B412" s="1" t="s">
        <v>2000</v>
      </c>
      <c r="C412" s="1" t="s">
        <v>2001</v>
      </c>
      <c r="D412" s="1" t="s">
        <v>2002</v>
      </c>
      <c r="F412" s="1" t="str">
        <f>"038568424X"</f>
        <v>038568424X</v>
      </c>
      <c r="G412" s="1" t="str">
        <f>"9780385684248"</f>
        <v>9780385684248</v>
      </c>
      <c r="H412" s="1">
        <v>0.0</v>
      </c>
      <c r="I412" s="1">
        <v>3.84</v>
      </c>
      <c r="J412" s="1" t="s">
        <v>2003</v>
      </c>
      <c r="K412" s="1" t="s">
        <v>37</v>
      </c>
      <c r="L412" s="1">
        <v>296.0</v>
      </c>
      <c r="M412" s="1">
        <v>2023.0</v>
      </c>
      <c r="N412" s="1">
        <v>2023.0</v>
      </c>
      <c r="P412" s="3">
        <v>45273.0</v>
      </c>
      <c r="Q412" s="1" t="s">
        <v>145</v>
      </c>
      <c r="R412" s="1" t="s">
        <v>2004</v>
      </c>
      <c r="S412" s="1" t="s">
        <v>32</v>
      </c>
      <c r="W412" s="1">
        <v>0.0</v>
      </c>
      <c r="X412" s="1">
        <v>0.0</v>
      </c>
    </row>
    <row r="413" spans="1:24" ht="15.75" customHeight="1">
      <c r="A413" s="1">
        <v>6087120.0</v>
      </c>
      <c r="B413" s="1" t="s">
        <v>2005</v>
      </c>
      <c r="C413" s="1" t="s">
        <v>2006</v>
      </c>
      <c r="D413" s="1" t="s">
        <v>2007</v>
      </c>
      <c r="E413" s="1" t="s">
        <v>2008</v>
      </c>
      <c r="F413" s="1" t="str">
        <f>"1879923025"</f>
        <v>1879923025</v>
      </c>
      <c r="G413" s="1" t="str">
        <f>"9781879923027"</f>
        <v>9781879923027</v>
      </c>
      <c r="H413" s="1">
        <v>0.0</v>
      </c>
      <c r="I413" s="1">
        <v>3.61</v>
      </c>
      <c r="J413" s="1" t="s">
        <v>2009</v>
      </c>
      <c r="K413" s="1" t="s">
        <v>44</v>
      </c>
      <c r="L413" s="1">
        <v>240.0</v>
      </c>
      <c r="M413" s="1">
        <v>1993.0</v>
      </c>
      <c r="N413" s="1">
        <v>1919.0</v>
      </c>
      <c r="P413" s="2">
        <v>45115.0</v>
      </c>
      <c r="Q413" s="1" t="s">
        <v>32</v>
      </c>
      <c r="R413" s="1" t="s">
        <v>2010</v>
      </c>
      <c r="S413" s="1" t="s">
        <v>32</v>
      </c>
      <c r="W413" s="1">
        <v>0.0</v>
      </c>
      <c r="X413" s="1">
        <v>0.0</v>
      </c>
    </row>
    <row r="414" spans="1:24" ht="15.75" customHeight="1">
      <c r="A414" s="1">
        <v>7640261.0</v>
      </c>
      <c r="B414" s="1" t="s">
        <v>2011</v>
      </c>
      <c r="C414" s="1" t="s">
        <v>2012</v>
      </c>
      <c r="D414" s="1" t="s">
        <v>2013</v>
      </c>
      <c r="E414" s="1" t="s">
        <v>2014</v>
      </c>
      <c r="F414" s="1" t="str">
        <f>""</f>
        <v/>
      </c>
      <c r="G414" s="1" t="str">
        <f>"9780061707803"</f>
        <v>9780061707803</v>
      </c>
      <c r="H414" s="1">
        <v>0.0</v>
      </c>
      <c r="I414" s="1">
        <v>3.98</v>
      </c>
      <c r="J414" s="1" t="s">
        <v>2015</v>
      </c>
      <c r="K414" s="1" t="s">
        <v>37</v>
      </c>
      <c r="L414" s="1">
        <v>416.0</v>
      </c>
      <c r="M414" s="1">
        <v>2010.0</v>
      </c>
      <c r="N414" s="1">
        <v>2010.0</v>
      </c>
      <c r="P414" s="2">
        <v>43255.0</v>
      </c>
      <c r="Q414" s="1" t="s">
        <v>55</v>
      </c>
      <c r="R414" s="1" t="s">
        <v>2016</v>
      </c>
      <c r="S414" s="1" t="s">
        <v>32</v>
      </c>
      <c r="W414" s="1">
        <v>0.0</v>
      </c>
      <c r="X414" s="1">
        <v>0.0</v>
      </c>
    </row>
    <row r="415" spans="1:24" ht="15.75" customHeight="1">
      <c r="A415" s="1">
        <v>1.1515362E7</v>
      </c>
      <c r="B415" s="1" t="s">
        <v>2017</v>
      </c>
      <c r="C415" s="1" t="s">
        <v>2018</v>
      </c>
      <c r="D415" s="1" t="s">
        <v>2019</v>
      </c>
      <c r="F415" s="1" t="str">
        <f>"0446563137"</f>
        <v>0446563137</v>
      </c>
      <c r="G415" s="1" t="str">
        <f>"9780446563130"</f>
        <v>9780446563130</v>
      </c>
      <c r="H415" s="1">
        <v>4.0</v>
      </c>
      <c r="I415" s="1">
        <v>4.12</v>
      </c>
      <c r="J415" s="1" t="s">
        <v>2020</v>
      </c>
      <c r="K415" s="1" t="s">
        <v>37</v>
      </c>
      <c r="L415" s="1">
        <v>371.0</v>
      </c>
      <c r="M415" s="1">
        <v>2012.0</v>
      </c>
      <c r="N415" s="1">
        <v>2012.0</v>
      </c>
      <c r="O415" s="2">
        <v>42039.0</v>
      </c>
      <c r="P415" s="3">
        <v>41632.0</v>
      </c>
      <c r="Q415" s="1" t="s">
        <v>2021</v>
      </c>
      <c r="R415" s="1" t="s">
        <v>2022</v>
      </c>
      <c r="S415" s="1" t="s">
        <v>32</v>
      </c>
      <c r="W415" s="1">
        <v>1.0</v>
      </c>
      <c r="X415" s="1">
        <v>1.0</v>
      </c>
    </row>
    <row r="416" spans="1:24" ht="15.75" customHeight="1">
      <c r="A416" s="1">
        <v>16842.0</v>
      </c>
      <c r="B416" s="1" t="s">
        <v>2023</v>
      </c>
      <c r="C416" s="1" t="s">
        <v>2024</v>
      </c>
      <c r="D416" s="1" t="s">
        <v>2025</v>
      </c>
      <c r="F416" s="1" t="str">
        <f>"0816638624"</f>
        <v>0816638624</v>
      </c>
      <c r="G416" s="1" t="str">
        <f>"9780816638628"</f>
        <v>9780816638628</v>
      </c>
      <c r="H416" s="1">
        <v>0.0</v>
      </c>
      <c r="I416" s="1">
        <v>4.07</v>
      </c>
      <c r="J416" s="1" t="s">
        <v>1052</v>
      </c>
      <c r="K416" s="1" t="s">
        <v>44</v>
      </c>
      <c r="L416" s="1">
        <v>186.0</v>
      </c>
      <c r="M416" s="1">
        <v>2001.0</v>
      </c>
      <c r="N416" s="1">
        <v>1964.0</v>
      </c>
      <c r="P416" s="2">
        <v>44256.0</v>
      </c>
      <c r="Q416" s="1" t="s">
        <v>1110</v>
      </c>
      <c r="R416" s="1" t="s">
        <v>2026</v>
      </c>
      <c r="S416" s="1" t="s">
        <v>32</v>
      </c>
      <c r="W416" s="1">
        <v>0.0</v>
      </c>
      <c r="X416" s="1">
        <v>0.0</v>
      </c>
    </row>
    <row r="417" spans="1:24" ht="15.75" customHeight="1">
      <c r="A417" s="1">
        <v>3.8212112E7</v>
      </c>
      <c r="B417" s="1" t="s">
        <v>2027</v>
      </c>
      <c r="C417" s="1" t="s">
        <v>2028</v>
      </c>
      <c r="D417" s="1" t="s">
        <v>2029</v>
      </c>
      <c r="F417" s="1" t="str">
        <f>"0393356175"</f>
        <v>0393356175</v>
      </c>
      <c r="G417" s="1" t="str">
        <f>"9780393356175"</f>
        <v>9780393356175</v>
      </c>
      <c r="H417" s="1">
        <v>0.0</v>
      </c>
      <c r="I417" s="1">
        <v>3.98</v>
      </c>
      <c r="J417" s="1" t="s">
        <v>248</v>
      </c>
      <c r="K417" s="1" t="s">
        <v>44</v>
      </c>
      <c r="L417" s="1">
        <v>368.0</v>
      </c>
      <c r="M417" s="1">
        <v>2018.0</v>
      </c>
      <c r="N417" s="1">
        <v>1978.0</v>
      </c>
      <c r="P417" s="2">
        <v>45151.0</v>
      </c>
      <c r="Q417" s="1" t="s">
        <v>32</v>
      </c>
      <c r="R417" s="1" t="s">
        <v>2030</v>
      </c>
      <c r="S417" s="1" t="s">
        <v>32</v>
      </c>
      <c r="W417" s="1">
        <v>0.0</v>
      </c>
      <c r="X417" s="1">
        <v>0.0</v>
      </c>
    </row>
    <row r="418" spans="1:24" ht="15.75" customHeight="1">
      <c r="A418" s="1">
        <v>5.8485511E7</v>
      </c>
      <c r="B418" s="1" t="s">
        <v>2031</v>
      </c>
      <c r="C418" s="1" t="s">
        <v>2032</v>
      </c>
      <c r="D418" s="1" t="s">
        <v>2033</v>
      </c>
      <c r="E418" s="1" t="s">
        <v>2034</v>
      </c>
      <c r="F418" s="1" t="str">
        <f>"1797135546"</f>
        <v>1797135546</v>
      </c>
      <c r="G418" s="1" t="str">
        <f>"9781797135540"</f>
        <v>9781797135540</v>
      </c>
      <c r="H418" s="1">
        <v>0.0</v>
      </c>
      <c r="I418" s="1">
        <v>4.35</v>
      </c>
      <c r="J418" s="1" t="s">
        <v>2035</v>
      </c>
      <c r="K418" s="1" t="s">
        <v>2036</v>
      </c>
      <c r="M418" s="1">
        <v>2022.0</v>
      </c>
      <c r="N418" s="1">
        <v>2022.0</v>
      </c>
      <c r="P418" s="2">
        <v>45313.0</v>
      </c>
      <c r="Q418" s="1" t="s">
        <v>55</v>
      </c>
      <c r="R418" s="1" t="s">
        <v>2037</v>
      </c>
      <c r="S418" s="1" t="s">
        <v>32</v>
      </c>
      <c r="W418" s="1">
        <v>0.0</v>
      </c>
      <c r="X418" s="1">
        <v>0.0</v>
      </c>
    </row>
    <row r="419" spans="1:24" ht="15.75" customHeight="1">
      <c r="A419" s="1">
        <v>714513.0</v>
      </c>
      <c r="B419" s="1" t="s">
        <v>2038</v>
      </c>
      <c r="C419" s="1" t="s">
        <v>2039</v>
      </c>
      <c r="D419" s="1" t="s">
        <v>2040</v>
      </c>
      <c r="F419" s="1" t="str">
        <f>"019507193X"</f>
        <v>019507193X</v>
      </c>
      <c r="G419" s="1" t="str">
        <f>"9780195071931"</f>
        <v>9780195071931</v>
      </c>
      <c r="H419" s="1">
        <v>0.0</v>
      </c>
      <c r="I419" s="1">
        <v>4.08</v>
      </c>
      <c r="J419" s="1" t="s">
        <v>181</v>
      </c>
      <c r="K419" s="1" t="s">
        <v>37</v>
      </c>
      <c r="L419" s="1">
        <v>224.0</v>
      </c>
      <c r="M419" s="1">
        <v>1994.0</v>
      </c>
      <c r="N419" s="1">
        <v>1994.0</v>
      </c>
      <c r="P419" s="2">
        <v>45300.0</v>
      </c>
      <c r="Q419" s="1" t="s">
        <v>30</v>
      </c>
      <c r="R419" s="1" t="s">
        <v>2041</v>
      </c>
      <c r="S419" s="1" t="s">
        <v>32</v>
      </c>
      <c r="W419" s="1">
        <v>0.0</v>
      </c>
      <c r="X419" s="1">
        <v>0.0</v>
      </c>
    </row>
    <row r="420" spans="1:24" ht="15.75" customHeight="1">
      <c r="A420" s="1">
        <v>3.5841005E7</v>
      </c>
      <c r="B420" s="1" t="s">
        <v>2042</v>
      </c>
      <c r="C420" s="1" t="s">
        <v>2043</v>
      </c>
      <c r="D420" s="1" t="s">
        <v>2044</v>
      </c>
      <c r="F420" s="1" t="str">
        <f t="shared" si="28" ref="F420:G420">""</f>
        <v/>
      </c>
      <c r="G420" s="1" t="str">
        <f t="shared" si="28"/>
        <v/>
      </c>
      <c r="H420" s="1">
        <v>0.0</v>
      </c>
      <c r="I420" s="1">
        <v>4.28</v>
      </c>
      <c r="K420" s="1" t="s">
        <v>37</v>
      </c>
      <c r="L420" s="1">
        <v>308.0</v>
      </c>
      <c r="M420" s="1">
        <v>2017.0</v>
      </c>
      <c r="N420" s="1">
        <v>2017.0</v>
      </c>
      <c r="P420" s="2">
        <v>45159.0</v>
      </c>
      <c r="Q420" s="1" t="s">
        <v>115</v>
      </c>
      <c r="R420" s="1" t="s">
        <v>2045</v>
      </c>
      <c r="S420" s="1" t="s">
        <v>32</v>
      </c>
      <c r="W420" s="1">
        <v>0.0</v>
      </c>
      <c r="X420" s="1">
        <v>1.0</v>
      </c>
    </row>
    <row r="421" spans="1:24" ht="15.75" customHeight="1">
      <c r="A421" s="1">
        <v>1232497.0</v>
      </c>
      <c r="B421" s="1" t="s">
        <v>2046</v>
      </c>
      <c r="C421" s="1" t="s">
        <v>2047</v>
      </c>
      <c r="D421" s="1" t="s">
        <v>2048</v>
      </c>
      <c r="F421" s="1" t="str">
        <f>"0812932153"</f>
        <v>0812932153</v>
      </c>
      <c r="G421" s="1" t="str">
        <f>"9780812932157"</f>
        <v>9780812932157</v>
      </c>
      <c r="H421" s="1">
        <v>0.0</v>
      </c>
      <c r="I421" s="1">
        <v>4.18</v>
      </c>
      <c r="J421" s="1" t="s">
        <v>2049</v>
      </c>
      <c r="K421" s="1" t="s">
        <v>37</v>
      </c>
      <c r="L421" s="1">
        <v>416.0</v>
      </c>
      <c r="M421" s="1">
        <v>2000.0</v>
      </c>
      <c r="N421" s="1">
        <v>2000.0</v>
      </c>
      <c r="P421" s="3">
        <v>45274.0</v>
      </c>
      <c r="Q421" s="1" t="s">
        <v>479</v>
      </c>
      <c r="R421" s="1" t="s">
        <v>2050</v>
      </c>
      <c r="S421" s="1" t="s">
        <v>32</v>
      </c>
      <c r="W421" s="1">
        <v>0.0</v>
      </c>
      <c r="X421" s="1">
        <v>0.0</v>
      </c>
    </row>
    <row r="422" spans="1:24" ht="15.75" customHeight="1">
      <c r="A422" s="1">
        <v>340340.0</v>
      </c>
      <c r="B422" s="1" t="s">
        <v>2051</v>
      </c>
      <c r="C422" s="1" t="s">
        <v>2052</v>
      </c>
      <c r="D422" s="1" t="s">
        <v>2053</v>
      </c>
      <c r="E422" s="1" t="s">
        <v>2054</v>
      </c>
      <c r="F422" s="1" t="str">
        <f>"0231116098"</f>
        <v>0231116098</v>
      </c>
      <c r="G422" s="1" t="str">
        <f>"9780231116091"</f>
        <v>9780231116091</v>
      </c>
      <c r="H422" s="1">
        <v>0.0</v>
      </c>
      <c r="I422" s="1">
        <v>3.64</v>
      </c>
      <c r="J422" s="1" t="s">
        <v>2055</v>
      </c>
      <c r="K422" s="1" t="s">
        <v>44</v>
      </c>
      <c r="L422" s="1">
        <v>184.0</v>
      </c>
      <c r="M422" s="1">
        <v>2000.0</v>
      </c>
      <c r="N422" s="1">
        <v>1994.0</v>
      </c>
      <c r="P422" s="2">
        <v>43949.0</v>
      </c>
      <c r="Q422" s="1" t="s">
        <v>218</v>
      </c>
      <c r="R422" s="1" t="s">
        <v>2056</v>
      </c>
      <c r="S422" s="1" t="s">
        <v>32</v>
      </c>
      <c r="W422" s="1">
        <v>0.0</v>
      </c>
      <c r="X422" s="1">
        <v>0.0</v>
      </c>
    </row>
    <row r="423" spans="1:24" ht="15.75" customHeight="1">
      <c r="A423" s="1">
        <v>22290.0</v>
      </c>
      <c r="B423" s="1" t="s">
        <v>2057</v>
      </c>
      <c r="C423" s="1" t="s">
        <v>2058</v>
      </c>
      <c r="D423" s="1" t="s">
        <v>2059</v>
      </c>
      <c r="F423" s="1" t="str">
        <f>"0099285444"</f>
        <v>0099285444</v>
      </c>
      <c r="G423" s="1" t="str">
        <f>"9780099285441"</f>
        <v>9780099285441</v>
      </c>
      <c r="H423" s="1">
        <v>5.0</v>
      </c>
      <c r="I423" s="1">
        <v>4.0</v>
      </c>
      <c r="J423" s="1" t="s">
        <v>69</v>
      </c>
      <c r="K423" s="1" t="s">
        <v>44</v>
      </c>
      <c r="L423" s="1">
        <v>297.0</v>
      </c>
      <c r="M423" s="1">
        <v>2000.0</v>
      </c>
      <c r="N423" s="1">
        <v>1999.0</v>
      </c>
      <c r="O423" s="3">
        <v>40901.0</v>
      </c>
      <c r="P423" s="3">
        <v>40888.0</v>
      </c>
      <c r="Q423" s="1" t="s">
        <v>2060</v>
      </c>
      <c r="R423" s="1" t="s">
        <v>2061</v>
      </c>
      <c r="S423" s="1" t="s">
        <v>271</v>
      </c>
      <c r="W423" s="1">
        <v>1.0</v>
      </c>
      <c r="X423" s="1">
        <v>0.0</v>
      </c>
    </row>
    <row r="424" spans="1:24" ht="15.75" customHeight="1">
      <c r="A424" s="1">
        <v>6.1685822E7</v>
      </c>
      <c r="B424" s="1" t="s">
        <v>2062</v>
      </c>
      <c r="C424" s="1" t="s">
        <v>2063</v>
      </c>
      <c r="D424" s="1" t="s">
        <v>2064</v>
      </c>
      <c r="F424" s="1" t="str">
        <f>"0525655115"</f>
        <v>0525655115</v>
      </c>
      <c r="G424" s="1" t="str">
        <f>"9780525655114"</f>
        <v>9780525655114</v>
      </c>
      <c r="H424" s="1">
        <v>0.0</v>
      </c>
      <c r="I424" s="1">
        <v>3.83</v>
      </c>
      <c r="J424" s="1" t="s">
        <v>1397</v>
      </c>
      <c r="K424" s="1" t="s">
        <v>37</v>
      </c>
      <c r="L424" s="1">
        <v>257.0</v>
      </c>
      <c r="M424" s="1">
        <v>2023.0</v>
      </c>
      <c r="N424" s="1">
        <v>2023.0</v>
      </c>
      <c r="P424" s="2">
        <v>45096.0</v>
      </c>
      <c r="Q424" s="1" t="s">
        <v>338</v>
      </c>
      <c r="R424" s="1" t="s">
        <v>2065</v>
      </c>
      <c r="S424" s="1" t="s">
        <v>32</v>
      </c>
      <c r="W424" s="1">
        <v>0.0</v>
      </c>
      <c r="X424" s="1">
        <v>0.0</v>
      </c>
    </row>
    <row r="425" spans="1:24" ht="15.75" customHeight="1">
      <c r="A425" s="1">
        <v>6.1195296E7</v>
      </c>
      <c r="B425" s="1" t="s">
        <v>2066</v>
      </c>
      <c r="C425" s="1" t="s">
        <v>2067</v>
      </c>
      <c r="D425" s="1" t="s">
        <v>2068</v>
      </c>
      <c r="F425" s="1" t="str">
        <f>"059331705X"</f>
        <v>059331705X</v>
      </c>
      <c r="G425" s="1" t="str">
        <f>"9780593317051"</f>
        <v>9780593317051</v>
      </c>
      <c r="H425" s="1">
        <v>0.0</v>
      </c>
      <c r="I425" s="1">
        <v>3.71</v>
      </c>
      <c r="J425" s="1" t="s">
        <v>772</v>
      </c>
      <c r="K425" s="1" t="s">
        <v>37</v>
      </c>
      <c r="L425" s="1">
        <v>431.0</v>
      </c>
      <c r="M425" s="1">
        <v>2023.0</v>
      </c>
      <c r="N425" s="1">
        <v>2023.0</v>
      </c>
      <c r="P425" s="2">
        <v>45168.0</v>
      </c>
      <c r="Q425" s="1" t="s">
        <v>55</v>
      </c>
      <c r="R425" s="1" t="s">
        <v>2069</v>
      </c>
      <c r="S425" s="1" t="s">
        <v>32</v>
      </c>
      <c r="W425" s="1">
        <v>0.0</v>
      </c>
      <c r="X425" s="1">
        <v>0.0</v>
      </c>
    </row>
    <row r="426" spans="1:24" ht="15.75" customHeight="1">
      <c r="A426" s="1">
        <v>5.1542645E7</v>
      </c>
      <c r="B426" s="1" t="s">
        <v>2070</v>
      </c>
      <c r="C426" s="1" t="s">
        <v>2071</v>
      </c>
      <c r="D426" s="1" t="s">
        <v>2072</v>
      </c>
      <c r="F426" s="1" t="str">
        <f>"0374231184"</f>
        <v>0374231184</v>
      </c>
      <c r="G426" s="1" t="str">
        <f>"9780374231187"</f>
        <v>9780374231187</v>
      </c>
      <c r="H426" s="1">
        <v>0.0</v>
      </c>
      <c r="I426" s="1">
        <v>4.04</v>
      </c>
      <c r="J426" s="1" t="s">
        <v>438</v>
      </c>
      <c r="K426" s="1" t="s">
        <v>37</v>
      </c>
      <c r="L426" s="1">
        <v>368.0</v>
      </c>
      <c r="M426" s="1">
        <v>2020.0</v>
      </c>
      <c r="N426" s="1">
        <v>2019.0</v>
      </c>
      <c r="P426" s="2">
        <v>44238.0</v>
      </c>
      <c r="Q426" s="1" t="s">
        <v>1739</v>
      </c>
      <c r="R426" s="1" t="s">
        <v>2073</v>
      </c>
      <c r="S426" s="1" t="s">
        <v>32</v>
      </c>
      <c r="W426" s="1">
        <v>0.0</v>
      </c>
      <c r="X426" s="1">
        <v>0.0</v>
      </c>
    </row>
    <row r="427" spans="1:24" ht="15.75" customHeight="1">
      <c r="A427" s="1">
        <v>153462.0</v>
      </c>
      <c r="B427" s="1" t="s">
        <v>2074</v>
      </c>
      <c r="C427" s="1" t="s">
        <v>2075</v>
      </c>
      <c r="D427" s="1" t="s">
        <v>2076</v>
      </c>
      <c r="E427" s="1" t="s">
        <v>2077</v>
      </c>
      <c r="F427" s="1" t="str">
        <f>"0816617821"</f>
        <v>0816617821</v>
      </c>
      <c r="G427" s="1" t="str">
        <f>"9780816617821"</f>
        <v>9780816617821</v>
      </c>
      <c r="H427" s="1">
        <v>0.0</v>
      </c>
      <c r="I427" s="1">
        <v>4.28</v>
      </c>
      <c r="J427" s="1" t="s">
        <v>2078</v>
      </c>
      <c r="K427" s="1" t="s">
        <v>44</v>
      </c>
      <c r="L427" s="1">
        <v>80.0</v>
      </c>
      <c r="M427" s="1">
        <v>1989.0</v>
      </c>
      <c r="N427" s="1">
        <v>1973.0</v>
      </c>
      <c r="P427" s="2">
        <v>45239.0</v>
      </c>
      <c r="Q427" s="1" t="s">
        <v>145</v>
      </c>
      <c r="R427" s="1" t="s">
        <v>2079</v>
      </c>
      <c r="S427" s="1" t="s">
        <v>32</v>
      </c>
      <c r="W427" s="1">
        <v>0.0</v>
      </c>
      <c r="X427" s="1">
        <v>0.0</v>
      </c>
    </row>
    <row r="428" spans="1:24" ht="15.75" customHeight="1">
      <c r="A428" s="1">
        <v>5.3492652E7</v>
      </c>
      <c r="B428" s="1" t="s">
        <v>2080</v>
      </c>
      <c r="C428" s="1" t="s">
        <v>2075</v>
      </c>
      <c r="D428" s="1" t="s">
        <v>2076</v>
      </c>
      <c r="E428" s="1" t="s">
        <v>2081</v>
      </c>
      <c r="F428" s="1" t="str">
        <f>"0811230619"</f>
        <v>0811230619</v>
      </c>
      <c r="G428" s="1" t="str">
        <f>"9780811230612"</f>
        <v>9780811230612</v>
      </c>
      <c r="H428" s="1">
        <v>0.0</v>
      </c>
      <c r="I428" s="1">
        <v>4.28</v>
      </c>
      <c r="J428" s="1" t="s">
        <v>419</v>
      </c>
      <c r="K428" s="1" t="s">
        <v>37</v>
      </c>
      <c r="L428" s="1">
        <v>176.0</v>
      </c>
      <c r="M428" s="1">
        <v>2021.0</v>
      </c>
      <c r="N428" s="1">
        <v>1969.0</v>
      </c>
      <c r="P428" s="2">
        <v>44216.0</v>
      </c>
      <c r="Q428" s="1" t="s">
        <v>502</v>
      </c>
      <c r="R428" s="1" t="s">
        <v>2082</v>
      </c>
      <c r="S428" s="1" t="s">
        <v>32</v>
      </c>
      <c r="W428" s="1">
        <v>0.0</v>
      </c>
      <c r="X428" s="1">
        <v>0.0</v>
      </c>
    </row>
    <row r="429" spans="1:24" ht="15.75" customHeight="1">
      <c r="A429" s="1">
        <v>153426.0</v>
      </c>
      <c r="B429" s="1" t="s">
        <v>2083</v>
      </c>
      <c r="C429" s="1" t="s">
        <v>2075</v>
      </c>
      <c r="D429" s="1" t="s">
        <v>2076</v>
      </c>
      <c r="E429" s="1" t="s">
        <v>2084</v>
      </c>
      <c r="F429" s="1" t="str">
        <f>"0816617120"</f>
        <v>0816617120</v>
      </c>
      <c r="G429" s="1" t="str">
        <f>"9780816617128"</f>
        <v>9780816617128</v>
      </c>
      <c r="H429" s="1">
        <v>0.0</v>
      </c>
      <c r="I429" s="1">
        <v>4.14</v>
      </c>
      <c r="J429" s="1" t="s">
        <v>2078</v>
      </c>
      <c r="K429" s="1" t="s">
        <v>44</v>
      </c>
      <c r="L429" s="1">
        <v>173.0</v>
      </c>
      <c r="M429" s="1">
        <v>1988.0</v>
      </c>
      <c r="N429" s="1">
        <v>1964.0</v>
      </c>
      <c r="P429" s="2">
        <v>44216.0</v>
      </c>
      <c r="Q429" s="1" t="s">
        <v>502</v>
      </c>
      <c r="R429" s="1" t="s">
        <v>2085</v>
      </c>
      <c r="S429" s="1" t="s">
        <v>32</v>
      </c>
      <c r="W429" s="1">
        <v>0.0</v>
      </c>
      <c r="X429" s="1">
        <v>0.0</v>
      </c>
    </row>
    <row r="430" spans="1:24" ht="15.75" customHeight="1">
      <c r="A430" s="1">
        <v>1382558.0</v>
      </c>
      <c r="B430" s="1" t="s">
        <v>2086</v>
      </c>
      <c r="C430" s="1" t="s">
        <v>2087</v>
      </c>
      <c r="D430" s="1" t="s">
        <v>2088</v>
      </c>
      <c r="E430" s="1" t="s">
        <v>331</v>
      </c>
      <c r="F430" s="1" t="str">
        <f>"0807605794"</f>
        <v>0807605794</v>
      </c>
      <c r="G430" s="1" t="str">
        <f>"9780807605790"</f>
        <v>9780807605790</v>
      </c>
      <c r="H430" s="1">
        <v>0.0</v>
      </c>
      <c r="I430" s="1">
        <v>4.38</v>
      </c>
      <c r="J430" s="1" t="s">
        <v>2089</v>
      </c>
      <c r="K430" s="1" t="s">
        <v>37</v>
      </c>
      <c r="M430" s="1">
        <v>1971.0</v>
      </c>
      <c r="N430" s="1">
        <v>1969.0</v>
      </c>
      <c r="P430" s="2">
        <v>45129.0</v>
      </c>
      <c r="Q430" s="1" t="s">
        <v>145</v>
      </c>
      <c r="R430" s="1" t="s">
        <v>2090</v>
      </c>
      <c r="S430" s="1" t="s">
        <v>32</v>
      </c>
      <c r="W430" s="1">
        <v>0.0</v>
      </c>
      <c r="X430" s="1">
        <v>0.0</v>
      </c>
    </row>
    <row r="431" spans="1:24" ht="15.75" customHeight="1">
      <c r="A431" s="1">
        <v>1.24029281E8</v>
      </c>
      <c r="B431" s="1" t="s">
        <v>2091</v>
      </c>
      <c r="C431" s="1" t="s">
        <v>2092</v>
      </c>
      <c r="D431" s="1" t="s">
        <v>2093</v>
      </c>
      <c r="F431" s="1" t="str">
        <f>"0374609705"</f>
        <v>0374609705</v>
      </c>
      <c r="G431" s="1" t="str">
        <f>"9780374609702"</f>
        <v>9780374609702</v>
      </c>
      <c r="H431" s="1">
        <v>0.0</v>
      </c>
      <c r="I431" s="1">
        <v>4.0</v>
      </c>
      <c r="J431" s="1" t="s">
        <v>438</v>
      </c>
      <c r="K431" s="1" t="s">
        <v>37</v>
      </c>
      <c r="L431" s="1">
        <v>272.0</v>
      </c>
      <c r="M431" s="1">
        <v>2023.0</v>
      </c>
      <c r="N431" s="1">
        <v>2023.0</v>
      </c>
      <c r="P431" s="3">
        <v>45274.0</v>
      </c>
      <c r="Q431" s="1" t="s">
        <v>145</v>
      </c>
      <c r="R431" s="1" t="s">
        <v>2094</v>
      </c>
      <c r="S431" s="1" t="s">
        <v>32</v>
      </c>
      <c r="W431" s="1">
        <v>0.0</v>
      </c>
      <c r="X431" s="1">
        <v>0.0</v>
      </c>
    </row>
    <row r="432" spans="1:24" ht="15.75" customHeight="1">
      <c r="A432" s="1">
        <v>3.2190155E7</v>
      </c>
      <c r="B432" s="1" t="s">
        <v>2095</v>
      </c>
      <c r="C432" s="1" t="s">
        <v>2096</v>
      </c>
      <c r="D432" s="1" t="s">
        <v>2097</v>
      </c>
      <c r="F432" s="1" t="str">
        <f>"8416665028"</f>
        <v>8416665028</v>
      </c>
      <c r="G432" s="1" t="str">
        <f>"9788416665020"</f>
        <v>9788416665020</v>
      </c>
      <c r="H432" s="1">
        <v>0.0</v>
      </c>
      <c r="I432" s="1">
        <v>3.77</v>
      </c>
      <c r="J432" s="1" t="s">
        <v>2098</v>
      </c>
      <c r="K432" s="1" t="s">
        <v>37</v>
      </c>
      <c r="L432" s="1">
        <v>310.0</v>
      </c>
      <c r="M432" s="1">
        <v>2016.0</v>
      </c>
      <c r="P432" s="3">
        <v>45228.0</v>
      </c>
      <c r="Q432" s="1" t="s">
        <v>32</v>
      </c>
      <c r="R432" s="1" t="s">
        <v>2099</v>
      </c>
      <c r="S432" s="1" t="s">
        <v>32</v>
      </c>
      <c r="W432" s="1">
        <v>0.0</v>
      </c>
      <c r="X432" s="1">
        <v>0.0</v>
      </c>
    </row>
    <row r="433" spans="1:24" ht="15.75" customHeight="1">
      <c r="A433" s="1">
        <v>249186.0</v>
      </c>
      <c r="B433" s="1" t="s">
        <v>2100</v>
      </c>
      <c r="C433" s="1" t="s">
        <v>2101</v>
      </c>
      <c r="D433" s="1" t="s">
        <v>2102</v>
      </c>
      <c r="E433" s="1" t="s">
        <v>2103</v>
      </c>
      <c r="F433" s="1" t="str">
        <f>"0062720732"</f>
        <v>0062720732</v>
      </c>
      <c r="G433" s="1" t="str">
        <f>"9780062720733"</f>
        <v>9780062720733</v>
      </c>
      <c r="H433" s="1">
        <v>0.0</v>
      </c>
      <c r="I433" s="1">
        <v>3.94</v>
      </c>
      <c r="J433" s="1" t="s">
        <v>2104</v>
      </c>
      <c r="K433" s="1" t="s">
        <v>44</v>
      </c>
      <c r="L433" s="1">
        <v>378.0</v>
      </c>
      <c r="M433" s="1">
        <v>1999.0</v>
      </c>
      <c r="N433" s="1">
        <v>1960.0</v>
      </c>
      <c r="P433" s="2">
        <v>45126.0</v>
      </c>
      <c r="Q433" s="1" t="s">
        <v>32</v>
      </c>
      <c r="R433" s="1" t="s">
        <v>2105</v>
      </c>
      <c r="S433" s="1" t="s">
        <v>32</v>
      </c>
      <c r="W433" s="1">
        <v>0.0</v>
      </c>
      <c r="X433" s="1">
        <v>0.0</v>
      </c>
    </row>
    <row r="434" spans="1:24" ht="15.75" customHeight="1">
      <c r="A434" s="1">
        <v>6.0911482E7</v>
      </c>
      <c r="B434" s="1" t="s">
        <v>2106</v>
      </c>
      <c r="C434" s="1" t="s">
        <v>2107</v>
      </c>
      <c r="D434" s="1" t="s">
        <v>2108</v>
      </c>
      <c r="E434" s="1" t="s">
        <v>2109</v>
      </c>
      <c r="F434" s="1" t="str">
        <f>"1681376709"</f>
        <v>1681376709</v>
      </c>
      <c r="G434" s="1" t="str">
        <f>"9781681376707"</f>
        <v>9781681376707</v>
      </c>
      <c r="H434" s="1">
        <v>0.0</v>
      </c>
      <c r="I434" s="1">
        <v>3.89</v>
      </c>
      <c r="J434" s="1" t="s">
        <v>204</v>
      </c>
      <c r="K434" s="1" t="s">
        <v>44</v>
      </c>
      <c r="L434" s="1">
        <v>320.0</v>
      </c>
      <c r="M434" s="1">
        <v>2022.0</v>
      </c>
      <c r="N434" s="1">
        <v>1926.0</v>
      </c>
      <c r="P434" s="2">
        <v>45102.0</v>
      </c>
      <c r="Q434" s="1" t="s">
        <v>32</v>
      </c>
      <c r="R434" s="1" t="s">
        <v>2110</v>
      </c>
      <c r="S434" s="1" t="s">
        <v>32</v>
      </c>
      <c r="W434" s="1">
        <v>0.0</v>
      </c>
      <c r="X434" s="1">
        <v>0.0</v>
      </c>
    </row>
    <row r="435" spans="1:24" ht="15.75" customHeight="1">
      <c r="A435" s="1">
        <v>2422891.0</v>
      </c>
      <c r="B435" s="1" t="s">
        <v>2111</v>
      </c>
      <c r="C435" s="1" t="s">
        <v>2112</v>
      </c>
      <c r="D435" s="1" t="s">
        <v>2113</v>
      </c>
      <c r="E435" s="1" t="s">
        <v>2114</v>
      </c>
      <c r="F435" s="1" t="str">
        <f>"1842432184"</f>
        <v>1842432184</v>
      </c>
      <c r="G435" s="1" t="str">
        <f>"9781842432181"</f>
        <v>9781842432181</v>
      </c>
      <c r="H435" s="1">
        <v>0.0</v>
      </c>
      <c r="I435" s="1">
        <v>3.31</v>
      </c>
      <c r="J435" s="1" t="s">
        <v>2115</v>
      </c>
      <c r="K435" s="1" t="s">
        <v>44</v>
      </c>
      <c r="L435" s="1">
        <v>204.0</v>
      </c>
      <c r="M435" s="1">
        <v>2008.0</v>
      </c>
      <c r="N435" s="1">
        <v>2001.0</v>
      </c>
      <c r="P435" s="2">
        <v>43961.0</v>
      </c>
      <c r="Q435" s="1" t="s">
        <v>32</v>
      </c>
      <c r="R435" s="1" t="s">
        <v>2116</v>
      </c>
      <c r="S435" s="1" t="s">
        <v>32</v>
      </c>
      <c r="W435" s="1">
        <v>0.0</v>
      </c>
      <c r="X435" s="1">
        <v>0.0</v>
      </c>
    </row>
    <row r="436" spans="1:24" ht="15.75" customHeight="1">
      <c r="A436" s="1">
        <v>36030.0</v>
      </c>
      <c r="B436" s="1" t="s">
        <v>2117</v>
      </c>
      <c r="C436" s="1" t="s">
        <v>2118</v>
      </c>
      <c r="D436" s="1" t="s">
        <v>2119</v>
      </c>
      <c r="F436" s="1" t="str">
        <f>"1842931075"</f>
        <v>1842931075</v>
      </c>
      <c r="G436" s="1" t="str">
        <f>"9781842931073"</f>
        <v>9781842931073</v>
      </c>
      <c r="H436" s="1">
        <v>0.0</v>
      </c>
      <c r="I436" s="1">
        <v>3.92</v>
      </c>
      <c r="J436" s="1" t="s">
        <v>2120</v>
      </c>
      <c r="K436" s="1" t="s">
        <v>44</v>
      </c>
      <c r="L436" s="1">
        <v>800.0</v>
      </c>
      <c r="M436" s="1">
        <v>1999.0</v>
      </c>
      <c r="N436" s="1">
        <v>1971.0</v>
      </c>
      <c r="P436" s="2">
        <v>45070.0</v>
      </c>
      <c r="Q436" s="1" t="s">
        <v>32</v>
      </c>
      <c r="R436" s="1" t="s">
        <v>2121</v>
      </c>
      <c r="S436" s="1" t="s">
        <v>32</v>
      </c>
      <c r="W436" s="1">
        <v>0.0</v>
      </c>
      <c r="X436" s="1">
        <v>0.0</v>
      </c>
    </row>
    <row r="437" spans="1:24" ht="15.75" customHeight="1">
      <c r="A437" s="1">
        <v>1.3547234E7</v>
      </c>
      <c r="B437" s="1" t="s">
        <v>2122</v>
      </c>
      <c r="C437" s="1" t="s">
        <v>2123</v>
      </c>
      <c r="D437" s="1" t="s">
        <v>2124</v>
      </c>
      <c r="F437" s="1" t="str">
        <f>"1451688385"</f>
        <v>1451688385</v>
      </c>
      <c r="G437" s="1" t="str">
        <f>"9781451688382"</f>
        <v>9781451688382</v>
      </c>
      <c r="H437" s="1">
        <v>0.0</v>
      </c>
      <c r="I437" s="1">
        <v>3.64</v>
      </c>
      <c r="J437" s="1" t="s">
        <v>88</v>
      </c>
      <c r="K437" s="1" t="s">
        <v>37</v>
      </c>
      <c r="L437" s="1">
        <v>81.0</v>
      </c>
      <c r="M437" s="1">
        <v>2012.0</v>
      </c>
      <c r="N437" s="1">
        <v>2012.0</v>
      </c>
      <c r="P437" s="2">
        <v>45129.0</v>
      </c>
      <c r="Q437" s="1" t="s">
        <v>32</v>
      </c>
      <c r="R437" s="1" t="s">
        <v>2125</v>
      </c>
      <c r="S437" s="1" t="s">
        <v>32</v>
      </c>
      <c r="W437" s="1">
        <v>0.0</v>
      </c>
      <c r="X437" s="1">
        <v>0.0</v>
      </c>
    </row>
    <row r="438" spans="1:24" ht="15.75" customHeight="1">
      <c r="A438" s="1">
        <v>821104.0</v>
      </c>
      <c r="B438" s="1" t="s">
        <v>2126</v>
      </c>
      <c r="C438" s="1" t="s">
        <v>2127</v>
      </c>
      <c r="D438" s="1" t="s">
        <v>2128</v>
      </c>
      <c r="F438" s="1" t="str">
        <f>"0374223505"</f>
        <v>0374223505</v>
      </c>
      <c r="G438" s="1" t="str">
        <f>"9780374223502"</f>
        <v>9780374223502</v>
      </c>
      <c r="H438" s="1">
        <v>0.0</v>
      </c>
      <c r="I438" s="1">
        <v>4.68</v>
      </c>
      <c r="J438" s="1" t="s">
        <v>438</v>
      </c>
      <c r="K438" s="1" t="s">
        <v>37</v>
      </c>
      <c r="L438" s="1">
        <v>322.0</v>
      </c>
      <c r="M438" s="1">
        <v>1986.0</v>
      </c>
      <c r="N438" s="1">
        <v>1984.0</v>
      </c>
      <c r="P438" s="2">
        <v>45235.0</v>
      </c>
      <c r="Q438" s="1" t="s">
        <v>2129</v>
      </c>
      <c r="R438" s="1" t="s">
        <v>2130</v>
      </c>
      <c r="S438" s="1" t="s">
        <v>32</v>
      </c>
      <c r="W438" s="1">
        <v>0.0</v>
      </c>
      <c r="X438" s="1">
        <v>0.0</v>
      </c>
    </row>
    <row r="439" spans="1:24" ht="15.75" customHeight="1">
      <c r="A439" s="1">
        <v>2.5069299E7</v>
      </c>
      <c r="B439" s="1" t="s">
        <v>2131</v>
      </c>
      <c r="C439" s="1" t="s">
        <v>2127</v>
      </c>
      <c r="D439" s="1" t="s">
        <v>2128</v>
      </c>
      <c r="F439" s="1" t="str">
        <f>"9502305841"</f>
        <v>9502305841</v>
      </c>
      <c r="G439" s="1" t="str">
        <f>"9789502305844"</f>
        <v>9789502305844</v>
      </c>
      <c r="H439" s="1">
        <v>0.0</v>
      </c>
      <c r="I439" s="1">
        <v>4.68</v>
      </c>
      <c r="J439" s="1" t="s">
        <v>2132</v>
      </c>
      <c r="K439" s="1" t="s">
        <v>44</v>
      </c>
      <c r="L439" s="1">
        <v>496.0</v>
      </c>
      <c r="M439" s="1">
        <v>1996.0</v>
      </c>
      <c r="N439" s="1">
        <v>1984.0</v>
      </c>
      <c r="P439" s="2">
        <v>45155.0</v>
      </c>
      <c r="Q439" s="1" t="s">
        <v>788</v>
      </c>
      <c r="R439" s="1" t="s">
        <v>2133</v>
      </c>
      <c r="S439" s="1" t="s">
        <v>32</v>
      </c>
      <c r="V439" s="1" t="s">
        <v>2134</v>
      </c>
      <c r="W439" s="1">
        <v>0.0</v>
      </c>
      <c r="X439" s="1">
        <v>1.0</v>
      </c>
    </row>
    <row r="440" spans="1:24" ht="15.75" customHeight="1">
      <c r="A440" s="1">
        <v>1.3222538E7</v>
      </c>
      <c r="B440" s="1" t="s">
        <v>2135</v>
      </c>
      <c r="C440" s="1" t="s">
        <v>2136</v>
      </c>
      <c r="D440" s="1" t="s">
        <v>2137</v>
      </c>
      <c r="F440" s="1" t="str">
        <f>"0252034937"</f>
        <v>0252034937</v>
      </c>
      <c r="G440" s="1" t="str">
        <f>"9780252034930"</f>
        <v>9780252034930</v>
      </c>
      <c r="H440" s="1">
        <v>0.0</v>
      </c>
      <c r="I440" s="1">
        <v>3.88</v>
      </c>
      <c r="J440" s="1" t="s">
        <v>1738</v>
      </c>
      <c r="K440" s="1" t="s">
        <v>37</v>
      </c>
      <c r="L440" s="1">
        <v>296.0</v>
      </c>
      <c r="M440" s="1">
        <v>2012.0</v>
      </c>
      <c r="N440" s="1">
        <v>2012.0</v>
      </c>
      <c r="P440" s="2">
        <v>45154.0</v>
      </c>
      <c r="Q440" s="1" t="s">
        <v>32</v>
      </c>
      <c r="R440" s="1" t="s">
        <v>2138</v>
      </c>
      <c r="S440" s="1" t="s">
        <v>32</v>
      </c>
      <c r="W440" s="1">
        <v>0.0</v>
      </c>
      <c r="X440" s="1">
        <v>0.0</v>
      </c>
    </row>
    <row r="441" spans="1:24" ht="15.75" customHeight="1">
      <c r="A441" s="1">
        <v>3775266.0</v>
      </c>
      <c r="B441" s="1" t="s">
        <v>2139</v>
      </c>
      <c r="C441" s="1" t="s">
        <v>2140</v>
      </c>
      <c r="D441" s="1" t="s">
        <v>2141</v>
      </c>
      <c r="E441" s="1" t="s">
        <v>2142</v>
      </c>
      <c r="F441" s="1" t="str">
        <f>"0375400966"</f>
        <v>0375400966</v>
      </c>
      <c r="G441" s="1" t="str">
        <f>"9780375400964"</f>
        <v>9780375400964</v>
      </c>
      <c r="H441" s="1">
        <v>3.0</v>
      </c>
      <c r="I441" s="1">
        <v>4.38</v>
      </c>
      <c r="J441" s="1" t="s">
        <v>530</v>
      </c>
      <c r="K441" s="1" t="s">
        <v>37</v>
      </c>
      <c r="L441" s="1">
        <v>624.0</v>
      </c>
      <c r="M441" s="1">
        <v>2009.0</v>
      </c>
      <c r="N441" s="1">
        <v>1972.0</v>
      </c>
      <c r="P441" s="3">
        <v>43416.0</v>
      </c>
      <c r="Q441" s="1" t="s">
        <v>2143</v>
      </c>
      <c r="R441" s="1" t="s">
        <v>2144</v>
      </c>
      <c r="S441" s="1" t="s">
        <v>271</v>
      </c>
      <c r="W441" s="1">
        <v>1.0</v>
      </c>
      <c r="X441" s="1">
        <v>0.0</v>
      </c>
    </row>
    <row r="442" spans="1:24" ht="15.75" customHeight="1">
      <c r="A442" s="1">
        <v>6.1436949E7</v>
      </c>
      <c r="B442" s="1" t="s">
        <v>2145</v>
      </c>
      <c r="C442" s="1" t="s">
        <v>2146</v>
      </c>
      <c r="D442" s="1" t="s">
        <v>2147</v>
      </c>
      <c r="F442" s="1" t="str">
        <f>"8439741006"</f>
        <v>8439741006</v>
      </c>
      <c r="G442" s="1" t="str">
        <f>"9788439741008"</f>
        <v>9788439741008</v>
      </c>
      <c r="H442" s="1">
        <v>0.0</v>
      </c>
      <c r="I442" s="1">
        <v>3.99</v>
      </c>
      <c r="J442" s="1" t="s">
        <v>2148</v>
      </c>
      <c r="K442" s="1" t="s">
        <v>44</v>
      </c>
      <c r="L442" s="1">
        <v>216.0</v>
      </c>
      <c r="M442" s="1">
        <v>2022.0</v>
      </c>
      <c r="N442" s="1">
        <v>2006.0</v>
      </c>
      <c r="P442" s="2">
        <v>41035.0</v>
      </c>
      <c r="Q442" s="1" t="s">
        <v>818</v>
      </c>
      <c r="R442" s="1" t="s">
        <v>2149</v>
      </c>
      <c r="S442" s="1" t="s">
        <v>32</v>
      </c>
      <c r="W442" s="1">
        <v>0.0</v>
      </c>
      <c r="X442" s="1">
        <v>1.0</v>
      </c>
    </row>
    <row r="443" spans="1:24" ht="15.75" customHeight="1">
      <c r="A443" s="1">
        <v>31923.0</v>
      </c>
      <c r="B443" s="1" t="s">
        <v>2150</v>
      </c>
      <c r="C443" s="1" t="s">
        <v>2151</v>
      </c>
      <c r="D443" s="1" t="s">
        <v>2152</v>
      </c>
      <c r="E443" s="1" t="s">
        <v>2153</v>
      </c>
      <c r="F443" s="1" t="str">
        <f>"0875428320"</f>
        <v>0875428320</v>
      </c>
      <c r="G443" s="1" t="str">
        <f>"9780875428321"</f>
        <v>9780875428321</v>
      </c>
      <c r="H443" s="1">
        <v>0.0</v>
      </c>
      <c r="I443" s="1">
        <v>4.11</v>
      </c>
      <c r="J443" s="1" t="s">
        <v>1267</v>
      </c>
      <c r="K443" s="1" t="s">
        <v>44</v>
      </c>
      <c r="L443" s="1">
        <v>1024.0</v>
      </c>
      <c r="M443" s="1">
        <v>1992.0</v>
      </c>
      <c r="N443" s="1">
        <v>1510.0</v>
      </c>
      <c r="P443" s="2">
        <v>43957.0</v>
      </c>
      <c r="Q443" s="1" t="s">
        <v>32</v>
      </c>
      <c r="R443" s="1" t="s">
        <v>2154</v>
      </c>
      <c r="S443" s="1" t="s">
        <v>32</v>
      </c>
      <c r="W443" s="1">
        <v>0.0</v>
      </c>
      <c r="X443" s="1">
        <v>0.0</v>
      </c>
    </row>
    <row r="444" spans="1:24" ht="15.75" customHeight="1">
      <c r="A444" s="1">
        <v>6.1361681E7</v>
      </c>
      <c r="B444" s="1" t="s">
        <v>2155</v>
      </c>
      <c r="C444" s="1" t="s">
        <v>2156</v>
      </c>
      <c r="D444" s="1" t="s">
        <v>2157</v>
      </c>
      <c r="F444" s="1" t="str">
        <f>"1728268230"</f>
        <v>1728268230</v>
      </c>
      <c r="G444" s="1" t="str">
        <f>"9781728268231"</f>
        <v>9781728268231</v>
      </c>
      <c r="H444" s="1">
        <v>0.0</v>
      </c>
      <c r="I444" s="1">
        <v>4.26</v>
      </c>
      <c r="J444" s="1" t="s">
        <v>2158</v>
      </c>
      <c r="K444" s="1" t="s">
        <v>37</v>
      </c>
      <c r="L444" s="1">
        <v>448.0</v>
      </c>
      <c r="M444" s="1">
        <v>2023.0</v>
      </c>
      <c r="N444" s="1">
        <v>2023.0</v>
      </c>
      <c r="P444" s="2">
        <v>45132.0</v>
      </c>
      <c r="Q444" s="1" t="s">
        <v>32</v>
      </c>
      <c r="R444" s="1" t="s">
        <v>2159</v>
      </c>
      <c r="S444" s="1" t="s">
        <v>32</v>
      </c>
      <c r="W444" s="1">
        <v>0.0</v>
      </c>
      <c r="X444" s="1">
        <v>0.0</v>
      </c>
    </row>
    <row r="445" spans="1:24" ht="15.75" customHeight="1">
      <c r="A445" s="1">
        <v>314227.0</v>
      </c>
      <c r="B445" s="1" t="s">
        <v>2160</v>
      </c>
      <c r="C445" s="1" t="s">
        <v>2161</v>
      </c>
      <c r="D445" s="1" t="s">
        <v>2162</v>
      </c>
      <c r="F445" s="1" t="str">
        <f>"0719068479"</f>
        <v>0719068479</v>
      </c>
      <c r="G445" s="1" t="str">
        <f>"9780719068478"</f>
        <v>9780719068478</v>
      </c>
      <c r="H445" s="1">
        <v>0.0</v>
      </c>
      <c r="I445" s="1">
        <v>3.83</v>
      </c>
      <c r="J445" s="1" t="s">
        <v>2163</v>
      </c>
      <c r="K445" s="1" t="s">
        <v>44</v>
      </c>
      <c r="L445" s="1">
        <v>392.0</v>
      </c>
      <c r="M445" s="1">
        <v>2006.0</v>
      </c>
      <c r="N445" s="1">
        <v>2007.0</v>
      </c>
      <c r="P445" s="2">
        <v>44222.0</v>
      </c>
      <c r="Q445" s="1" t="s">
        <v>138</v>
      </c>
      <c r="R445" s="1" t="s">
        <v>2164</v>
      </c>
      <c r="S445" s="1" t="s">
        <v>32</v>
      </c>
      <c r="W445" s="1">
        <v>0.0</v>
      </c>
      <c r="X445" s="1">
        <v>0.0</v>
      </c>
    </row>
    <row r="446" spans="1:24" ht="15.75" customHeight="1">
      <c r="A446" s="1">
        <v>3.7912479E7</v>
      </c>
      <c r="B446" s="1" t="s">
        <v>2165</v>
      </c>
      <c r="C446" s="1" t="s">
        <v>2166</v>
      </c>
      <c r="D446" s="1" t="s">
        <v>2167</v>
      </c>
      <c r="F446" s="1" t="str">
        <f>"1617294942"</f>
        <v>1617294942</v>
      </c>
      <c r="G446" s="1" t="str">
        <f>"9781617294945"</f>
        <v>9781617294945</v>
      </c>
      <c r="H446" s="1">
        <v>0.0</v>
      </c>
      <c r="I446" s="1">
        <v>3.93</v>
      </c>
      <c r="J446" s="1" t="s">
        <v>2168</v>
      </c>
      <c r="K446" s="1" t="s">
        <v>44</v>
      </c>
      <c r="L446" s="1">
        <v>520.0</v>
      </c>
      <c r="M446" s="1">
        <v>2018.0</v>
      </c>
      <c r="P446" s="2">
        <v>44814.0</v>
      </c>
      <c r="Q446" s="1" t="s">
        <v>1017</v>
      </c>
      <c r="R446" s="1" t="s">
        <v>2169</v>
      </c>
      <c r="S446" s="1" t="s">
        <v>32</v>
      </c>
      <c r="W446" s="1">
        <v>0.0</v>
      </c>
      <c r="X446" s="1">
        <v>1.0</v>
      </c>
    </row>
    <row r="447" spans="1:24" ht="15.75" customHeight="1">
      <c r="A447" s="1">
        <v>5.7937068E7</v>
      </c>
      <c r="B447" s="1" t="s">
        <v>2170</v>
      </c>
      <c r="C447" s="1" t="s">
        <v>2171</v>
      </c>
      <c r="D447" s="1" t="s">
        <v>2172</v>
      </c>
      <c r="F447" s="1" t="str">
        <f>""</f>
        <v/>
      </c>
      <c r="G447" s="1" t="str">
        <f>"9786073804059"</f>
        <v>9786073804059</v>
      </c>
      <c r="H447" s="1">
        <v>0.0</v>
      </c>
      <c r="I447" s="1">
        <v>4.4</v>
      </c>
      <c r="J447" s="1" t="s">
        <v>2148</v>
      </c>
      <c r="K447" s="1" t="s">
        <v>44</v>
      </c>
      <c r="L447" s="1">
        <v>304.0</v>
      </c>
      <c r="M447" s="1">
        <v>2021.0</v>
      </c>
      <c r="N447" s="1">
        <v>2021.0</v>
      </c>
      <c r="P447" s="3">
        <v>45228.0</v>
      </c>
      <c r="Q447" s="1" t="s">
        <v>145</v>
      </c>
      <c r="R447" s="1" t="s">
        <v>2173</v>
      </c>
      <c r="S447" s="1" t="s">
        <v>32</v>
      </c>
      <c r="W447" s="1">
        <v>0.0</v>
      </c>
      <c r="X447" s="1">
        <v>0.0</v>
      </c>
    </row>
    <row r="448" spans="1:24" ht="15.75" customHeight="1">
      <c r="A448" s="1">
        <v>953566.0</v>
      </c>
      <c r="B448" s="1" t="s">
        <v>2174</v>
      </c>
      <c r="C448" s="1" t="s">
        <v>2175</v>
      </c>
      <c r="D448" s="1" t="s">
        <v>2176</v>
      </c>
      <c r="F448" s="1" t="str">
        <f>"158567592X"</f>
        <v>158567592X</v>
      </c>
      <c r="G448" s="1" t="str">
        <f>"9781585675920"</f>
        <v>9781585675920</v>
      </c>
      <c r="H448" s="1">
        <v>0.0</v>
      </c>
      <c r="I448" s="1">
        <v>3.95</v>
      </c>
      <c r="J448" s="1" t="s">
        <v>2177</v>
      </c>
      <c r="K448" s="1" t="s">
        <v>37</v>
      </c>
      <c r="L448" s="1">
        <v>689.0</v>
      </c>
      <c r="M448" s="1">
        <v>2005.0</v>
      </c>
      <c r="N448" s="1">
        <v>2002.0</v>
      </c>
      <c r="P448" s="2">
        <v>44242.0</v>
      </c>
      <c r="Q448" s="1" t="s">
        <v>55</v>
      </c>
      <c r="R448" s="1" t="s">
        <v>2178</v>
      </c>
      <c r="S448" s="1" t="s">
        <v>32</v>
      </c>
      <c r="W448" s="1">
        <v>0.0</v>
      </c>
      <c r="X448" s="1">
        <v>0.0</v>
      </c>
    </row>
    <row r="449" spans="1:24" ht="15.75" customHeight="1">
      <c r="A449" s="1">
        <v>138428.0</v>
      </c>
      <c r="B449" s="1" t="s">
        <v>2179</v>
      </c>
      <c r="C449" s="1" t="s">
        <v>2180</v>
      </c>
      <c r="D449" s="1" t="s">
        <v>2181</v>
      </c>
      <c r="E449" s="1" t="s">
        <v>2182</v>
      </c>
      <c r="F449" s="1" t="str">
        <f>"1590171470"</f>
        <v>1590171470</v>
      </c>
      <c r="G449" s="1" t="str">
        <f>"9781590171479"</f>
        <v>9781590171479</v>
      </c>
      <c r="H449" s="1">
        <v>0.0</v>
      </c>
      <c r="I449" s="1">
        <v>4.15</v>
      </c>
      <c r="J449" s="1" t="s">
        <v>823</v>
      </c>
      <c r="K449" s="1" t="s">
        <v>44</v>
      </c>
      <c r="L449" s="1">
        <v>437.0</v>
      </c>
      <c r="M449" s="1">
        <v>2005.0</v>
      </c>
      <c r="N449" s="1">
        <v>1944.0</v>
      </c>
      <c r="P449" s="2">
        <v>45102.0</v>
      </c>
      <c r="Q449" s="1" t="s">
        <v>32</v>
      </c>
      <c r="R449" s="1" t="s">
        <v>2183</v>
      </c>
      <c r="S449" s="1" t="s">
        <v>32</v>
      </c>
      <c r="W449" s="1">
        <v>0.0</v>
      </c>
      <c r="X449" s="1">
        <v>0.0</v>
      </c>
    </row>
    <row r="450" spans="1:24" ht="15.75" customHeight="1">
      <c r="A450" s="1">
        <v>11711.0</v>
      </c>
      <c r="B450" s="1" t="s">
        <v>2184</v>
      </c>
      <c r="C450" s="1" t="s">
        <v>2185</v>
      </c>
      <c r="D450" s="1" t="s">
        <v>2186</v>
      </c>
      <c r="F450" s="1" t="str">
        <f t="shared" si="29" ref="F450:G450">""</f>
        <v/>
      </c>
      <c r="G450" s="1" t="str">
        <f t="shared" si="29"/>
        <v/>
      </c>
      <c r="H450" s="1">
        <v>0.0</v>
      </c>
      <c r="I450" s="1">
        <v>3.61</v>
      </c>
      <c r="J450" s="1" t="s">
        <v>2187</v>
      </c>
      <c r="K450" s="1" t="s">
        <v>44</v>
      </c>
      <c r="L450" s="1">
        <v>279.0</v>
      </c>
      <c r="M450" s="1">
        <v>2004.0</v>
      </c>
      <c r="N450" s="1">
        <v>2003.0</v>
      </c>
      <c r="P450" s="2">
        <v>45111.0</v>
      </c>
      <c r="Q450" s="1" t="s">
        <v>261</v>
      </c>
      <c r="R450" s="1" t="s">
        <v>2188</v>
      </c>
      <c r="S450" s="1" t="s">
        <v>32</v>
      </c>
      <c r="W450" s="1">
        <v>0.0</v>
      </c>
      <c r="X450" s="1">
        <v>0.0</v>
      </c>
    </row>
    <row r="451" spans="1:24" ht="15.75" customHeight="1">
      <c r="A451" s="1">
        <v>4.5688229E7</v>
      </c>
      <c r="B451" s="1" t="s">
        <v>2189</v>
      </c>
      <c r="C451" s="1" t="s">
        <v>2190</v>
      </c>
      <c r="D451" s="1" t="s">
        <v>2191</v>
      </c>
      <c r="E451" s="1" t="s">
        <v>2192</v>
      </c>
      <c r="F451" s="1" t="str">
        <f>"1681373637"</f>
        <v>1681373637</v>
      </c>
      <c r="G451" s="1" t="str">
        <f>"9781681373638"</f>
        <v>9781681373638</v>
      </c>
      <c r="H451" s="1">
        <v>0.0</v>
      </c>
      <c r="I451" s="1">
        <v>3.79</v>
      </c>
      <c r="J451" s="1" t="s">
        <v>823</v>
      </c>
      <c r="K451" s="1" t="s">
        <v>44</v>
      </c>
      <c r="L451" s="1">
        <v>492.0</v>
      </c>
      <c r="M451" s="1">
        <v>2019.0</v>
      </c>
      <c r="N451" s="1">
        <v>2019.0</v>
      </c>
      <c r="P451" s="2">
        <v>45129.0</v>
      </c>
      <c r="Q451" s="1" t="s">
        <v>338</v>
      </c>
      <c r="R451" s="1" t="s">
        <v>2193</v>
      </c>
      <c r="S451" s="1" t="s">
        <v>32</v>
      </c>
      <c r="W451" s="1">
        <v>0.0</v>
      </c>
      <c r="X451" s="1">
        <v>0.0</v>
      </c>
    </row>
    <row r="452" spans="1:24" ht="15.75" customHeight="1">
      <c r="A452" s="1">
        <v>31491.0</v>
      </c>
      <c r="B452" s="1" t="s">
        <v>2194</v>
      </c>
      <c r="C452" s="1" t="s">
        <v>2190</v>
      </c>
      <c r="D452" s="1" t="s">
        <v>2191</v>
      </c>
      <c r="E452" s="1" t="s">
        <v>2195</v>
      </c>
      <c r="F452" s="1" t="str">
        <f>"0451530306"</f>
        <v>0451530306</v>
      </c>
      <c r="G452" s="1" t="str">
        <f>"9780451530301"</f>
        <v>9780451530301</v>
      </c>
      <c r="H452" s="1">
        <v>0.0</v>
      </c>
      <c r="I452" s="1">
        <v>3.7</v>
      </c>
      <c r="J452" s="1" t="s">
        <v>1234</v>
      </c>
      <c r="K452" s="1" t="s">
        <v>44</v>
      </c>
      <c r="L452" s="1">
        <v>544.0</v>
      </c>
      <c r="M452" s="1">
        <v>2009.0</v>
      </c>
      <c r="N452" s="1">
        <v>1915.0</v>
      </c>
      <c r="P452" s="2">
        <v>41529.0</v>
      </c>
      <c r="Q452" s="1" t="s">
        <v>502</v>
      </c>
      <c r="R452" s="1" t="s">
        <v>2196</v>
      </c>
      <c r="S452" s="1" t="s">
        <v>32</v>
      </c>
      <c r="W452" s="1">
        <v>0.0</v>
      </c>
      <c r="X452" s="1">
        <v>0.0</v>
      </c>
    </row>
    <row r="453" spans="1:24" ht="15.75" customHeight="1">
      <c r="A453" s="1">
        <v>114872.0</v>
      </c>
      <c r="B453" s="1" t="s">
        <v>2197</v>
      </c>
      <c r="C453" s="1" t="s">
        <v>2190</v>
      </c>
      <c r="D453" s="1" t="s">
        <v>2191</v>
      </c>
      <c r="F453" s="1" t="str">
        <f>"0880014296"</f>
        <v>0880014296</v>
      </c>
      <c r="G453" s="1" t="str">
        <f>"9780880014298"</f>
        <v>9780880014298</v>
      </c>
      <c r="H453" s="1">
        <v>0.0</v>
      </c>
      <c r="I453" s="1">
        <v>3.59</v>
      </c>
      <c r="J453" s="1" t="s">
        <v>968</v>
      </c>
      <c r="K453" s="1" t="s">
        <v>44</v>
      </c>
      <c r="L453" s="1">
        <v>112.0</v>
      </c>
      <c r="M453" s="1">
        <v>1995.0</v>
      </c>
      <c r="N453" s="1">
        <v>1929.0</v>
      </c>
      <c r="P453" s="2">
        <v>44810.0</v>
      </c>
      <c r="Q453" s="1" t="s">
        <v>818</v>
      </c>
      <c r="R453" s="1" t="s">
        <v>2198</v>
      </c>
      <c r="S453" s="1" t="s">
        <v>32</v>
      </c>
      <c r="W453" s="1">
        <v>0.0</v>
      </c>
      <c r="X453" s="1">
        <v>1.0</v>
      </c>
    </row>
    <row r="454" spans="1:24" ht="15.75" customHeight="1">
      <c r="A454" s="1">
        <v>5.5623604E7</v>
      </c>
      <c r="B454" s="1" t="s">
        <v>2199</v>
      </c>
      <c r="C454" s="1" t="s">
        <v>2200</v>
      </c>
      <c r="D454" s="1" t="s">
        <v>2201</v>
      </c>
      <c r="F454" s="1" t="str">
        <f>"022678021X"</f>
        <v>022678021X</v>
      </c>
      <c r="G454" s="1" t="str">
        <f>"9780226780214"</f>
        <v>9780226780214</v>
      </c>
      <c r="H454" s="1">
        <v>0.0</v>
      </c>
      <c r="I454" s="1">
        <v>0.0</v>
      </c>
      <c r="J454" s="1" t="s">
        <v>78</v>
      </c>
      <c r="K454" s="1" t="s">
        <v>37</v>
      </c>
      <c r="L454" s="1">
        <v>224.0</v>
      </c>
      <c r="M454" s="1">
        <v>2021.0</v>
      </c>
      <c r="P454" s="3">
        <v>44192.0</v>
      </c>
      <c r="Q454" s="1" t="s">
        <v>32</v>
      </c>
      <c r="R454" s="1" t="s">
        <v>2202</v>
      </c>
      <c r="S454" s="1" t="s">
        <v>32</v>
      </c>
      <c r="W454" s="1">
        <v>0.0</v>
      </c>
      <c r="X454" s="1">
        <v>0.0</v>
      </c>
    </row>
    <row r="455" spans="1:24" ht="15.75" customHeight="1">
      <c r="A455" s="1">
        <v>3.4524645E7</v>
      </c>
      <c r="B455" s="1" t="s">
        <v>2203</v>
      </c>
      <c r="C455" s="1" t="s">
        <v>2200</v>
      </c>
      <c r="D455" s="1" t="s">
        <v>2201</v>
      </c>
      <c r="F455" s="1" t="str">
        <f>"022651319X"</f>
        <v>022651319X</v>
      </c>
      <c r="G455" s="1" t="str">
        <f>"9780226513195"</f>
        <v>9780226513195</v>
      </c>
      <c r="H455" s="1">
        <v>0.0</v>
      </c>
      <c r="I455" s="1">
        <v>2.8</v>
      </c>
      <c r="J455" s="1" t="s">
        <v>78</v>
      </c>
      <c r="K455" s="1" t="s">
        <v>44</v>
      </c>
      <c r="L455" s="1">
        <v>224.0</v>
      </c>
      <c r="M455" s="1">
        <v>2018.0</v>
      </c>
      <c r="P455" s="3">
        <v>44192.0</v>
      </c>
      <c r="Q455" s="1" t="s">
        <v>32</v>
      </c>
      <c r="R455" s="1" t="s">
        <v>2204</v>
      </c>
      <c r="S455" s="1" t="s">
        <v>32</v>
      </c>
      <c r="W455" s="1">
        <v>0.0</v>
      </c>
      <c r="X455" s="1">
        <v>0.0</v>
      </c>
    </row>
    <row r="456" spans="1:24" ht="15.75" customHeight="1">
      <c r="A456" s="1">
        <v>32264.0</v>
      </c>
      <c r="B456" s="1" t="s">
        <v>2205</v>
      </c>
      <c r="C456" s="1" t="s">
        <v>2206</v>
      </c>
      <c r="D456" s="1" t="s">
        <v>2207</v>
      </c>
      <c r="F456" s="1" t="str">
        <f>"1400062454"</f>
        <v>1400062454</v>
      </c>
      <c r="G456" s="1" t="str">
        <f>"9781400062454"</f>
        <v>9781400062454</v>
      </c>
      <c r="H456" s="1">
        <v>0.0</v>
      </c>
      <c r="I456" s="1">
        <v>3.93</v>
      </c>
      <c r="J456" s="1" t="s">
        <v>1189</v>
      </c>
      <c r="K456" s="1" t="s">
        <v>37</v>
      </c>
      <c r="L456" s="1">
        <v>336.0</v>
      </c>
      <c r="M456" s="1">
        <v>2006.0</v>
      </c>
      <c r="N456" s="1">
        <v>2006.0</v>
      </c>
      <c r="P456" s="2">
        <v>45143.0</v>
      </c>
      <c r="Q456" s="1" t="s">
        <v>32</v>
      </c>
      <c r="R456" s="1" t="s">
        <v>2208</v>
      </c>
      <c r="S456" s="1" t="s">
        <v>32</v>
      </c>
      <c r="W456" s="1">
        <v>0.0</v>
      </c>
      <c r="X456" s="1">
        <v>0.0</v>
      </c>
    </row>
    <row r="457" spans="1:24" ht="15.75" customHeight="1">
      <c r="A457" s="1">
        <v>460984.0</v>
      </c>
      <c r="B457" s="1" t="s">
        <v>2209</v>
      </c>
      <c r="C457" s="1" t="s">
        <v>2210</v>
      </c>
      <c r="D457" s="1" t="s">
        <v>2211</v>
      </c>
      <c r="E457" s="1" t="s">
        <v>2212</v>
      </c>
      <c r="F457" s="1" t="str">
        <f t="shared" si="30" ref="F457:G457">""</f>
        <v/>
      </c>
      <c r="G457" s="1" t="str">
        <f t="shared" si="30"/>
        <v/>
      </c>
      <c r="H457" s="1">
        <v>0.0</v>
      </c>
      <c r="I457" s="1">
        <v>4.14</v>
      </c>
      <c r="J457" s="1" t="s">
        <v>388</v>
      </c>
      <c r="K457" s="1" t="s">
        <v>44</v>
      </c>
      <c r="L457" s="1">
        <v>368.0</v>
      </c>
      <c r="M457" s="1">
        <v>1992.0</v>
      </c>
      <c r="N457" s="1">
        <v>1917.0</v>
      </c>
      <c r="P457" s="3">
        <v>44479.0</v>
      </c>
      <c r="Q457" s="1" t="s">
        <v>2213</v>
      </c>
      <c r="R457" s="1" t="s">
        <v>2214</v>
      </c>
      <c r="S457" s="1" t="s">
        <v>32</v>
      </c>
      <c r="W457" s="1">
        <v>0.0</v>
      </c>
      <c r="X457" s="1">
        <v>0.0</v>
      </c>
    </row>
    <row r="458" spans="1:24" ht="15.75" customHeight="1">
      <c r="A458" s="1">
        <v>5.0788186E7</v>
      </c>
      <c r="B458" s="1" t="s">
        <v>2215</v>
      </c>
      <c r="C458" s="1" t="s">
        <v>2216</v>
      </c>
      <c r="D458" s="1" t="s">
        <v>2217</v>
      </c>
      <c r="F458" s="1" t="str">
        <f>"0593188950"</f>
        <v>0593188950</v>
      </c>
      <c r="G458" s="1" t="str">
        <f>"9780593188958"</f>
        <v>9780593188958</v>
      </c>
      <c r="H458" s="1">
        <v>0.0</v>
      </c>
      <c r="I458" s="1">
        <v>3.48</v>
      </c>
      <c r="J458" s="1" t="s">
        <v>2218</v>
      </c>
      <c r="K458" s="1" t="s">
        <v>44</v>
      </c>
      <c r="L458" s="1">
        <v>210.0</v>
      </c>
      <c r="M458" s="1">
        <v>2020.0</v>
      </c>
      <c r="N458" s="1">
        <v>2020.0</v>
      </c>
      <c r="P458" s="3">
        <v>44155.0</v>
      </c>
      <c r="Q458" s="1" t="s">
        <v>32</v>
      </c>
      <c r="R458" s="1" t="s">
        <v>2219</v>
      </c>
      <c r="S458" s="1" t="s">
        <v>32</v>
      </c>
      <c r="W458" s="1">
        <v>0.0</v>
      </c>
      <c r="X458" s="1">
        <v>0.0</v>
      </c>
    </row>
    <row r="459" spans="1:24" ht="15.75" customHeight="1">
      <c r="A459" s="1">
        <v>2.5810235E7</v>
      </c>
      <c r="B459" s="1" t="s">
        <v>2220</v>
      </c>
      <c r="C459" s="1" t="s">
        <v>2221</v>
      </c>
      <c r="D459" s="1" t="s">
        <v>2222</v>
      </c>
      <c r="F459" s="1" t="str">
        <f>"1616956445"</f>
        <v>1616956445</v>
      </c>
      <c r="G459" s="1" t="str">
        <f>"9781616956448"</f>
        <v>9781616956448</v>
      </c>
      <c r="H459" s="1">
        <v>3.0</v>
      </c>
      <c r="I459" s="1">
        <v>3.42</v>
      </c>
      <c r="J459" s="1" t="s">
        <v>2223</v>
      </c>
      <c r="K459" s="1" t="s">
        <v>44</v>
      </c>
      <c r="L459" s="1">
        <v>224.0</v>
      </c>
      <c r="M459" s="1">
        <v>2016.0</v>
      </c>
      <c r="N459" s="1">
        <v>2015.0</v>
      </c>
      <c r="O459" s="2">
        <v>42543.0</v>
      </c>
      <c r="P459" s="2">
        <v>42530.0</v>
      </c>
      <c r="Q459" s="1" t="s">
        <v>2021</v>
      </c>
      <c r="R459" s="1" t="s">
        <v>2224</v>
      </c>
      <c r="S459" s="1" t="s">
        <v>32</v>
      </c>
      <c r="W459" s="1">
        <v>1.0</v>
      </c>
      <c r="X459" s="1">
        <v>1.0</v>
      </c>
    </row>
    <row r="460" spans="1:24" ht="15.75" customHeight="1">
      <c r="A460" s="1">
        <v>5.4633172E7</v>
      </c>
      <c r="B460" s="1" t="s">
        <v>2225</v>
      </c>
      <c r="C460" s="1" t="s">
        <v>2226</v>
      </c>
      <c r="D460" s="1" t="s">
        <v>2227</v>
      </c>
      <c r="F460" s="1" t="str">
        <f>"1784744069"</f>
        <v>1784744069</v>
      </c>
      <c r="G460" s="1" t="str">
        <f>"9781784744069"</f>
        <v>9781784744069</v>
      </c>
      <c r="H460" s="1">
        <v>0.0</v>
      </c>
      <c r="I460" s="1">
        <v>3.88</v>
      </c>
      <c r="J460" s="1" t="s">
        <v>66</v>
      </c>
      <c r="K460" s="1" t="s">
        <v>37</v>
      </c>
      <c r="L460" s="1">
        <v>293.0</v>
      </c>
      <c r="M460" s="1">
        <v>2021.0</v>
      </c>
      <c r="N460" s="1">
        <v>2021.0</v>
      </c>
      <c r="P460" s="2">
        <v>45111.0</v>
      </c>
      <c r="Q460" s="1" t="s">
        <v>261</v>
      </c>
      <c r="R460" s="1" t="s">
        <v>2228</v>
      </c>
      <c r="S460" s="1" t="s">
        <v>32</v>
      </c>
      <c r="W460" s="1">
        <v>0.0</v>
      </c>
      <c r="X460" s="1">
        <v>0.0</v>
      </c>
    </row>
    <row r="461" spans="1:24" ht="15.75" customHeight="1">
      <c r="A461" s="1">
        <v>1.8505796E7</v>
      </c>
      <c r="B461" s="1" t="s">
        <v>2229</v>
      </c>
      <c r="C461" s="1" t="s">
        <v>2230</v>
      </c>
      <c r="D461" s="1" t="s">
        <v>2231</v>
      </c>
      <c r="F461" s="1" t="str">
        <f>"0062265423"</f>
        <v>0062265423</v>
      </c>
      <c r="G461" s="1" t="str">
        <f>"9780062265425"</f>
        <v>9780062265425</v>
      </c>
      <c r="H461" s="1">
        <v>0.0</v>
      </c>
      <c r="I461" s="1">
        <v>3.92</v>
      </c>
      <c r="J461" s="1" t="s">
        <v>2232</v>
      </c>
      <c r="K461" s="1" t="s">
        <v>37</v>
      </c>
      <c r="L461" s="1">
        <v>256.0</v>
      </c>
      <c r="M461" s="1">
        <v>2014.0</v>
      </c>
      <c r="N461" s="1">
        <v>2014.0</v>
      </c>
      <c r="P461" s="2">
        <v>45173.0</v>
      </c>
      <c r="Q461" s="1" t="s">
        <v>32</v>
      </c>
      <c r="R461" s="1" t="s">
        <v>2233</v>
      </c>
      <c r="S461" s="1" t="s">
        <v>32</v>
      </c>
      <c r="W461" s="1">
        <v>0.0</v>
      </c>
      <c r="X461" s="1">
        <v>0.0</v>
      </c>
    </row>
    <row r="462" spans="1:24" ht="15.75" customHeight="1">
      <c r="A462" s="1">
        <v>950989.0</v>
      </c>
      <c r="B462" s="1" t="s">
        <v>2234</v>
      </c>
      <c r="C462" s="1" t="s">
        <v>2235</v>
      </c>
      <c r="D462" s="1" t="s">
        <v>2236</v>
      </c>
      <c r="F462" s="1" t="str">
        <f>"0471638609"</f>
        <v>0471638609</v>
      </c>
      <c r="G462" s="1" t="str">
        <f>"9780471638605"</f>
        <v>9780471638605</v>
      </c>
      <c r="H462" s="1">
        <v>0.0</v>
      </c>
      <c r="I462" s="1">
        <v>3.66</v>
      </c>
      <c r="J462" s="1" t="s">
        <v>93</v>
      </c>
      <c r="K462" s="1" t="s">
        <v>37</v>
      </c>
      <c r="L462" s="1">
        <v>290.0</v>
      </c>
      <c r="M462" s="1">
        <v>2004.0</v>
      </c>
      <c r="N462" s="1">
        <v>2004.0</v>
      </c>
      <c r="P462" s="3">
        <v>45278.0</v>
      </c>
      <c r="Q462" s="1" t="s">
        <v>479</v>
      </c>
      <c r="R462" s="1" t="s">
        <v>2237</v>
      </c>
      <c r="S462" s="1" t="s">
        <v>32</v>
      </c>
      <c r="W462" s="1">
        <v>0.0</v>
      </c>
      <c r="X462" s="1">
        <v>0.0</v>
      </c>
    </row>
    <row r="463" spans="1:24" ht="15.75" customHeight="1">
      <c r="A463" s="1">
        <v>2.6196177E7</v>
      </c>
      <c r="B463" s="1" t="s">
        <v>2238</v>
      </c>
      <c r="C463" s="1" t="s">
        <v>2239</v>
      </c>
      <c r="D463" s="1" t="s">
        <v>2240</v>
      </c>
      <c r="F463" s="1" t="str">
        <f>"156689428X"</f>
        <v>156689428X</v>
      </c>
      <c r="G463" s="1" t="str">
        <f>"9781566894289"</f>
        <v>9781566894289</v>
      </c>
      <c r="H463" s="1">
        <v>0.0</v>
      </c>
      <c r="I463" s="1">
        <v>3.8</v>
      </c>
      <c r="J463" s="1" t="s">
        <v>1504</v>
      </c>
      <c r="K463" s="1" t="s">
        <v>44</v>
      </c>
      <c r="L463" s="1">
        <v>144.0</v>
      </c>
      <c r="M463" s="1">
        <v>2016.0</v>
      </c>
      <c r="N463" s="1">
        <v>2016.0</v>
      </c>
      <c r="P463" s="3">
        <v>45243.0</v>
      </c>
      <c r="Q463" s="1" t="s">
        <v>55</v>
      </c>
      <c r="R463" s="1" t="s">
        <v>2241</v>
      </c>
      <c r="S463" s="1" t="s">
        <v>32</v>
      </c>
      <c r="W463" s="1">
        <v>0.0</v>
      </c>
      <c r="X463" s="1">
        <v>0.0</v>
      </c>
    </row>
    <row r="464" spans="1:24" ht="15.75" customHeight="1">
      <c r="A464" s="1">
        <v>114235.0</v>
      </c>
      <c r="B464" s="1" t="s">
        <v>2242</v>
      </c>
      <c r="C464" s="1" t="s">
        <v>2243</v>
      </c>
      <c r="D464" s="1" t="s">
        <v>2244</v>
      </c>
      <c r="F464" s="1" t="str">
        <f>"0801495938"</f>
        <v>0801495938</v>
      </c>
      <c r="G464" s="1" t="str">
        <f>"9780801495939"</f>
        <v>9780801495939</v>
      </c>
      <c r="H464" s="1">
        <v>0.0</v>
      </c>
      <c r="I464" s="1">
        <v>4.06</v>
      </c>
      <c r="J464" s="1" t="s">
        <v>1907</v>
      </c>
      <c r="K464" s="1" t="s">
        <v>44</v>
      </c>
      <c r="L464" s="1">
        <v>240.0</v>
      </c>
      <c r="M464" s="1">
        <v>1989.0</v>
      </c>
      <c r="N464" s="1">
        <v>1989.0</v>
      </c>
      <c r="P464" s="2">
        <v>45175.0</v>
      </c>
      <c r="Q464" s="1" t="s">
        <v>32</v>
      </c>
      <c r="R464" s="1" t="s">
        <v>2245</v>
      </c>
      <c r="S464" s="1" t="s">
        <v>32</v>
      </c>
      <c r="W464" s="1">
        <v>0.0</v>
      </c>
      <c r="X464" s="1">
        <v>0.0</v>
      </c>
    </row>
    <row r="465" spans="1:24" ht="15.75" customHeight="1">
      <c r="A465" s="1">
        <v>1.7707709E7</v>
      </c>
      <c r="B465" s="1" t="s">
        <v>2246</v>
      </c>
      <c r="C465" s="1" t="s">
        <v>2247</v>
      </c>
      <c r="D465" s="1" t="s">
        <v>2248</v>
      </c>
      <c r="F465" s="1" t="str">
        <f>"1594631719"</f>
        <v>1594631719</v>
      </c>
      <c r="G465" s="1" t="str">
        <f>"9781594631719"</f>
        <v>9781594631719</v>
      </c>
      <c r="H465" s="1">
        <v>0.0</v>
      </c>
      <c r="I465" s="1">
        <v>3.62</v>
      </c>
      <c r="J465" s="1" t="s">
        <v>2218</v>
      </c>
      <c r="K465" s="1" t="s">
        <v>37</v>
      </c>
      <c r="L465" s="1">
        <v>384.0</v>
      </c>
      <c r="M465" s="1">
        <v>2013.0</v>
      </c>
      <c r="N465" s="1">
        <v>2013.0</v>
      </c>
      <c r="P465" s="2">
        <v>42372.0</v>
      </c>
      <c r="Q465" s="1" t="s">
        <v>32</v>
      </c>
      <c r="R465" s="1" t="s">
        <v>2249</v>
      </c>
      <c r="S465" s="1" t="s">
        <v>32</v>
      </c>
      <c r="W465" s="1">
        <v>0.0</v>
      </c>
      <c r="X465" s="1">
        <v>0.0</v>
      </c>
    </row>
    <row r="466" spans="1:24" ht="15.75" customHeight="1">
      <c r="A466" s="1">
        <v>1.8378002E7</v>
      </c>
      <c r="B466" s="1" t="s">
        <v>2250</v>
      </c>
      <c r="C466" s="1" t="s">
        <v>1392</v>
      </c>
      <c r="D466" s="1" t="s">
        <v>2251</v>
      </c>
      <c r="F466" s="1" t="str">
        <f>"0393348784"</f>
        <v>0393348784</v>
      </c>
      <c r="G466" s="1" t="str">
        <f>"9780393348781"</f>
        <v>9780393348781</v>
      </c>
      <c r="H466" s="1">
        <v>0.0</v>
      </c>
      <c r="I466" s="1">
        <v>3.78</v>
      </c>
      <c r="J466" s="1" t="s">
        <v>248</v>
      </c>
      <c r="K466" s="1" t="s">
        <v>44</v>
      </c>
      <c r="L466" s="1">
        <v>496.0</v>
      </c>
      <c r="M466" s="1">
        <v>2014.0</v>
      </c>
      <c r="N466" s="1">
        <v>2013.0</v>
      </c>
      <c r="P466" s="2">
        <v>45108.0</v>
      </c>
      <c r="Q466" s="1" t="s">
        <v>32</v>
      </c>
      <c r="R466" s="1" t="s">
        <v>2252</v>
      </c>
      <c r="S466" s="1" t="s">
        <v>32</v>
      </c>
      <c r="W466" s="1">
        <v>0.0</v>
      </c>
      <c r="X466" s="1">
        <v>0.0</v>
      </c>
    </row>
    <row r="467" spans="1:24" ht="15.75" customHeight="1">
      <c r="A467" s="1">
        <v>4.480381E7</v>
      </c>
      <c r="B467" s="1" t="s">
        <v>2253</v>
      </c>
      <c r="C467" s="1" t="s">
        <v>2254</v>
      </c>
      <c r="D467" s="1" t="s">
        <v>2255</v>
      </c>
      <c r="F467" s="1" t="str">
        <f>"081653991X"</f>
        <v>081653991X</v>
      </c>
      <c r="G467" s="1" t="str">
        <f>"9780816539918"</f>
        <v>9780816539918</v>
      </c>
      <c r="H467" s="1">
        <v>0.0</v>
      </c>
      <c r="I467" s="1">
        <v>4.26</v>
      </c>
      <c r="J467" s="1" t="s">
        <v>2256</v>
      </c>
      <c r="K467" s="1" t="s">
        <v>44</v>
      </c>
      <c r="L467" s="1">
        <v>168.0</v>
      </c>
      <c r="M467" s="1">
        <v>2019.0</v>
      </c>
      <c r="N467" s="1">
        <v>2019.0</v>
      </c>
      <c r="P467" s="2">
        <v>43961.0</v>
      </c>
      <c r="Q467" s="1" t="s">
        <v>127</v>
      </c>
      <c r="R467" s="1" t="s">
        <v>2257</v>
      </c>
      <c r="S467" s="1" t="s">
        <v>32</v>
      </c>
      <c r="W467" s="1">
        <v>0.0</v>
      </c>
      <c r="X467" s="1">
        <v>0.0</v>
      </c>
    </row>
    <row r="468" spans="1:24" ht="15.75" customHeight="1">
      <c r="A468" s="1">
        <v>5.7832397E7</v>
      </c>
      <c r="B468" s="1" t="s">
        <v>2258</v>
      </c>
      <c r="C468" s="1" t="s">
        <v>2259</v>
      </c>
      <c r="D468" s="1" t="s">
        <v>2260</v>
      </c>
      <c r="E468" s="1" t="s">
        <v>2261</v>
      </c>
      <c r="F468" s="1" t="str">
        <f>"9871125399"</f>
        <v>9871125399</v>
      </c>
      <c r="G468" s="1" t="str">
        <f>""</f>
        <v/>
      </c>
      <c r="H468" s="1">
        <v>0.0</v>
      </c>
      <c r="I468" s="1">
        <v>0.0</v>
      </c>
      <c r="J468" s="1" t="s">
        <v>2262</v>
      </c>
      <c r="L468" s="1">
        <v>184.0</v>
      </c>
      <c r="M468" s="1">
        <v>2004.0</v>
      </c>
      <c r="P468" s="2">
        <v>45269.0</v>
      </c>
      <c r="Q468" s="1" t="s">
        <v>479</v>
      </c>
      <c r="R468" s="1" t="s">
        <v>2263</v>
      </c>
      <c r="S468" s="1" t="s">
        <v>32</v>
      </c>
      <c r="W468" s="1">
        <v>0.0</v>
      </c>
      <c r="X468" s="1">
        <v>0.0</v>
      </c>
    </row>
    <row r="469" spans="1:24" ht="15.75" customHeight="1">
      <c r="A469" s="1">
        <v>2.8949085E7</v>
      </c>
      <c r="B469" s="1" t="s">
        <v>2264</v>
      </c>
      <c r="C469" s="1" t="s">
        <v>2265</v>
      </c>
      <c r="D469" s="1" t="s">
        <v>2266</v>
      </c>
      <c r="E469" s="1" t="s">
        <v>2267</v>
      </c>
      <c r="F469" s="1" t="str">
        <f>"1114785563"</f>
        <v>1114785563</v>
      </c>
      <c r="G469" s="1" t="str">
        <f>"9781114785564"</f>
        <v>9781114785564</v>
      </c>
      <c r="H469" s="1">
        <v>0.0</v>
      </c>
      <c r="I469" s="1">
        <v>3.67</v>
      </c>
      <c r="J469" s="1" t="s">
        <v>2268</v>
      </c>
      <c r="K469" s="1" t="s">
        <v>37</v>
      </c>
      <c r="L469" s="1">
        <v>538.0</v>
      </c>
      <c r="M469" s="1">
        <v>1964.0</v>
      </c>
      <c r="P469" s="3">
        <v>44510.0</v>
      </c>
      <c r="Q469" s="1" t="s">
        <v>32</v>
      </c>
      <c r="R469" s="1" t="s">
        <v>2269</v>
      </c>
      <c r="S469" s="1" t="s">
        <v>32</v>
      </c>
      <c r="W469" s="1">
        <v>0.0</v>
      </c>
      <c r="X469" s="1">
        <v>0.0</v>
      </c>
    </row>
    <row r="470" spans="1:24" ht="15.75" customHeight="1">
      <c r="A470" s="1">
        <v>236900.0</v>
      </c>
      <c r="B470" s="1" t="s">
        <v>2270</v>
      </c>
      <c r="C470" s="1" t="s">
        <v>2271</v>
      </c>
      <c r="D470" s="1" t="s">
        <v>2272</v>
      </c>
      <c r="F470" s="1" t="str">
        <f>"0674024052"</f>
        <v>0674024052</v>
      </c>
      <c r="G470" s="1" t="str">
        <f>"9780674024052"</f>
        <v>9780674024052</v>
      </c>
      <c r="H470" s="1">
        <v>0.0</v>
      </c>
      <c r="I470" s="1">
        <v>3.85</v>
      </c>
      <c r="J470" s="1" t="s">
        <v>2273</v>
      </c>
      <c r="K470" s="1" t="s">
        <v>44</v>
      </c>
      <c r="L470" s="1">
        <v>272.0</v>
      </c>
      <c r="M470" s="1">
        <v>2007.0</v>
      </c>
      <c r="N470" s="1">
        <v>2005.0</v>
      </c>
      <c r="P470" s="2">
        <v>44222.0</v>
      </c>
      <c r="Q470" s="1" t="s">
        <v>138</v>
      </c>
      <c r="R470" s="1" t="s">
        <v>2274</v>
      </c>
      <c r="S470" s="1" t="s">
        <v>32</v>
      </c>
      <c r="W470" s="1">
        <v>0.0</v>
      </c>
      <c r="X470" s="1">
        <v>0.0</v>
      </c>
    </row>
    <row r="471" spans="1:24" ht="15.75" customHeight="1">
      <c r="A471" s="1">
        <v>4.0121985E7</v>
      </c>
      <c r="B471" s="1" t="s">
        <v>2275</v>
      </c>
      <c r="C471" s="1" t="s">
        <v>2276</v>
      </c>
      <c r="D471" s="1" t="s">
        <v>2277</v>
      </c>
      <c r="F471" s="1" t="str">
        <f>"0374172145"</f>
        <v>0374172145</v>
      </c>
      <c r="G471" s="1" t="str">
        <f>"9780374172145"</f>
        <v>9780374172145</v>
      </c>
      <c r="H471" s="1">
        <v>0.0</v>
      </c>
      <c r="I471" s="1">
        <v>4.46</v>
      </c>
      <c r="J471" s="1" t="s">
        <v>438</v>
      </c>
      <c r="K471" s="1" t="s">
        <v>37</v>
      </c>
      <c r="L471" s="1">
        <v>513.0</v>
      </c>
      <c r="M471" s="1">
        <v>2019.0</v>
      </c>
      <c r="N471" s="1">
        <v>2019.0</v>
      </c>
      <c r="P471" s="3">
        <v>44165.0</v>
      </c>
      <c r="Q471" s="1" t="s">
        <v>138</v>
      </c>
      <c r="R471" s="1" t="s">
        <v>2278</v>
      </c>
      <c r="S471" s="1" t="s">
        <v>32</v>
      </c>
      <c r="W471" s="1">
        <v>0.0</v>
      </c>
      <c r="X471" s="1">
        <v>0.0</v>
      </c>
    </row>
    <row r="472" spans="1:24" ht="15.75" customHeight="1">
      <c r="A472" s="1">
        <v>2.8504537E7</v>
      </c>
      <c r="B472" s="1" t="s">
        <v>2279</v>
      </c>
      <c r="C472" s="1" t="s">
        <v>2280</v>
      </c>
      <c r="D472" s="1" t="s">
        <v>2281</v>
      </c>
      <c r="F472" s="1" t="str">
        <f>"0525955224"</f>
        <v>0525955224</v>
      </c>
      <c r="G472" s="1" t="str">
        <f>"9780525955221"</f>
        <v>9780525955221</v>
      </c>
      <c r="H472" s="1">
        <v>0.0</v>
      </c>
      <c r="I472" s="1">
        <v>3.77</v>
      </c>
      <c r="J472" s="1" t="s">
        <v>2282</v>
      </c>
      <c r="K472" s="1" t="s">
        <v>37</v>
      </c>
      <c r="L472" s="1">
        <v>292.0</v>
      </c>
      <c r="M472" s="1">
        <v>2016.0</v>
      </c>
      <c r="N472" s="1">
        <v>2016.0</v>
      </c>
      <c r="P472" s="3">
        <v>45245.0</v>
      </c>
      <c r="Q472" s="1" t="s">
        <v>55</v>
      </c>
      <c r="R472" s="1" t="s">
        <v>2283</v>
      </c>
      <c r="S472" s="1" t="s">
        <v>32</v>
      </c>
      <c r="W472" s="1">
        <v>0.0</v>
      </c>
      <c r="X472" s="1">
        <v>0.0</v>
      </c>
    </row>
    <row r="473" spans="1:24" ht="15.75" customHeight="1">
      <c r="A473" s="1">
        <v>5.4872718E7</v>
      </c>
      <c r="B473" s="1" t="s">
        <v>2284</v>
      </c>
      <c r="C473" s="1" t="s">
        <v>2285</v>
      </c>
      <c r="D473" s="1" t="s">
        <v>2286</v>
      </c>
      <c r="F473" s="1" t="str">
        <f>"015603008X"</f>
        <v>015603008X</v>
      </c>
      <c r="G473" s="1" t="str">
        <f>"9780156030083"</f>
        <v>9780156030083</v>
      </c>
      <c r="H473" s="1">
        <v>5.0</v>
      </c>
      <c r="I473" s="1">
        <v>4.21</v>
      </c>
      <c r="J473" s="1" t="s">
        <v>1572</v>
      </c>
      <c r="K473" s="1" t="s">
        <v>1225</v>
      </c>
      <c r="L473" s="1">
        <v>311.0</v>
      </c>
      <c r="M473" s="1">
        <v>2004.0</v>
      </c>
      <c r="N473" s="1">
        <v>1966.0</v>
      </c>
      <c r="P473" s="2">
        <v>44814.0</v>
      </c>
      <c r="Q473" s="1" t="s">
        <v>818</v>
      </c>
      <c r="R473" s="1" t="s">
        <v>2287</v>
      </c>
      <c r="S473" s="1" t="s">
        <v>32</v>
      </c>
      <c r="W473" s="1">
        <v>1.0</v>
      </c>
      <c r="X473" s="1">
        <v>1.0</v>
      </c>
    </row>
    <row r="474" spans="1:24" ht="15.75" customHeight="1">
      <c r="A474" s="1">
        <v>4.4512541E7</v>
      </c>
      <c r="B474" s="1" t="s">
        <v>2288</v>
      </c>
      <c r="C474" s="1" t="s">
        <v>2289</v>
      </c>
      <c r="D474" s="1" t="s">
        <v>2290</v>
      </c>
      <c r="F474" s="1" t="str">
        <f>"0262042878"</f>
        <v>0262042878</v>
      </c>
      <c r="G474" s="1" t="str">
        <f>"9780262042871"</f>
        <v>9780262042871</v>
      </c>
      <c r="H474" s="1">
        <v>0.0</v>
      </c>
      <c r="I474" s="1">
        <v>3.54</v>
      </c>
      <c r="J474" s="1" t="s">
        <v>2291</v>
      </c>
      <c r="K474" s="1" t="s">
        <v>37</v>
      </c>
      <c r="L474" s="1">
        <v>336.0</v>
      </c>
      <c r="M474" s="1">
        <v>2019.0</v>
      </c>
      <c r="N474" s="1">
        <v>2019.0</v>
      </c>
      <c r="P474" s="2">
        <v>45113.0</v>
      </c>
      <c r="Q474" s="1" t="s">
        <v>788</v>
      </c>
      <c r="R474" s="1" t="s">
        <v>2292</v>
      </c>
      <c r="S474" s="1" t="s">
        <v>32</v>
      </c>
      <c r="W474" s="1">
        <v>0.0</v>
      </c>
      <c r="X474" s="1">
        <v>1.0</v>
      </c>
    </row>
    <row r="475" spans="1:24" ht="15.75" customHeight="1">
      <c r="A475" s="1">
        <v>1.8050216E7</v>
      </c>
      <c r="B475" s="1" t="s">
        <v>2293</v>
      </c>
      <c r="C475" s="1" t="s">
        <v>2142</v>
      </c>
      <c r="D475" s="1" t="s">
        <v>2294</v>
      </c>
      <c r="F475" s="1" t="str">
        <f>"1590177134"</f>
        <v>1590177134</v>
      </c>
      <c r="G475" s="1" t="str">
        <f>"9781590177136"</f>
        <v>9781590177136</v>
      </c>
      <c r="H475" s="1">
        <v>0.0</v>
      </c>
      <c r="I475" s="1">
        <v>3.88</v>
      </c>
      <c r="J475" s="1" t="s">
        <v>823</v>
      </c>
      <c r="K475" s="1" t="s">
        <v>44</v>
      </c>
      <c r="L475" s="1">
        <v>432.0</v>
      </c>
      <c r="M475" s="1">
        <v>2014.0</v>
      </c>
      <c r="N475" s="1">
        <v>2012.0</v>
      </c>
      <c r="P475" s="2">
        <v>45102.0</v>
      </c>
      <c r="Q475" s="1" t="s">
        <v>338</v>
      </c>
      <c r="R475" s="1" t="s">
        <v>2295</v>
      </c>
      <c r="S475" s="1" t="s">
        <v>32</v>
      </c>
      <c r="W475" s="1">
        <v>0.0</v>
      </c>
      <c r="X475" s="1">
        <v>0.0</v>
      </c>
    </row>
    <row r="476" spans="1:24" ht="15.75" customHeight="1">
      <c r="A476" s="1">
        <v>4.4100994E7</v>
      </c>
      <c r="B476" s="1" t="s">
        <v>2296</v>
      </c>
      <c r="C476" s="1" t="s">
        <v>2142</v>
      </c>
      <c r="D476" s="1" t="s">
        <v>2294</v>
      </c>
      <c r="F476" s="1" t="str">
        <f t="shared" si="31" ref="F476:G476">""</f>
        <v/>
      </c>
      <c r="G476" s="1" t="str">
        <f t="shared" si="31"/>
        <v/>
      </c>
      <c r="H476" s="1">
        <v>0.0</v>
      </c>
      <c r="I476" s="1">
        <v>4.04</v>
      </c>
      <c r="J476" s="1" t="s">
        <v>823</v>
      </c>
      <c r="K476" s="1" t="s">
        <v>29</v>
      </c>
      <c r="L476" s="1">
        <v>301.0</v>
      </c>
      <c r="M476" s="1">
        <v>2019.0</v>
      </c>
      <c r="N476" s="1">
        <v>2019.0</v>
      </c>
      <c r="P476" s="2">
        <v>45059.0</v>
      </c>
      <c r="Q476" s="1" t="s">
        <v>32</v>
      </c>
      <c r="R476" s="1" t="s">
        <v>2297</v>
      </c>
      <c r="S476" s="1" t="s">
        <v>32</v>
      </c>
      <c r="W476" s="1">
        <v>0.0</v>
      </c>
      <c r="X476" s="1">
        <v>0.0</v>
      </c>
    </row>
    <row r="477" spans="1:24" ht="15.75" customHeight="1">
      <c r="A477" s="1">
        <v>2.5814421E7</v>
      </c>
      <c r="B477" s="1" t="s">
        <v>2298</v>
      </c>
      <c r="C477" s="1" t="s">
        <v>2299</v>
      </c>
      <c r="D477" s="1" t="s">
        <v>2300</v>
      </c>
      <c r="F477" s="1" t="str">
        <f>"1416589708"</f>
        <v>1416589708</v>
      </c>
      <c r="G477" s="1" t="str">
        <f>"9781416589709"</f>
        <v>9781416589709</v>
      </c>
      <c r="H477" s="1">
        <v>0.0</v>
      </c>
      <c r="I477" s="1">
        <v>3.51</v>
      </c>
      <c r="J477" s="1" t="s">
        <v>622</v>
      </c>
      <c r="K477" s="1" t="s">
        <v>37</v>
      </c>
      <c r="L477" s="1">
        <v>416.0</v>
      </c>
      <c r="M477" s="1">
        <v>2016.0</v>
      </c>
      <c r="N477" s="1">
        <v>2016.0</v>
      </c>
      <c r="P477" s="3">
        <v>45243.0</v>
      </c>
      <c r="Q477" s="1" t="s">
        <v>55</v>
      </c>
      <c r="R477" s="1" t="s">
        <v>2301</v>
      </c>
      <c r="S477" s="1" t="s">
        <v>32</v>
      </c>
      <c r="W477" s="1">
        <v>0.0</v>
      </c>
      <c r="X477" s="1">
        <v>0.0</v>
      </c>
    </row>
    <row r="478" spans="1:24" ht="15.75" customHeight="1">
      <c r="A478" s="1">
        <v>287490.0</v>
      </c>
      <c r="B478" s="1" t="s">
        <v>2302</v>
      </c>
      <c r="C478" s="1" t="s">
        <v>2303</v>
      </c>
      <c r="D478" s="1" t="s">
        <v>2304</v>
      </c>
      <c r="E478" s="1" t="s">
        <v>2305</v>
      </c>
      <c r="F478" s="1" t="str">
        <f>"094032220X"</f>
        <v>094032220X</v>
      </c>
      <c r="G478" s="1" t="str">
        <f>"9780940322202"</f>
        <v>9780940322202</v>
      </c>
      <c r="H478" s="1">
        <v>0.0</v>
      </c>
      <c r="I478" s="1">
        <v>4.02</v>
      </c>
      <c r="J478" s="1" t="s">
        <v>204</v>
      </c>
      <c r="K478" s="1" t="s">
        <v>44</v>
      </c>
      <c r="L478" s="1">
        <v>455.0</v>
      </c>
      <c r="M478" s="1">
        <v>2000.0</v>
      </c>
      <c r="N478" s="1">
        <v>1903.0</v>
      </c>
      <c r="P478" s="2">
        <v>45081.0</v>
      </c>
      <c r="Q478" s="1" t="s">
        <v>2306</v>
      </c>
      <c r="R478" s="1" t="s">
        <v>2307</v>
      </c>
      <c r="S478" s="1" t="s">
        <v>32</v>
      </c>
      <c r="W478" s="1">
        <v>0.0</v>
      </c>
      <c r="X478" s="1">
        <v>0.0</v>
      </c>
    </row>
    <row r="479" spans="1:24" ht="15.75" customHeight="1">
      <c r="A479" s="1">
        <v>227265.0</v>
      </c>
      <c r="B479" s="1" t="s">
        <v>2308</v>
      </c>
      <c r="C479" s="1" t="s">
        <v>2309</v>
      </c>
      <c r="D479" s="1" t="s">
        <v>2310</v>
      </c>
      <c r="F479" s="1" t="str">
        <f>"0553375407"</f>
        <v>0553375407</v>
      </c>
      <c r="G479" s="1" t="str">
        <f>"9780553375404"</f>
        <v>9780553375404</v>
      </c>
      <c r="H479" s="1">
        <v>0.0</v>
      </c>
      <c r="I479" s="1">
        <v>4.01</v>
      </c>
      <c r="J479" s="1" t="s">
        <v>1585</v>
      </c>
      <c r="K479" s="1" t="s">
        <v>44</v>
      </c>
      <c r="L479" s="1">
        <v>266.0</v>
      </c>
      <c r="M479" s="1">
        <v>1995.0</v>
      </c>
      <c r="N479" s="1">
        <v>1992.0</v>
      </c>
      <c r="P479" s="2">
        <v>41053.0</v>
      </c>
      <c r="Q479" s="1" t="s">
        <v>32</v>
      </c>
      <c r="R479" s="1" t="s">
        <v>2311</v>
      </c>
      <c r="S479" s="1" t="s">
        <v>32</v>
      </c>
      <c r="W479" s="1">
        <v>0.0</v>
      </c>
      <c r="X479" s="1">
        <v>0.0</v>
      </c>
    </row>
    <row r="480" spans="1:24" ht="15.75" customHeight="1">
      <c r="A480" s="1">
        <v>2005829.0</v>
      </c>
      <c r="B480" s="1" t="s">
        <v>2312</v>
      </c>
      <c r="C480" s="1" t="s">
        <v>2313</v>
      </c>
      <c r="D480" s="1" t="s">
        <v>2314</v>
      </c>
      <c r="F480" s="1" t="str">
        <f>"8483101734"</f>
        <v>8483101734</v>
      </c>
      <c r="G480" s="1" t="str">
        <f>"9788483101735"</f>
        <v>9788483101735</v>
      </c>
      <c r="H480" s="1">
        <v>0.0</v>
      </c>
      <c r="I480" s="1">
        <v>4.25</v>
      </c>
      <c r="J480" s="1" t="s">
        <v>1842</v>
      </c>
      <c r="K480" s="1" t="s">
        <v>44</v>
      </c>
      <c r="L480" s="1">
        <v>654.0</v>
      </c>
      <c r="M480" s="1">
        <v>2001.0</v>
      </c>
      <c r="N480" s="1">
        <v>1999.0</v>
      </c>
      <c r="P480" s="2">
        <v>44094.0</v>
      </c>
      <c r="Q480" s="1" t="s">
        <v>32</v>
      </c>
      <c r="R480" s="1" t="s">
        <v>2315</v>
      </c>
      <c r="S480" s="1" t="s">
        <v>32</v>
      </c>
      <c r="W480" s="1">
        <v>0.0</v>
      </c>
      <c r="X480" s="1">
        <v>0.0</v>
      </c>
    </row>
    <row r="481" spans="1:24" ht="15.75" customHeight="1">
      <c r="A481" s="1">
        <v>9429356.0</v>
      </c>
      <c r="B481" s="1" t="s">
        <v>2316</v>
      </c>
      <c r="C481" s="1" t="s">
        <v>2317</v>
      </c>
      <c r="D481" s="1" t="s">
        <v>2318</v>
      </c>
      <c r="F481" s="1" t="str">
        <f>"1935536036"</f>
        <v>1935536036</v>
      </c>
      <c r="G481" s="1" t="str">
        <f>"9781935536031"</f>
        <v>9781935536031</v>
      </c>
      <c r="H481" s="1">
        <v>0.0</v>
      </c>
      <c r="I481" s="1">
        <v>4.56</v>
      </c>
      <c r="J481" s="1" t="s">
        <v>2319</v>
      </c>
      <c r="K481" s="1" t="s">
        <v>44</v>
      </c>
      <c r="L481" s="1">
        <v>92.0</v>
      </c>
      <c r="M481" s="1">
        <v>2010.0</v>
      </c>
      <c r="N481" s="1">
        <v>2010.0</v>
      </c>
      <c r="P481" s="2">
        <v>45143.0</v>
      </c>
      <c r="Q481" s="1" t="s">
        <v>449</v>
      </c>
      <c r="R481" s="1" t="s">
        <v>2320</v>
      </c>
      <c r="S481" s="1" t="s">
        <v>32</v>
      </c>
      <c r="W481" s="1">
        <v>0.0</v>
      </c>
      <c r="X481" s="1">
        <v>1.0</v>
      </c>
    </row>
    <row r="482" spans="1:24" ht="15.75" customHeight="1">
      <c r="A482" s="1">
        <v>6.0809286E7</v>
      </c>
      <c r="B482" s="1" t="s">
        <v>2321</v>
      </c>
      <c r="C482" s="1" t="s">
        <v>2322</v>
      </c>
      <c r="D482" s="1" t="s">
        <v>2323</v>
      </c>
      <c r="E482" s="1" t="s">
        <v>2324</v>
      </c>
      <c r="F482" s="1" t="str">
        <f>"1914990013"</f>
        <v>1914990013</v>
      </c>
      <c r="G482" s="1" t="str">
        <f>"9781914990014"</f>
        <v>9781914990014</v>
      </c>
      <c r="H482" s="1">
        <v>0.0</v>
      </c>
      <c r="I482" s="1">
        <v>3.94</v>
      </c>
      <c r="J482" s="1" t="s">
        <v>2325</v>
      </c>
      <c r="K482" s="1" t="s">
        <v>44</v>
      </c>
      <c r="L482" s="1">
        <v>588.0</v>
      </c>
      <c r="M482" s="1">
        <v>2021.0</v>
      </c>
      <c r="N482" s="1">
        <v>1999.0</v>
      </c>
      <c r="P482" s="2">
        <v>44869.0</v>
      </c>
      <c r="Q482" s="1" t="s">
        <v>32</v>
      </c>
      <c r="R482" s="1" t="s">
        <v>2326</v>
      </c>
      <c r="S482" s="1" t="s">
        <v>32</v>
      </c>
      <c r="W482" s="1">
        <v>0.0</v>
      </c>
      <c r="X482" s="1">
        <v>0.0</v>
      </c>
    </row>
    <row r="483" spans="1:24" ht="15.75" customHeight="1">
      <c r="A483" s="1">
        <v>685172.0</v>
      </c>
      <c r="B483" s="1" t="s">
        <v>2327</v>
      </c>
      <c r="C483" s="1" t="s">
        <v>2328</v>
      </c>
      <c r="D483" s="1" t="s">
        <v>2329</v>
      </c>
      <c r="E483" s="1" t="s">
        <v>2330</v>
      </c>
      <c r="F483" s="1" t="str">
        <f>"185242480X"</f>
        <v>185242480X</v>
      </c>
      <c r="G483" s="1" t="str">
        <f>"9781852424800"</f>
        <v>9781852424800</v>
      </c>
      <c r="H483" s="1">
        <v>0.0</v>
      </c>
      <c r="I483" s="1">
        <v>4.2</v>
      </c>
      <c r="J483" s="1" t="s">
        <v>2331</v>
      </c>
      <c r="K483" s="1" t="s">
        <v>44</v>
      </c>
      <c r="L483" s="1">
        <v>240.0</v>
      </c>
      <c r="M483" s="1">
        <v>2007.0</v>
      </c>
      <c r="N483" s="1">
        <v>1939.0</v>
      </c>
      <c r="P483" s="2">
        <v>45173.0</v>
      </c>
      <c r="Q483" s="1" t="s">
        <v>249</v>
      </c>
      <c r="R483" s="1" t="s">
        <v>2332</v>
      </c>
      <c r="S483" s="1" t="s">
        <v>32</v>
      </c>
      <c r="W483" s="1">
        <v>0.0</v>
      </c>
      <c r="X483" s="1">
        <v>0.0</v>
      </c>
    </row>
    <row r="484" spans="1:24" ht="15.75" customHeight="1">
      <c r="A484" s="1">
        <v>217983.0</v>
      </c>
      <c r="B484" s="1" t="s">
        <v>2333</v>
      </c>
      <c r="C484" s="1" t="s">
        <v>2334</v>
      </c>
      <c r="D484" s="1" t="s">
        <v>2335</v>
      </c>
      <c r="E484" s="1" t="s">
        <v>2336</v>
      </c>
      <c r="F484" s="1" t="str">
        <f>"1564782735"</f>
        <v>1564782735</v>
      </c>
      <c r="G484" s="1" t="str">
        <f>"9781564782731"</f>
        <v>9781564782731</v>
      </c>
      <c r="H484" s="1">
        <v>0.0</v>
      </c>
      <c r="I484" s="1">
        <v>4.14</v>
      </c>
      <c r="J484" s="1" t="s">
        <v>2337</v>
      </c>
      <c r="K484" s="1" t="s">
        <v>44</v>
      </c>
      <c r="L484" s="1">
        <v>136.0</v>
      </c>
      <c r="M484" s="1">
        <v>2001.0</v>
      </c>
      <c r="N484" s="1">
        <v>1976.0</v>
      </c>
      <c r="P484" s="2">
        <v>45239.0</v>
      </c>
      <c r="Q484" s="1" t="s">
        <v>145</v>
      </c>
      <c r="R484" s="1" t="s">
        <v>2338</v>
      </c>
      <c r="S484" s="1" t="s">
        <v>32</v>
      </c>
      <c r="W484" s="1">
        <v>0.0</v>
      </c>
      <c r="X484" s="1">
        <v>0.0</v>
      </c>
    </row>
    <row r="485" spans="1:24" ht="15.75" customHeight="1">
      <c r="A485" s="1">
        <v>259655.0</v>
      </c>
      <c r="B485" s="1" t="s">
        <v>2339</v>
      </c>
      <c r="C485" s="1" t="s">
        <v>2334</v>
      </c>
      <c r="D485" s="1" t="s">
        <v>2335</v>
      </c>
      <c r="E485" s="1" t="s">
        <v>2340</v>
      </c>
      <c r="F485" s="1" t="str">
        <f>"081011514X"</f>
        <v>081011514X</v>
      </c>
      <c r="G485" s="1" t="str">
        <f>"9780810115149"</f>
        <v>9780810115149</v>
      </c>
      <c r="H485" s="1">
        <v>0.0</v>
      </c>
      <c r="I485" s="1">
        <v>4.07</v>
      </c>
      <c r="J485" s="1" t="s">
        <v>229</v>
      </c>
      <c r="K485" s="1" t="s">
        <v>44</v>
      </c>
      <c r="L485" s="1">
        <v>199.0</v>
      </c>
      <c r="M485" s="1">
        <v>1998.0</v>
      </c>
      <c r="N485" s="1">
        <v>1983.0</v>
      </c>
      <c r="P485" s="2">
        <v>45115.0</v>
      </c>
      <c r="Q485" s="1" t="s">
        <v>32</v>
      </c>
      <c r="R485" s="1" t="s">
        <v>2341</v>
      </c>
      <c r="S485" s="1" t="s">
        <v>32</v>
      </c>
      <c r="W485" s="1">
        <v>0.0</v>
      </c>
      <c r="X485" s="1">
        <v>0.0</v>
      </c>
    </row>
    <row r="486" spans="1:24" ht="15.75" customHeight="1">
      <c r="A486" s="1">
        <v>1125111.0</v>
      </c>
      <c r="B486" s="1" t="s">
        <v>2342</v>
      </c>
      <c r="C486" s="1" t="s">
        <v>2343</v>
      </c>
      <c r="D486" s="1" t="s">
        <v>2344</v>
      </c>
      <c r="F486" s="1" t="str">
        <f>"074750847X"</f>
        <v>074750847X</v>
      </c>
      <c r="G486" s="1" t="str">
        <f>"9780747508472"</f>
        <v>9780747508472</v>
      </c>
      <c r="H486" s="1">
        <v>0.0</v>
      </c>
      <c r="I486" s="1">
        <v>3.77</v>
      </c>
      <c r="J486" s="1" t="s">
        <v>292</v>
      </c>
      <c r="K486" s="1" t="s">
        <v>44</v>
      </c>
      <c r="L486" s="1">
        <v>128.0</v>
      </c>
      <c r="M486" s="1">
        <v>1991.0</v>
      </c>
      <c r="N486" s="1">
        <v>1985.0</v>
      </c>
      <c r="P486" s="2">
        <v>43921.0</v>
      </c>
      <c r="Q486" s="1" t="s">
        <v>502</v>
      </c>
      <c r="R486" s="1" t="s">
        <v>2345</v>
      </c>
      <c r="S486" s="1" t="s">
        <v>32</v>
      </c>
      <c r="W486" s="1">
        <v>0.0</v>
      </c>
      <c r="X486" s="1">
        <v>0.0</v>
      </c>
    </row>
    <row r="487" spans="1:24" ht="15.75" customHeight="1">
      <c r="A487" s="1">
        <v>2871390.0</v>
      </c>
      <c r="B487" s="1" t="s">
        <v>2346</v>
      </c>
      <c r="C487" s="1" t="s">
        <v>2347</v>
      </c>
      <c r="D487" s="1" t="s">
        <v>2348</v>
      </c>
      <c r="E487" s="1" t="s">
        <v>2349</v>
      </c>
      <c r="F487" s="1" t="str">
        <f>"1590172884"</f>
        <v>1590172884</v>
      </c>
      <c r="G487" s="1" t="str">
        <f>"9781590172889"</f>
        <v>9781590172889</v>
      </c>
      <c r="H487" s="1">
        <v>0.0</v>
      </c>
      <c r="I487" s="1">
        <v>4.04</v>
      </c>
      <c r="J487" s="1" t="s">
        <v>823</v>
      </c>
      <c r="K487" s="1" t="s">
        <v>44</v>
      </c>
      <c r="L487" s="1">
        <v>346.0</v>
      </c>
      <c r="M487" s="1">
        <v>2008.0</v>
      </c>
      <c r="N487" s="1">
        <v>2007.0</v>
      </c>
      <c r="P487" s="2">
        <v>45078.0</v>
      </c>
      <c r="Q487" s="1" t="s">
        <v>383</v>
      </c>
      <c r="R487" s="1" t="s">
        <v>2350</v>
      </c>
      <c r="S487" s="1" t="s">
        <v>32</v>
      </c>
      <c r="W487" s="1">
        <v>0.0</v>
      </c>
      <c r="X487" s="1">
        <v>1.0</v>
      </c>
    </row>
    <row r="488" spans="1:24" ht="15.75" customHeight="1">
      <c r="A488" s="1">
        <v>7954163.0</v>
      </c>
      <c r="B488" s="1" t="s">
        <v>2351</v>
      </c>
      <c r="C488" s="1" t="s">
        <v>2347</v>
      </c>
      <c r="D488" s="1" t="s">
        <v>2348</v>
      </c>
      <c r="E488" s="1" t="s">
        <v>2352</v>
      </c>
      <c r="F488" s="1" t="str">
        <f>"0141191139"</f>
        <v>0141191139</v>
      </c>
      <c r="G488" s="1" t="str">
        <f>"9780141191133"</f>
        <v>9780141191133</v>
      </c>
      <c r="H488" s="1">
        <v>0.0</v>
      </c>
      <c r="I488" s="1">
        <v>3.82</v>
      </c>
      <c r="J488" s="1" t="s">
        <v>2353</v>
      </c>
      <c r="K488" s="1" t="s">
        <v>44</v>
      </c>
      <c r="L488" s="1">
        <v>280.0</v>
      </c>
      <c r="M488" s="1">
        <v>2010.0</v>
      </c>
      <c r="N488" s="1">
        <v>1971.0</v>
      </c>
      <c r="P488" s="2">
        <v>44265.0</v>
      </c>
      <c r="Q488" s="1" t="s">
        <v>32</v>
      </c>
      <c r="R488" s="1" t="s">
        <v>2354</v>
      </c>
      <c r="S488" s="1" t="s">
        <v>32</v>
      </c>
      <c r="W488" s="1">
        <v>0.0</v>
      </c>
      <c r="X488" s="1">
        <v>0.0</v>
      </c>
    </row>
    <row r="489" spans="1:24" ht="15.75" customHeight="1">
      <c r="A489" s="1">
        <v>1.2825844E7</v>
      </c>
      <c r="B489" s="1" t="s">
        <v>2355</v>
      </c>
      <c r="C489" s="1" t="s">
        <v>2356</v>
      </c>
      <c r="D489" s="1" t="s">
        <v>2357</v>
      </c>
      <c r="F489" s="1" t="str">
        <f>"0241144884"</f>
        <v>0241144884</v>
      </c>
      <c r="G489" s="1" t="str">
        <f>"9780241144886"</f>
        <v>9780241144886</v>
      </c>
      <c r="H489" s="1">
        <v>0.0</v>
      </c>
      <c r="I489" s="1">
        <v>4.1</v>
      </c>
      <c r="J489" s="1" t="s">
        <v>1378</v>
      </c>
      <c r="K489" s="1" t="s">
        <v>37</v>
      </c>
      <c r="L489" s="1">
        <v>368.0</v>
      </c>
      <c r="M489" s="1">
        <v>2011.0</v>
      </c>
      <c r="N489" s="1">
        <v>2011.0</v>
      </c>
      <c r="P489" s="2">
        <v>45185.0</v>
      </c>
      <c r="Q489" s="1" t="s">
        <v>1064</v>
      </c>
      <c r="R489" s="1" t="s">
        <v>2358</v>
      </c>
      <c r="S489" s="1" t="s">
        <v>32</v>
      </c>
      <c r="W489" s="1">
        <v>0.0</v>
      </c>
      <c r="X489" s="1">
        <v>0.0</v>
      </c>
    </row>
    <row r="490" spans="1:24" ht="15.75" customHeight="1">
      <c r="A490" s="1">
        <v>5632446.0</v>
      </c>
      <c r="B490" s="1" t="s">
        <v>2359</v>
      </c>
      <c r="C490" s="1" t="s">
        <v>2360</v>
      </c>
      <c r="D490" s="1" t="s">
        <v>2361</v>
      </c>
      <c r="F490" s="1" t="str">
        <f>"0446546933"</f>
        <v>0446546933</v>
      </c>
      <c r="G490" s="1" t="str">
        <f>"9780446546935"</f>
        <v>9780446546935</v>
      </c>
      <c r="H490" s="1">
        <v>4.0</v>
      </c>
      <c r="I490" s="1">
        <v>4.29</v>
      </c>
      <c r="J490" s="1" t="s">
        <v>2020</v>
      </c>
      <c r="K490" s="1" t="s">
        <v>37</v>
      </c>
      <c r="L490" s="1">
        <v>417.0</v>
      </c>
      <c r="M490" s="1">
        <v>2009.0</v>
      </c>
      <c r="N490" s="1">
        <v>2009.0</v>
      </c>
      <c r="O490" s="2">
        <v>41120.0</v>
      </c>
      <c r="P490" s="2">
        <v>40915.0</v>
      </c>
      <c r="Q490" s="1" t="s">
        <v>2362</v>
      </c>
      <c r="R490" s="1" t="s">
        <v>2363</v>
      </c>
      <c r="S490" s="1" t="s">
        <v>271</v>
      </c>
      <c r="T490" s="1" t="s">
        <v>2364</v>
      </c>
      <c r="W490" s="1">
        <v>1.0</v>
      </c>
      <c r="X490" s="1">
        <v>1.0</v>
      </c>
    </row>
    <row r="491" spans="1:24" ht="15.75" customHeight="1">
      <c r="A491" s="1">
        <v>7173952.0</v>
      </c>
      <c r="B491" s="1" t="s">
        <v>2365</v>
      </c>
      <c r="C491" s="1" t="s">
        <v>2366</v>
      </c>
      <c r="D491" s="1" t="s">
        <v>2367</v>
      </c>
      <c r="F491" s="1" t="str">
        <f>"0307387941"</f>
        <v>0307387941</v>
      </c>
      <c r="G491" s="1" t="str">
        <f>"9780307387943"</f>
        <v>9780307387943</v>
      </c>
      <c r="H491" s="1">
        <v>0.0</v>
      </c>
      <c r="I491" s="1">
        <v>4.05</v>
      </c>
      <c r="J491" s="1" t="s">
        <v>69</v>
      </c>
      <c r="K491" s="1" t="s">
        <v>44</v>
      </c>
      <c r="L491" s="1">
        <v>325.0</v>
      </c>
      <c r="M491" s="1">
        <v>2010.0</v>
      </c>
      <c r="N491" s="1">
        <v>2009.0</v>
      </c>
      <c r="P491" s="2">
        <v>45114.0</v>
      </c>
      <c r="Q491" s="1" t="s">
        <v>788</v>
      </c>
      <c r="R491" s="1" t="s">
        <v>2368</v>
      </c>
      <c r="S491" s="1" t="s">
        <v>32</v>
      </c>
      <c r="W491" s="1">
        <v>0.0</v>
      </c>
      <c r="X491" s="1">
        <v>1.0</v>
      </c>
    </row>
    <row r="492" spans="1:24" ht="15.75" customHeight="1">
      <c r="A492" s="1">
        <v>1.7910086E7</v>
      </c>
      <c r="B492" s="1" t="s">
        <v>2369</v>
      </c>
      <c r="C492" s="1" t="s">
        <v>2370</v>
      </c>
      <c r="D492" s="1" t="s">
        <v>2371</v>
      </c>
      <c r="F492" s="1" t="str">
        <f>"0805095691"</f>
        <v>0805095691</v>
      </c>
      <c r="G492" s="1" t="str">
        <f>"9780805095692"</f>
        <v>9780805095692</v>
      </c>
      <c r="H492" s="1">
        <v>0.0</v>
      </c>
      <c r="I492" s="1">
        <v>3.9</v>
      </c>
      <c r="J492" s="1" t="s">
        <v>2372</v>
      </c>
      <c r="K492" s="1" t="s">
        <v>37</v>
      </c>
      <c r="L492" s="1">
        <v>304.0</v>
      </c>
      <c r="M492" s="1">
        <v>2014.0</v>
      </c>
      <c r="N492" s="1">
        <v>2014.0</v>
      </c>
      <c r="P492" s="2">
        <v>45173.0</v>
      </c>
      <c r="Q492" s="1" t="s">
        <v>32</v>
      </c>
      <c r="R492" s="1" t="s">
        <v>2373</v>
      </c>
      <c r="S492" s="1" t="s">
        <v>32</v>
      </c>
      <c r="W492" s="1">
        <v>0.0</v>
      </c>
      <c r="X492" s="1">
        <v>0.0</v>
      </c>
    </row>
    <row r="493" spans="1:24" ht="15.75" customHeight="1">
      <c r="A493" s="1">
        <v>620939.0</v>
      </c>
      <c r="B493" s="1" t="s">
        <v>2374</v>
      </c>
      <c r="C493" s="1" t="s">
        <v>2375</v>
      </c>
      <c r="D493" s="1" t="s">
        <v>2376</v>
      </c>
      <c r="E493" s="1" t="s">
        <v>2377</v>
      </c>
      <c r="F493" s="1" t="str">
        <f>"058228452X"</f>
        <v>058228452X</v>
      </c>
      <c r="G493" s="1" t="str">
        <f>"9780582284524"</f>
        <v>9780582284524</v>
      </c>
      <c r="H493" s="1">
        <v>0.0</v>
      </c>
      <c r="I493" s="1">
        <v>4.05</v>
      </c>
      <c r="J493" s="1" t="s">
        <v>2378</v>
      </c>
      <c r="K493" s="1" t="s">
        <v>44</v>
      </c>
      <c r="L493" s="1">
        <v>528.0</v>
      </c>
      <c r="M493" s="1">
        <v>1984.0</v>
      </c>
      <c r="N493" s="1">
        <v>1984.0</v>
      </c>
      <c r="P493" s="2">
        <v>43949.0</v>
      </c>
      <c r="Q493" s="1" t="s">
        <v>32</v>
      </c>
      <c r="R493" s="1" t="s">
        <v>2379</v>
      </c>
      <c r="S493" s="1" t="s">
        <v>32</v>
      </c>
      <c r="W493" s="1">
        <v>0.0</v>
      </c>
      <c r="X493" s="1">
        <v>0.0</v>
      </c>
    </row>
    <row r="494" spans="1:24" ht="15.75" customHeight="1">
      <c r="A494" s="1">
        <v>160653.0</v>
      </c>
      <c r="B494" s="1" t="s">
        <v>2380</v>
      </c>
      <c r="C494" s="1" t="s">
        <v>2381</v>
      </c>
      <c r="D494" s="1" t="s">
        <v>2382</v>
      </c>
      <c r="F494" s="1" t="str">
        <f>"1890447048"</f>
        <v>1890447048</v>
      </c>
      <c r="G494" s="1" t="str">
        <f>"9781890447045"</f>
        <v>9781890447045</v>
      </c>
      <c r="H494" s="1">
        <v>0.0</v>
      </c>
      <c r="I494" s="1">
        <v>4.37</v>
      </c>
      <c r="J494" s="1" t="s">
        <v>2383</v>
      </c>
      <c r="K494" s="1" t="s">
        <v>44</v>
      </c>
      <c r="L494" s="1">
        <v>96.0</v>
      </c>
      <c r="M494" s="1">
        <v>1999.0</v>
      </c>
      <c r="N494" s="1">
        <v>1999.0</v>
      </c>
      <c r="P494" s="2">
        <v>42107.0</v>
      </c>
      <c r="Q494" s="1" t="s">
        <v>421</v>
      </c>
      <c r="R494" s="1" t="s">
        <v>2384</v>
      </c>
      <c r="S494" s="1" t="s">
        <v>32</v>
      </c>
      <c r="W494" s="1">
        <v>0.0</v>
      </c>
      <c r="X494" s="1">
        <v>0.0</v>
      </c>
    </row>
    <row r="495" spans="1:24" ht="15.75" customHeight="1">
      <c r="A495" s="1">
        <v>3.4324485E7</v>
      </c>
      <c r="B495" s="1" t="s">
        <v>2385</v>
      </c>
      <c r="C495" s="1" t="s">
        <v>2386</v>
      </c>
      <c r="D495" s="1" t="s">
        <v>2387</v>
      </c>
      <c r="F495" s="1" t="str">
        <f>"1941026710"</f>
        <v>1941026710</v>
      </c>
      <c r="G495" s="1" t="str">
        <f>"9781941026717"</f>
        <v>9781941026717</v>
      </c>
      <c r="H495" s="1">
        <v>0.0</v>
      </c>
      <c r="I495" s="1">
        <v>4.32</v>
      </c>
      <c r="J495" s="1" t="s">
        <v>2388</v>
      </c>
      <c r="K495" s="1" t="s">
        <v>37</v>
      </c>
      <c r="L495" s="1">
        <v>300.0</v>
      </c>
      <c r="M495" s="1">
        <v>2018.0</v>
      </c>
      <c r="N495" s="1">
        <v>2018.0</v>
      </c>
      <c r="P495" s="3">
        <v>45214.0</v>
      </c>
      <c r="Q495" s="1" t="s">
        <v>32</v>
      </c>
      <c r="R495" s="1" t="s">
        <v>2389</v>
      </c>
      <c r="S495" s="1" t="s">
        <v>32</v>
      </c>
      <c r="W495" s="1">
        <v>0.0</v>
      </c>
      <c r="X495" s="1">
        <v>0.0</v>
      </c>
    </row>
    <row r="496" spans="1:24" ht="15.75" customHeight="1">
      <c r="A496" s="1">
        <v>41238.0</v>
      </c>
      <c r="B496" s="1" t="s">
        <v>2390</v>
      </c>
      <c r="C496" s="1" t="s">
        <v>2391</v>
      </c>
      <c r="D496" s="1" t="s">
        <v>2392</v>
      </c>
      <c r="F496" s="1" t="str">
        <f>"0375709401"</f>
        <v>0375709401</v>
      </c>
      <c r="G496" s="1" t="str">
        <f>"9780375709401"</f>
        <v>9780375709401</v>
      </c>
      <c r="H496" s="1">
        <v>0.0</v>
      </c>
      <c r="I496" s="1">
        <v>4.23</v>
      </c>
      <c r="J496" s="1" t="s">
        <v>1397</v>
      </c>
      <c r="K496" s="1" t="s">
        <v>44</v>
      </c>
      <c r="L496" s="1">
        <v>1008.0</v>
      </c>
      <c r="M496" s="1">
        <v>2004.0</v>
      </c>
      <c r="N496" s="1">
        <v>1975.0</v>
      </c>
      <c r="P496" s="3">
        <v>45255.0</v>
      </c>
      <c r="Q496" s="1" t="s">
        <v>145</v>
      </c>
      <c r="R496" s="1" t="s">
        <v>2393</v>
      </c>
      <c r="S496" s="1" t="s">
        <v>32</v>
      </c>
      <c r="W496" s="1">
        <v>0.0</v>
      </c>
      <c r="X496" s="1">
        <v>0.0</v>
      </c>
    </row>
    <row r="497" spans="1:24" ht="15.75" customHeight="1">
      <c r="A497" s="1">
        <v>1565225.0</v>
      </c>
      <c r="B497" s="1" t="s">
        <v>2394</v>
      </c>
      <c r="C497" s="1" t="s">
        <v>2395</v>
      </c>
      <c r="D497" s="1" t="s">
        <v>2396</v>
      </c>
      <c r="F497" s="1" t="str">
        <f>"1853024449"</f>
        <v>1853024449</v>
      </c>
      <c r="G497" s="1" t="str">
        <f>"9781853024443"</f>
        <v>9781853024443</v>
      </c>
      <c r="H497" s="1">
        <v>0.0</v>
      </c>
      <c r="I497" s="1">
        <v>3.5</v>
      </c>
      <c r="J497" s="1" t="s">
        <v>2397</v>
      </c>
      <c r="K497" s="1" t="s">
        <v>44</v>
      </c>
      <c r="L497" s="1">
        <v>320.0</v>
      </c>
      <c r="M497" s="1">
        <v>1997.0</v>
      </c>
      <c r="N497" s="1">
        <v>1997.0</v>
      </c>
      <c r="P497" s="2">
        <v>45181.0</v>
      </c>
      <c r="Q497" s="1" t="s">
        <v>249</v>
      </c>
      <c r="R497" s="1" t="s">
        <v>2398</v>
      </c>
      <c r="S497" s="1" t="s">
        <v>32</v>
      </c>
      <c r="W497" s="1">
        <v>0.0</v>
      </c>
      <c r="X497" s="1">
        <v>0.0</v>
      </c>
    </row>
    <row r="498" spans="1:24" ht="15.75" customHeight="1">
      <c r="A498" s="1">
        <v>1.9947283E7</v>
      </c>
      <c r="B498" s="1" t="s">
        <v>2399</v>
      </c>
      <c r="C498" s="1" t="s">
        <v>2400</v>
      </c>
      <c r="D498" s="1" t="s">
        <v>2401</v>
      </c>
      <c r="F498" s="1" t="str">
        <f t="shared" si="32" ref="F498:G498">""</f>
        <v/>
      </c>
      <c r="G498" s="1" t="str">
        <f t="shared" si="32"/>
        <v/>
      </c>
      <c r="H498" s="1">
        <v>0.0</v>
      </c>
      <c r="I498" s="1">
        <v>3.93</v>
      </c>
      <c r="J498" s="1" t="s">
        <v>552</v>
      </c>
      <c r="K498" s="1" t="s">
        <v>29</v>
      </c>
      <c r="L498" s="1">
        <v>356.0</v>
      </c>
      <c r="M498" s="1">
        <v>1993.0</v>
      </c>
      <c r="N498" s="1">
        <v>1991.0</v>
      </c>
      <c r="P498" s="2">
        <v>45154.0</v>
      </c>
      <c r="Q498" s="1" t="s">
        <v>32</v>
      </c>
      <c r="R498" s="1" t="s">
        <v>2402</v>
      </c>
      <c r="S498" s="1" t="s">
        <v>32</v>
      </c>
      <c r="W498" s="1">
        <v>0.0</v>
      </c>
      <c r="X498" s="1">
        <v>0.0</v>
      </c>
    </row>
    <row r="499" spans="1:24" ht="15.75" customHeight="1">
      <c r="A499" s="1">
        <v>72362.0</v>
      </c>
      <c r="B499" s="1" t="s">
        <v>2403</v>
      </c>
      <c r="C499" s="1" t="s">
        <v>2404</v>
      </c>
      <c r="D499" s="1" t="s">
        <v>2405</v>
      </c>
      <c r="F499" s="1" t="str">
        <f>"0674634292"</f>
        <v>0674634292</v>
      </c>
      <c r="G499" s="1" t="str">
        <f>"9780674634299"</f>
        <v>9780674634299</v>
      </c>
      <c r="H499" s="1">
        <v>0.0</v>
      </c>
      <c r="I499" s="1">
        <v>4.25</v>
      </c>
      <c r="J499" s="1" t="s">
        <v>2273</v>
      </c>
      <c r="K499" s="1" t="s">
        <v>44</v>
      </c>
      <c r="L499" s="1">
        <v>336.0</v>
      </c>
      <c r="M499" s="1">
        <v>1998.0</v>
      </c>
      <c r="N499" s="1">
        <v>1979.0</v>
      </c>
      <c r="P499" s="3">
        <v>45255.0</v>
      </c>
      <c r="Q499" s="1" t="s">
        <v>145</v>
      </c>
      <c r="R499" s="1" t="s">
        <v>2406</v>
      </c>
      <c r="S499" s="1" t="s">
        <v>32</v>
      </c>
      <c r="W499" s="1">
        <v>0.0</v>
      </c>
      <c r="X499" s="1">
        <v>0.0</v>
      </c>
    </row>
    <row r="500" spans="1:24" ht="15.75" customHeight="1">
      <c r="A500" s="1">
        <v>202717.0</v>
      </c>
      <c r="B500" s="1" t="s">
        <v>2407</v>
      </c>
      <c r="C500" s="1" t="s">
        <v>2408</v>
      </c>
      <c r="D500" s="1" t="s">
        <v>2409</v>
      </c>
      <c r="F500" s="1" t="str">
        <f>"0520082893"</f>
        <v>0520082893</v>
      </c>
      <c r="G500" s="1" t="str">
        <f>"9780520082892"</f>
        <v>9780520082892</v>
      </c>
      <c r="H500" s="1">
        <v>0.0</v>
      </c>
      <c r="I500" s="1">
        <v>4.11</v>
      </c>
      <c r="J500" s="1" t="s">
        <v>552</v>
      </c>
      <c r="K500" s="1" t="s">
        <v>44</v>
      </c>
      <c r="L500" s="1">
        <v>334.0</v>
      </c>
      <c r="M500" s="1">
        <v>1993.0</v>
      </c>
      <c r="N500" s="1">
        <v>1993.0</v>
      </c>
      <c r="P500" s="2">
        <v>44166.0</v>
      </c>
      <c r="Q500" s="1" t="s">
        <v>138</v>
      </c>
      <c r="R500" s="1" t="s">
        <v>2410</v>
      </c>
      <c r="S500" s="1" t="s">
        <v>32</v>
      </c>
      <c r="W500" s="1">
        <v>0.0</v>
      </c>
      <c r="X500" s="1">
        <v>0.0</v>
      </c>
    </row>
    <row r="501" spans="1:24" ht="15.75" customHeight="1">
      <c r="A501" s="1">
        <v>8912426.0</v>
      </c>
      <c r="B501" s="1" t="s">
        <v>2411</v>
      </c>
      <c r="C501" s="1" t="s">
        <v>2412</v>
      </c>
      <c r="D501" s="1" t="s">
        <v>2413</v>
      </c>
      <c r="F501" s="1" t="str">
        <f>"0312671938"</f>
        <v>0312671938</v>
      </c>
      <c r="G501" s="1" t="str">
        <f>"9780312671938"</f>
        <v>9780312671938</v>
      </c>
      <c r="H501" s="1">
        <v>0.0</v>
      </c>
      <c r="I501" s="1">
        <v>4.07</v>
      </c>
      <c r="J501" s="1" t="s">
        <v>2414</v>
      </c>
      <c r="K501" s="1" t="s">
        <v>44</v>
      </c>
      <c r="L501" s="1">
        <v>360.0</v>
      </c>
      <c r="M501" s="1">
        <v>2010.0</v>
      </c>
      <c r="N501" s="1">
        <v>1994.0</v>
      </c>
      <c r="P501" s="2">
        <v>42545.0</v>
      </c>
      <c r="Q501" s="1" t="s">
        <v>2021</v>
      </c>
      <c r="R501" s="1" t="s">
        <v>2415</v>
      </c>
      <c r="S501" s="1" t="s">
        <v>32</v>
      </c>
      <c r="W501" s="1">
        <v>0.0</v>
      </c>
      <c r="X501" s="1">
        <v>1.0</v>
      </c>
    </row>
    <row r="502" spans="1:24" ht="15.75" customHeight="1">
      <c r="A502" s="1">
        <v>1.9924237E7</v>
      </c>
      <c r="B502" s="1" t="s">
        <v>2411</v>
      </c>
      <c r="C502" s="1" t="s">
        <v>2412</v>
      </c>
      <c r="D502" s="1" t="s">
        <v>2413</v>
      </c>
      <c r="F502" s="1" t="str">
        <f>""</f>
        <v/>
      </c>
      <c r="G502" s="1" t="str">
        <f>"0971487555461"</f>
        <v>0971487555461</v>
      </c>
      <c r="H502" s="1">
        <v>0.0</v>
      </c>
      <c r="I502" s="1">
        <v>4.07</v>
      </c>
      <c r="J502" s="1" t="s">
        <v>2414</v>
      </c>
      <c r="K502" s="1" t="s">
        <v>44</v>
      </c>
      <c r="L502" s="1">
        <v>352.0</v>
      </c>
      <c r="M502" s="1">
        <v>2010.0</v>
      </c>
      <c r="N502" s="1">
        <v>1994.0</v>
      </c>
      <c r="P502" s="2">
        <v>45113.0</v>
      </c>
      <c r="Q502" s="1" t="s">
        <v>32</v>
      </c>
      <c r="R502" s="1" t="s">
        <v>2416</v>
      </c>
      <c r="S502" s="1" t="s">
        <v>32</v>
      </c>
      <c r="W502" s="1">
        <v>0.0</v>
      </c>
      <c r="X502" s="1">
        <v>0.0</v>
      </c>
    </row>
    <row r="503" spans="1:24" ht="15.75" customHeight="1">
      <c r="A503" s="1">
        <v>144950.0</v>
      </c>
      <c r="B503" s="1" t="s">
        <v>2417</v>
      </c>
      <c r="C503" s="1" t="s">
        <v>2418</v>
      </c>
      <c r="D503" s="1" t="s">
        <v>2419</v>
      </c>
      <c r="F503" s="1" t="str">
        <f>"0631140433"</f>
        <v>0631140433</v>
      </c>
      <c r="G503" s="1" t="str">
        <f>"9780631140436"</f>
        <v>9780631140436</v>
      </c>
      <c r="H503" s="1">
        <v>0.0</v>
      </c>
      <c r="I503" s="1">
        <v>3.74</v>
      </c>
      <c r="J503" s="1" t="s">
        <v>48</v>
      </c>
      <c r="K503" s="1" t="s">
        <v>1593</v>
      </c>
      <c r="L503" s="1">
        <v>246.0</v>
      </c>
      <c r="M503" s="1">
        <v>1986.0</v>
      </c>
      <c r="N503" s="1">
        <v>1986.0</v>
      </c>
      <c r="P503" s="3">
        <v>43094.0</v>
      </c>
      <c r="Q503" s="1" t="s">
        <v>2420</v>
      </c>
      <c r="R503" s="1" t="s">
        <v>2421</v>
      </c>
      <c r="S503" s="1" t="s">
        <v>32</v>
      </c>
      <c r="W503" s="1">
        <v>0.0</v>
      </c>
      <c r="X503" s="1">
        <v>0.0</v>
      </c>
    </row>
    <row r="504" spans="1:24" ht="15.75" customHeight="1">
      <c r="A504" s="1">
        <v>2.3363082E7</v>
      </c>
      <c r="B504" s="1" t="s">
        <v>2422</v>
      </c>
      <c r="C504" s="1" t="s">
        <v>2423</v>
      </c>
      <c r="D504" s="1" t="s">
        <v>2424</v>
      </c>
      <c r="E504" s="1" t="s">
        <v>2425</v>
      </c>
      <c r="F504" s="1" t="str">
        <f>"0192737503"</f>
        <v>0192737503</v>
      </c>
      <c r="G504" s="1" t="str">
        <f>"9780192737502"</f>
        <v>9780192737502</v>
      </c>
      <c r="H504" s="1">
        <v>0.0</v>
      </c>
      <c r="I504" s="1">
        <v>4.56</v>
      </c>
      <c r="J504" s="1" t="s">
        <v>181</v>
      </c>
      <c r="K504" s="1" t="s">
        <v>44</v>
      </c>
      <c r="L504" s="1">
        <v>352.0</v>
      </c>
      <c r="M504" s="1">
        <v>2015.0</v>
      </c>
      <c r="P504" s="2">
        <v>44444.0</v>
      </c>
      <c r="Q504" s="1" t="s">
        <v>32</v>
      </c>
      <c r="R504" s="1" t="s">
        <v>2426</v>
      </c>
      <c r="S504" s="1" t="s">
        <v>32</v>
      </c>
      <c r="W504" s="1">
        <v>0.0</v>
      </c>
      <c r="X504" s="1">
        <v>0.0</v>
      </c>
    </row>
    <row r="505" spans="1:24" ht="15.75" customHeight="1">
      <c r="A505" s="1">
        <v>1.2480602E7</v>
      </c>
      <c r="B505" s="1" t="s">
        <v>2427</v>
      </c>
      <c r="C505" s="1" t="s">
        <v>2428</v>
      </c>
      <c r="D505" s="1" t="s">
        <v>2429</v>
      </c>
      <c r="F505" s="1" t="str">
        <f>"0983864403"</f>
        <v>0983864403</v>
      </c>
      <c r="G505" s="1" t="str">
        <f>"9780983864400"</f>
        <v>9780983864400</v>
      </c>
      <c r="H505" s="1">
        <v>0.0</v>
      </c>
      <c r="I505" s="1">
        <v>3.66</v>
      </c>
      <c r="J505" s="1" t="s">
        <v>2430</v>
      </c>
      <c r="K505" s="1" t="s">
        <v>1593</v>
      </c>
      <c r="L505" s="1">
        <v>369.0</v>
      </c>
      <c r="M505" s="1">
        <v>2011.0</v>
      </c>
      <c r="N505" s="1">
        <v>2012.0</v>
      </c>
      <c r="P505" s="3">
        <v>41571.0</v>
      </c>
      <c r="Q505" s="1" t="s">
        <v>32</v>
      </c>
      <c r="R505" s="1" t="s">
        <v>2431</v>
      </c>
      <c r="S505" s="1" t="s">
        <v>32</v>
      </c>
      <c r="W505" s="1">
        <v>0.0</v>
      </c>
      <c r="X505" s="1">
        <v>0.0</v>
      </c>
    </row>
    <row r="506" spans="1:24" ht="15.75" customHeight="1">
      <c r="A506" s="1">
        <v>2120673.0</v>
      </c>
      <c r="B506" s="1" t="s">
        <v>2432</v>
      </c>
      <c r="C506" s="1" t="s">
        <v>2433</v>
      </c>
      <c r="D506" s="1" t="s">
        <v>2434</v>
      </c>
      <c r="F506" s="1" t="str">
        <f>"0199290342"</f>
        <v>0199290342</v>
      </c>
      <c r="G506" s="1" t="str">
        <f>"9780199290345"</f>
        <v>9780199290345</v>
      </c>
      <c r="H506" s="1">
        <v>0.0</v>
      </c>
      <c r="I506" s="1">
        <v>3.62</v>
      </c>
      <c r="J506" s="1" t="s">
        <v>2435</v>
      </c>
      <c r="K506" s="1" t="s">
        <v>37</v>
      </c>
      <c r="L506" s="1">
        <v>184.0</v>
      </c>
      <c r="M506" s="1">
        <v>2006.0</v>
      </c>
      <c r="N506" s="1">
        <v>2006.0</v>
      </c>
      <c r="P506" s="3">
        <v>44484.0</v>
      </c>
      <c r="Q506" s="1" t="s">
        <v>32</v>
      </c>
      <c r="R506" s="1" t="s">
        <v>2436</v>
      </c>
      <c r="S506" s="1" t="s">
        <v>32</v>
      </c>
      <c r="W506" s="1">
        <v>0.0</v>
      </c>
      <c r="X506" s="1">
        <v>0.0</v>
      </c>
    </row>
    <row r="507" spans="1:24" ht="15.75" customHeight="1">
      <c r="A507" s="1">
        <v>843105.0</v>
      </c>
      <c r="B507" s="1" t="s">
        <v>2437</v>
      </c>
      <c r="C507" s="1" t="s">
        <v>2438</v>
      </c>
      <c r="D507" s="1" t="s">
        <v>2439</v>
      </c>
      <c r="E507" s="1" t="s">
        <v>2440</v>
      </c>
      <c r="F507" s="1" t="str">
        <f>"0226452794"</f>
        <v>0226452794</v>
      </c>
      <c r="G507" s="1" t="str">
        <f>"9780226452791"</f>
        <v>9780226452791</v>
      </c>
      <c r="H507" s="1">
        <v>0.0</v>
      </c>
      <c r="I507" s="1">
        <v>4.0</v>
      </c>
      <c r="J507" s="1" t="s">
        <v>78</v>
      </c>
      <c r="K507" s="1" t="s">
        <v>44</v>
      </c>
      <c r="L507" s="1">
        <v>266.0</v>
      </c>
      <c r="M507" s="1">
        <v>1999.0</v>
      </c>
      <c r="N507" s="1">
        <v>1997.0</v>
      </c>
      <c r="P507" s="2">
        <v>44263.0</v>
      </c>
      <c r="Q507" s="1" t="s">
        <v>32</v>
      </c>
      <c r="R507" s="1" t="s">
        <v>2441</v>
      </c>
      <c r="S507" s="1" t="s">
        <v>32</v>
      </c>
      <c r="W507" s="1">
        <v>0.0</v>
      </c>
      <c r="X507" s="1">
        <v>0.0</v>
      </c>
    </row>
    <row r="508" spans="1:24" ht="15.75" customHeight="1">
      <c r="A508" s="1">
        <v>690051.0</v>
      </c>
      <c r="B508" s="1" t="s">
        <v>2442</v>
      </c>
      <c r="C508" s="1" t="s">
        <v>2443</v>
      </c>
      <c r="D508" s="1" t="s">
        <v>2444</v>
      </c>
      <c r="F508" s="1" t="str">
        <f>"0316013323"</f>
        <v>0316013323</v>
      </c>
      <c r="G508" s="1" t="str">
        <f>"9780316013321"</f>
        <v>9780316013321</v>
      </c>
      <c r="H508" s="1">
        <v>0.0</v>
      </c>
      <c r="I508" s="1">
        <v>4.19</v>
      </c>
      <c r="J508" s="1" t="s">
        <v>2445</v>
      </c>
      <c r="K508" s="1" t="s">
        <v>44</v>
      </c>
      <c r="L508" s="1">
        <v>344.0</v>
      </c>
      <c r="M508" s="1">
        <v>2007.0</v>
      </c>
      <c r="N508" s="1">
        <v>2005.0</v>
      </c>
      <c r="P508" s="2">
        <v>45159.0</v>
      </c>
      <c r="Q508" s="1" t="s">
        <v>2446</v>
      </c>
      <c r="R508" s="1" t="s">
        <v>2447</v>
      </c>
      <c r="S508" s="1" t="s">
        <v>32</v>
      </c>
      <c r="W508" s="1">
        <v>0.0</v>
      </c>
      <c r="X508" s="1">
        <v>1.0</v>
      </c>
    </row>
    <row r="509" spans="1:24" ht="15.75" customHeight="1">
      <c r="A509" s="1">
        <v>1.3528351E7</v>
      </c>
      <c r="B509" s="1" t="s">
        <v>2448</v>
      </c>
      <c r="C509" s="1" t="s">
        <v>2443</v>
      </c>
      <c r="D509" s="1" t="s">
        <v>2444</v>
      </c>
      <c r="F509" s="1" t="str">
        <f>"0316182370"</f>
        <v>0316182370</v>
      </c>
      <c r="G509" s="1" t="str">
        <f>"9780316182379"</f>
        <v>9780316182379</v>
      </c>
      <c r="H509" s="1">
        <v>0.0</v>
      </c>
      <c r="I509" s="1">
        <v>3.86</v>
      </c>
      <c r="J509" s="1" t="s">
        <v>1963</v>
      </c>
      <c r="K509" s="1" t="s">
        <v>37</v>
      </c>
      <c r="L509" s="1">
        <v>328.0</v>
      </c>
      <c r="M509" s="1">
        <v>2012.0</v>
      </c>
      <c r="N509" s="1">
        <v>2012.0</v>
      </c>
      <c r="P509" s="2">
        <v>45157.0</v>
      </c>
      <c r="Q509" s="1" t="s">
        <v>32</v>
      </c>
      <c r="R509" s="1" t="s">
        <v>2449</v>
      </c>
      <c r="S509" s="1" t="s">
        <v>32</v>
      </c>
      <c r="W509" s="1">
        <v>0.0</v>
      </c>
      <c r="X509" s="1">
        <v>0.0</v>
      </c>
    </row>
    <row r="510" spans="1:24" ht="15.75" customHeight="1">
      <c r="A510" s="1">
        <v>6753.0</v>
      </c>
      <c r="B510" s="1" t="s">
        <v>2450</v>
      </c>
      <c r="C510" s="1" t="s">
        <v>2443</v>
      </c>
      <c r="D510" s="1" t="s">
        <v>2444</v>
      </c>
      <c r="F510" s="1" t="str">
        <f>"034911188X"</f>
        <v>034911188X</v>
      </c>
      <c r="G510" s="1" t="str">
        <f>"9780349111889"</f>
        <v>9780349111889</v>
      </c>
      <c r="H510" s="1">
        <v>0.0</v>
      </c>
      <c r="I510" s="1">
        <v>3.84</v>
      </c>
      <c r="J510" s="1" t="s">
        <v>1387</v>
      </c>
      <c r="K510" s="1" t="s">
        <v>44</v>
      </c>
      <c r="L510" s="1">
        <v>273.0</v>
      </c>
      <c r="M510" s="1">
        <v>2000.0</v>
      </c>
      <c r="N510" s="1">
        <v>1999.0</v>
      </c>
      <c r="P510" s="3">
        <v>41268.0</v>
      </c>
      <c r="Q510" s="1" t="s">
        <v>32</v>
      </c>
      <c r="R510" s="1" t="s">
        <v>2451</v>
      </c>
      <c r="S510" s="1" t="s">
        <v>32</v>
      </c>
      <c r="W510" s="1">
        <v>0.0</v>
      </c>
      <c r="X510" s="1">
        <v>0.0</v>
      </c>
    </row>
    <row r="511" spans="1:24" ht="15.75" customHeight="1">
      <c r="A511" s="1">
        <v>1117964.0</v>
      </c>
      <c r="B511" s="1" t="s">
        <v>2452</v>
      </c>
      <c r="C511" s="1" t="s">
        <v>2453</v>
      </c>
      <c r="D511" s="1" t="s">
        <v>2454</v>
      </c>
      <c r="F511" s="1" t="str">
        <f>"0140080295"</f>
        <v>0140080295</v>
      </c>
      <c r="G511" s="1" t="str">
        <f>"9780140080292"</f>
        <v>9780140080292</v>
      </c>
      <c r="H511" s="1">
        <v>0.0</v>
      </c>
      <c r="I511" s="1">
        <v>3.99</v>
      </c>
      <c r="J511" s="1" t="s">
        <v>309</v>
      </c>
      <c r="K511" s="1" t="s">
        <v>44</v>
      </c>
      <c r="L511" s="1">
        <v>229.0</v>
      </c>
      <c r="M511" s="1">
        <v>1987.0</v>
      </c>
      <c r="N511" s="1">
        <v>1968.0</v>
      </c>
      <c r="P511" s="3">
        <v>41601.0</v>
      </c>
      <c r="Q511" s="1" t="s">
        <v>49</v>
      </c>
      <c r="R511" s="1" t="s">
        <v>2455</v>
      </c>
      <c r="S511" s="1" t="s">
        <v>32</v>
      </c>
      <c r="W511" s="1">
        <v>0.0</v>
      </c>
      <c r="X511" s="1">
        <v>0.0</v>
      </c>
    </row>
    <row r="512" spans="1:24" ht="15.75" customHeight="1">
      <c r="A512" s="1">
        <v>5.6269264E7</v>
      </c>
      <c r="B512" s="1" t="s">
        <v>2456</v>
      </c>
      <c r="C512" s="1" t="s">
        <v>2457</v>
      </c>
      <c r="D512" s="1" t="s">
        <v>2458</v>
      </c>
      <c r="E512" s="1" t="s">
        <v>2459</v>
      </c>
      <c r="F512" s="1" t="str">
        <f>"0374157359"</f>
        <v>0374157359</v>
      </c>
      <c r="G512" s="1" t="str">
        <f>"9780374157357"</f>
        <v>9780374157357</v>
      </c>
      <c r="H512" s="1">
        <v>0.0</v>
      </c>
      <c r="I512" s="1">
        <v>4.2</v>
      </c>
      <c r="J512" s="1" t="s">
        <v>438</v>
      </c>
      <c r="K512" s="1" t="s">
        <v>37</v>
      </c>
      <c r="L512" s="1">
        <v>692.0</v>
      </c>
      <c r="M512" s="1">
        <v>2021.0</v>
      </c>
      <c r="N512" s="1">
        <v>2021.0</v>
      </c>
      <c r="P512" s="2">
        <v>45168.0</v>
      </c>
      <c r="Q512" s="1" t="s">
        <v>55</v>
      </c>
      <c r="R512" s="1" t="s">
        <v>2460</v>
      </c>
      <c r="S512" s="1" t="s">
        <v>32</v>
      </c>
      <c r="W512" s="1">
        <v>0.0</v>
      </c>
      <c r="X512" s="1">
        <v>0.0</v>
      </c>
    </row>
    <row r="513" spans="1:24" ht="15.75" customHeight="1">
      <c r="A513" s="1">
        <v>6617037.0</v>
      </c>
      <c r="B513" s="1" t="s">
        <v>2461</v>
      </c>
      <c r="C513" s="1" t="s">
        <v>2457</v>
      </c>
      <c r="D513" s="1" t="s">
        <v>2458</v>
      </c>
      <c r="F513" s="1" t="str">
        <f>"1933633867"</f>
        <v>1933633867</v>
      </c>
      <c r="G513" s="1" t="str">
        <f>"9781933633862"</f>
        <v>9781933633862</v>
      </c>
      <c r="H513" s="1">
        <v>0.0</v>
      </c>
      <c r="I513" s="1">
        <v>4.21</v>
      </c>
      <c r="J513" s="1" t="s">
        <v>2462</v>
      </c>
      <c r="K513" s="1" t="s">
        <v>37</v>
      </c>
      <c r="L513" s="1">
        <v>534.0</v>
      </c>
      <c r="M513" s="1">
        <v>2011.0</v>
      </c>
      <c r="N513" s="1">
        <v>2011.0</v>
      </c>
      <c r="P513" s="2">
        <v>45168.0</v>
      </c>
      <c r="Q513" s="1" t="s">
        <v>32</v>
      </c>
      <c r="R513" s="1" t="s">
        <v>2463</v>
      </c>
      <c r="S513" s="1" t="s">
        <v>32</v>
      </c>
      <c r="W513" s="1">
        <v>0.0</v>
      </c>
      <c r="X513" s="1">
        <v>0.0</v>
      </c>
    </row>
    <row r="514" spans="1:24" ht="15.75" customHeight="1">
      <c r="A514" s="1">
        <v>654425.0</v>
      </c>
      <c r="B514" s="1" t="s">
        <v>2464</v>
      </c>
      <c r="C514" s="1" t="s">
        <v>2465</v>
      </c>
      <c r="D514" s="1" t="s">
        <v>2466</v>
      </c>
      <c r="F514" s="1" t="str">
        <f>"0393312658"</f>
        <v>0393312658</v>
      </c>
      <c r="G514" s="1" t="str">
        <f>"9780393312652"</f>
        <v>9780393312652</v>
      </c>
      <c r="H514" s="1">
        <v>0.0</v>
      </c>
      <c r="I514" s="1">
        <v>4.16</v>
      </c>
      <c r="J514" s="1" t="s">
        <v>2467</v>
      </c>
      <c r="K514" s="1" t="s">
        <v>44</v>
      </c>
      <c r="L514" s="1">
        <v>416.0</v>
      </c>
      <c r="M514" s="1">
        <v>1995.0</v>
      </c>
      <c r="N514" s="1">
        <v>1993.0</v>
      </c>
      <c r="P514" s="2">
        <v>44455.0</v>
      </c>
      <c r="Q514" s="1" t="s">
        <v>32</v>
      </c>
      <c r="R514" s="1" t="s">
        <v>2468</v>
      </c>
      <c r="S514" s="1" t="s">
        <v>32</v>
      </c>
      <c r="W514" s="1">
        <v>0.0</v>
      </c>
      <c r="X514" s="1">
        <v>0.0</v>
      </c>
    </row>
    <row r="515" spans="1:24" ht="15.75" customHeight="1">
      <c r="A515" s="1">
        <v>183033.0</v>
      </c>
      <c r="B515" s="1" t="s">
        <v>2469</v>
      </c>
      <c r="C515" s="1" t="s">
        <v>2470</v>
      </c>
      <c r="D515" s="1" t="s">
        <v>2471</v>
      </c>
      <c r="F515" s="1" t="str">
        <f>"0199283273"</f>
        <v>0199283273</v>
      </c>
      <c r="G515" s="1" t="str">
        <f>"9780199283279"</f>
        <v>9780199283279</v>
      </c>
      <c r="H515" s="1">
        <v>0.0</v>
      </c>
      <c r="I515" s="1">
        <v>4.13</v>
      </c>
      <c r="J515" s="1" t="s">
        <v>181</v>
      </c>
      <c r="K515" s="1" t="s">
        <v>44</v>
      </c>
      <c r="L515" s="1">
        <v>247.0</v>
      </c>
      <c r="M515" s="1">
        <v>2007.0</v>
      </c>
      <c r="N515" s="1">
        <v>2005.0</v>
      </c>
      <c r="P515" s="3">
        <v>45272.0</v>
      </c>
      <c r="Q515" s="1" t="s">
        <v>479</v>
      </c>
      <c r="R515" s="1" t="s">
        <v>2472</v>
      </c>
      <c r="S515" s="1" t="s">
        <v>32</v>
      </c>
      <c r="W515" s="1">
        <v>0.0</v>
      </c>
      <c r="X515" s="1">
        <v>0.0</v>
      </c>
    </row>
    <row r="516" spans="1:24" ht="15.75" customHeight="1">
      <c r="A516" s="1">
        <v>95833.0</v>
      </c>
      <c r="B516" s="1" t="s">
        <v>2473</v>
      </c>
      <c r="C516" s="1" t="s">
        <v>2474</v>
      </c>
      <c r="D516" s="1" t="s">
        <v>2475</v>
      </c>
      <c r="F516" s="1" t="str">
        <f>"0822207125"</f>
        <v>0822207125</v>
      </c>
      <c r="G516" s="1" t="str">
        <f>"9780822207122"</f>
        <v>9780822207122</v>
      </c>
      <c r="H516" s="1">
        <v>5.0</v>
      </c>
      <c r="I516" s="1">
        <v>3.93</v>
      </c>
      <c r="J516" s="1" t="s">
        <v>2476</v>
      </c>
      <c r="K516" s="1" t="s">
        <v>44</v>
      </c>
      <c r="L516" s="1">
        <v>72.0</v>
      </c>
      <c r="M516" s="1">
        <v>1998.0</v>
      </c>
      <c r="N516" s="1">
        <v>1988.0</v>
      </c>
      <c r="P516" s="2">
        <v>42843.0</v>
      </c>
      <c r="S516" s="1" t="s">
        <v>271</v>
      </c>
      <c r="W516" s="1">
        <v>1.0</v>
      </c>
      <c r="X516" s="1">
        <v>0.0</v>
      </c>
    </row>
    <row r="517" spans="1:24" ht="15.75" customHeight="1">
      <c r="A517" s="1">
        <v>74762.0</v>
      </c>
      <c r="B517" s="1" t="s">
        <v>2477</v>
      </c>
      <c r="C517" s="1" t="s">
        <v>2478</v>
      </c>
      <c r="D517" s="1" t="s">
        <v>2479</v>
      </c>
      <c r="F517" s="1" t="str">
        <f>"0198609493"</f>
        <v>0198609493</v>
      </c>
      <c r="G517" s="1" t="str">
        <f>"9780198609490"</f>
        <v>9780198609490</v>
      </c>
      <c r="H517" s="1">
        <v>0.0</v>
      </c>
      <c r="I517" s="1">
        <v>3.81</v>
      </c>
      <c r="J517" s="1" t="s">
        <v>181</v>
      </c>
      <c r="K517" s="1" t="s">
        <v>44</v>
      </c>
      <c r="L517" s="1">
        <v>606.0</v>
      </c>
      <c r="M517" s="1">
        <v>2004.0</v>
      </c>
      <c r="N517" s="1">
        <v>1978.0</v>
      </c>
      <c r="P517" s="2">
        <v>44444.0</v>
      </c>
      <c r="Q517" s="1" t="s">
        <v>32</v>
      </c>
      <c r="R517" s="1" t="s">
        <v>2480</v>
      </c>
      <c r="S517" s="1" t="s">
        <v>32</v>
      </c>
      <c r="W517" s="1">
        <v>0.0</v>
      </c>
      <c r="X517" s="1">
        <v>0.0</v>
      </c>
    </row>
    <row r="518" spans="1:24" ht="15.75" customHeight="1">
      <c r="A518" s="1">
        <v>3.4964946E7</v>
      </c>
      <c r="B518" s="1" t="s">
        <v>2481</v>
      </c>
      <c r="C518" s="1" t="s">
        <v>2482</v>
      </c>
      <c r="D518" s="1" t="s">
        <v>2483</v>
      </c>
      <c r="F518" s="1" t="str">
        <f>"1250154391"</f>
        <v>1250154391</v>
      </c>
      <c r="G518" s="1" t="str">
        <f>"9781250154392"</f>
        <v>9781250154392</v>
      </c>
      <c r="H518" s="1">
        <v>0.0</v>
      </c>
      <c r="I518" s="1">
        <v>3.8</v>
      </c>
      <c r="J518" s="1" t="s">
        <v>2484</v>
      </c>
      <c r="K518" s="1" t="s">
        <v>37</v>
      </c>
      <c r="L518" s="1">
        <v>240.0</v>
      </c>
      <c r="M518" s="1">
        <v>2018.0</v>
      </c>
      <c r="N518" s="1">
        <v>2018.0</v>
      </c>
      <c r="P518" s="2">
        <v>45173.0</v>
      </c>
      <c r="Q518" s="1" t="s">
        <v>32</v>
      </c>
      <c r="R518" s="1" t="s">
        <v>2485</v>
      </c>
      <c r="S518" s="1" t="s">
        <v>32</v>
      </c>
      <c r="W518" s="1">
        <v>0.0</v>
      </c>
      <c r="X518" s="1">
        <v>0.0</v>
      </c>
    </row>
    <row r="519" spans="1:24" ht="15.75" customHeight="1">
      <c r="A519" s="1">
        <v>1.8594486E7</v>
      </c>
      <c r="B519" s="1" t="s">
        <v>2486</v>
      </c>
      <c r="C519" s="1" t="s">
        <v>2487</v>
      </c>
      <c r="D519" s="1" t="s">
        <v>2488</v>
      </c>
      <c r="F519" s="1" t="str">
        <f>"1620407086"</f>
        <v>1620407086</v>
      </c>
      <c r="G519" s="1" t="str">
        <f>"9781620407080"</f>
        <v>9781620407080</v>
      </c>
      <c r="H519" s="1">
        <v>0.0</v>
      </c>
      <c r="I519" s="1">
        <v>3.96</v>
      </c>
      <c r="J519" s="1" t="s">
        <v>2489</v>
      </c>
      <c r="K519" s="1" t="s">
        <v>44</v>
      </c>
      <c r="L519" s="1">
        <v>272.0</v>
      </c>
      <c r="M519" s="1">
        <v>2014.0</v>
      </c>
      <c r="N519" s="1">
        <v>1993.0</v>
      </c>
      <c r="P519" s="2">
        <v>42041.0</v>
      </c>
      <c r="Q519" s="1" t="s">
        <v>818</v>
      </c>
      <c r="R519" s="1" t="s">
        <v>2490</v>
      </c>
      <c r="S519" s="1" t="s">
        <v>32</v>
      </c>
      <c r="W519" s="1">
        <v>0.0</v>
      </c>
      <c r="X519" s="1">
        <v>1.0</v>
      </c>
    </row>
    <row r="520" spans="1:24" ht="15.75" customHeight="1">
      <c r="A520" s="1">
        <v>1362746.0</v>
      </c>
      <c r="B520" s="1" t="s">
        <v>2491</v>
      </c>
      <c r="C520" s="1" t="s">
        <v>2492</v>
      </c>
      <c r="D520" s="1" t="s">
        <v>2493</v>
      </c>
      <c r="F520" s="1" t="str">
        <f>"0195111273"</f>
        <v>0195111273</v>
      </c>
      <c r="G520" s="1" t="str">
        <f>"9780195111279"</f>
        <v>9780195111279</v>
      </c>
      <c r="H520" s="1">
        <v>0.0</v>
      </c>
      <c r="I520" s="1">
        <v>3.99</v>
      </c>
      <c r="J520" s="1" t="s">
        <v>181</v>
      </c>
      <c r="K520" s="1" t="s">
        <v>44</v>
      </c>
      <c r="L520" s="1">
        <v>256.0</v>
      </c>
      <c r="M520" s="1">
        <v>1997.0</v>
      </c>
      <c r="N520" s="1">
        <v>1995.0</v>
      </c>
      <c r="P520" s="2">
        <v>43101.0</v>
      </c>
      <c r="Q520" s="1" t="s">
        <v>2494</v>
      </c>
      <c r="R520" s="1" t="s">
        <v>2495</v>
      </c>
      <c r="S520" s="1" t="s">
        <v>32</v>
      </c>
      <c r="W520" s="1">
        <v>0.0</v>
      </c>
      <c r="X520" s="1">
        <v>0.0</v>
      </c>
    </row>
    <row r="521" spans="1:24" ht="15.75" customHeight="1">
      <c r="A521" s="1">
        <v>1762665.0</v>
      </c>
      <c r="B521" s="1" t="s">
        <v>2496</v>
      </c>
      <c r="C521" s="1" t="s">
        <v>2492</v>
      </c>
      <c r="D521" s="1" t="s">
        <v>2493</v>
      </c>
      <c r="F521" s="1" t="str">
        <f>"0195093712"</f>
        <v>0195093712</v>
      </c>
      <c r="G521" s="1" t="str">
        <f>"9780195093711"</f>
        <v>9780195093711</v>
      </c>
      <c r="H521" s="1">
        <v>0.0</v>
      </c>
      <c r="I521" s="1">
        <v>3.99</v>
      </c>
      <c r="J521" s="1" t="s">
        <v>181</v>
      </c>
      <c r="K521" s="1" t="s">
        <v>37</v>
      </c>
      <c r="M521" s="1">
        <v>1995.0</v>
      </c>
      <c r="N521" s="1">
        <v>1995.0</v>
      </c>
      <c r="P521" s="2">
        <v>45113.0</v>
      </c>
      <c r="Q521" s="1" t="s">
        <v>2497</v>
      </c>
      <c r="R521" s="1" t="s">
        <v>2498</v>
      </c>
      <c r="S521" s="1" t="s">
        <v>32</v>
      </c>
      <c r="W521" s="1">
        <v>0.0</v>
      </c>
      <c r="X521" s="1">
        <v>1.0</v>
      </c>
    </row>
    <row r="522" spans="1:24" ht="15.75" customHeight="1">
      <c r="A522" s="1">
        <v>1643712.0</v>
      </c>
      <c r="B522" s="1" t="s">
        <v>2499</v>
      </c>
      <c r="C522" s="1" t="s">
        <v>2492</v>
      </c>
      <c r="D522" s="1" t="s">
        <v>2493</v>
      </c>
      <c r="F522" s="1" t="str">
        <f>"0226314472"</f>
        <v>0226314472</v>
      </c>
      <c r="G522" s="1" t="str">
        <f>"9780226314471"</f>
        <v>9780226314471</v>
      </c>
      <c r="H522" s="1">
        <v>0.0</v>
      </c>
      <c r="I522" s="1">
        <v>4.19</v>
      </c>
      <c r="J522" s="1" t="s">
        <v>78</v>
      </c>
      <c r="K522" s="1" t="s">
        <v>37</v>
      </c>
      <c r="L522" s="1">
        <v>208.0</v>
      </c>
      <c r="M522" s="1">
        <v>2002.0</v>
      </c>
      <c r="N522" s="1">
        <v>2002.0</v>
      </c>
      <c r="P522" s="3">
        <v>44192.0</v>
      </c>
      <c r="Q522" s="1" t="s">
        <v>1110</v>
      </c>
      <c r="R522" s="1" t="s">
        <v>2500</v>
      </c>
      <c r="S522" s="1" t="s">
        <v>32</v>
      </c>
      <c r="W522" s="1">
        <v>0.0</v>
      </c>
      <c r="X522" s="1">
        <v>0.0</v>
      </c>
    </row>
    <row r="523" spans="1:24" ht="15.75" customHeight="1">
      <c r="A523" s="1">
        <v>6460814.0</v>
      </c>
      <c r="B523" s="1" t="s">
        <v>2501</v>
      </c>
      <c r="C523" s="1" t="s">
        <v>2502</v>
      </c>
      <c r="D523" s="1" t="s">
        <v>2503</v>
      </c>
      <c r="F523" s="1" t="str">
        <f>"1741668379"</f>
        <v>1741668379</v>
      </c>
      <c r="G523" s="1" t="str">
        <f>"9781741668377"</f>
        <v>9781741668377</v>
      </c>
      <c r="H523" s="1">
        <v>0.0</v>
      </c>
      <c r="I523" s="1">
        <v>3.69</v>
      </c>
      <c r="J523" s="1" t="s">
        <v>772</v>
      </c>
      <c r="K523" s="1" t="s">
        <v>37</v>
      </c>
      <c r="L523" s="1">
        <v>224.0</v>
      </c>
      <c r="N523" s="1">
        <v>2009.0</v>
      </c>
      <c r="P523" s="2">
        <v>45115.0</v>
      </c>
      <c r="Q523" s="1" t="s">
        <v>32</v>
      </c>
      <c r="R523" s="1" t="s">
        <v>2504</v>
      </c>
      <c r="S523" s="1" t="s">
        <v>32</v>
      </c>
      <c r="W523" s="1">
        <v>0.0</v>
      </c>
      <c r="X523" s="1">
        <v>0.0</v>
      </c>
    </row>
    <row r="524" spans="1:24" ht="15.75" customHeight="1">
      <c r="A524" s="1">
        <v>51506.0</v>
      </c>
      <c r="B524" s="1" t="s">
        <v>2505</v>
      </c>
      <c r="C524" s="1" t="s">
        <v>2506</v>
      </c>
      <c r="D524" s="1" t="s">
        <v>2507</v>
      </c>
      <c r="E524" s="1" t="s">
        <v>2443</v>
      </c>
      <c r="F524" s="1" t="str">
        <f>"1564782115"</f>
        <v>1564782115</v>
      </c>
      <c r="G524" s="1" t="str">
        <f>"9781564782113"</f>
        <v>9781564782113</v>
      </c>
      <c r="H524" s="1">
        <v>0.0</v>
      </c>
      <c r="I524" s="1">
        <v>3.95</v>
      </c>
      <c r="J524" s="1" t="s">
        <v>2337</v>
      </c>
      <c r="K524" s="1" t="s">
        <v>44</v>
      </c>
      <c r="L524" s="1">
        <v>279.0</v>
      </c>
      <c r="M524" s="1">
        <v>2006.0</v>
      </c>
      <c r="N524" s="1">
        <v>1988.0</v>
      </c>
      <c r="P524" s="2">
        <v>42882.0</v>
      </c>
      <c r="Q524" s="1" t="s">
        <v>502</v>
      </c>
      <c r="R524" s="1" t="s">
        <v>2508</v>
      </c>
      <c r="S524" s="1" t="s">
        <v>32</v>
      </c>
      <c r="W524" s="1">
        <v>0.0</v>
      </c>
      <c r="X524" s="1">
        <v>0.0</v>
      </c>
    </row>
    <row r="525" spans="1:24" ht="15.75" customHeight="1">
      <c r="A525" s="1">
        <v>2.4499258E7</v>
      </c>
      <c r="B525" s="1" t="s">
        <v>2509</v>
      </c>
      <c r="C525" s="1" t="s">
        <v>2510</v>
      </c>
      <c r="D525" s="1" t="s">
        <v>2511</v>
      </c>
      <c r="E525" s="1" t="s">
        <v>2512</v>
      </c>
      <c r="F525" s="1" t="str">
        <f>"0812998685"</f>
        <v>0812998685</v>
      </c>
      <c r="G525" s="1" t="str">
        <f>"9780812998689"</f>
        <v>9780812998689</v>
      </c>
      <c r="H525" s="1">
        <v>0.0</v>
      </c>
      <c r="I525" s="1">
        <v>3.81</v>
      </c>
      <c r="J525" s="1" t="s">
        <v>1189</v>
      </c>
      <c r="K525" s="1" t="s">
        <v>37</v>
      </c>
      <c r="L525" s="1">
        <v>238.0</v>
      </c>
      <c r="M525" s="1">
        <v>2015.0</v>
      </c>
      <c r="N525" s="1">
        <v>2015.0</v>
      </c>
      <c r="P525" s="2">
        <v>42345.0</v>
      </c>
      <c r="Q525" s="1" t="s">
        <v>32</v>
      </c>
      <c r="R525" s="1" t="s">
        <v>2513</v>
      </c>
      <c r="S525" s="1" t="s">
        <v>32</v>
      </c>
      <c r="W525" s="1">
        <v>0.0</v>
      </c>
      <c r="X525" s="1">
        <v>0.0</v>
      </c>
    </row>
    <row r="526" spans="1:24" ht="15.75" customHeight="1">
      <c r="A526" s="1">
        <v>8014963.0</v>
      </c>
      <c r="B526" s="1" t="s">
        <v>2514</v>
      </c>
      <c r="C526" s="1" t="s">
        <v>2515</v>
      </c>
      <c r="D526" s="1" t="s">
        <v>2516</v>
      </c>
      <c r="F526" s="1" t="str">
        <f>"2940411042"</f>
        <v>2940411042</v>
      </c>
      <c r="G526" s="1" t="str">
        <f>"9782940411047"</f>
        <v>9782940411047</v>
      </c>
      <c r="H526" s="1">
        <v>0.0</v>
      </c>
      <c r="I526" s="1">
        <v>3.79</v>
      </c>
      <c r="J526" s="1" t="s">
        <v>280</v>
      </c>
      <c r="K526" s="1" t="s">
        <v>44</v>
      </c>
      <c r="L526" s="1">
        <v>288.0</v>
      </c>
      <c r="M526" s="1">
        <v>2010.0</v>
      </c>
      <c r="N526" s="1">
        <v>2009.0</v>
      </c>
      <c r="P526" s="2">
        <v>44814.0</v>
      </c>
      <c r="Q526" s="1" t="s">
        <v>1017</v>
      </c>
      <c r="R526" s="1" t="s">
        <v>2517</v>
      </c>
      <c r="S526" s="1" t="s">
        <v>32</v>
      </c>
      <c r="W526" s="1">
        <v>0.0</v>
      </c>
      <c r="X526" s="1">
        <v>1.0</v>
      </c>
    </row>
    <row r="527" spans="1:24" ht="15.75" customHeight="1">
      <c r="A527" s="1">
        <v>1153009.0</v>
      </c>
      <c r="B527" s="1" t="s">
        <v>2518</v>
      </c>
      <c r="C527" s="1" t="s">
        <v>2515</v>
      </c>
      <c r="D527" s="1" t="s">
        <v>2516</v>
      </c>
      <c r="F527" s="1" t="str">
        <f>"2940373043"</f>
        <v>2940373043</v>
      </c>
      <c r="G527" s="1" t="str">
        <f>"9782940373048"</f>
        <v>9782940373048</v>
      </c>
      <c r="H527" s="1">
        <v>0.0</v>
      </c>
      <c r="I527" s="1">
        <v>3.88</v>
      </c>
      <c r="J527" s="1" t="s">
        <v>2519</v>
      </c>
      <c r="K527" s="1" t="s">
        <v>44</v>
      </c>
      <c r="L527" s="1">
        <v>176.0</v>
      </c>
      <c r="M527" s="1">
        <v>2006.0</v>
      </c>
      <c r="N527" s="1">
        <v>2006.0</v>
      </c>
      <c r="P527" s="2">
        <v>44814.0</v>
      </c>
      <c r="Q527" s="1" t="s">
        <v>1017</v>
      </c>
      <c r="R527" s="1" t="s">
        <v>2520</v>
      </c>
      <c r="S527" s="1" t="s">
        <v>32</v>
      </c>
      <c r="W527" s="1">
        <v>0.0</v>
      </c>
      <c r="X527" s="1">
        <v>1.0</v>
      </c>
    </row>
    <row r="528" spans="1:24" ht="15.75" customHeight="1">
      <c r="A528" s="1">
        <v>90697.0</v>
      </c>
      <c r="B528" s="1" t="s">
        <v>2521</v>
      </c>
      <c r="C528" s="1" t="s">
        <v>2522</v>
      </c>
      <c r="D528" s="1" t="s">
        <v>2523</v>
      </c>
      <c r="E528" s="1" t="s">
        <v>2524</v>
      </c>
      <c r="F528" s="1" t="str">
        <f>"0300088655"</f>
        <v>0300088655</v>
      </c>
      <c r="G528" s="1" t="str">
        <f>"9780300088656"</f>
        <v>9780300088656</v>
      </c>
      <c r="H528" s="1">
        <v>0.0</v>
      </c>
      <c r="I528" s="1">
        <v>3.8</v>
      </c>
      <c r="J528" s="1" t="s">
        <v>962</v>
      </c>
      <c r="K528" s="1" t="s">
        <v>44</v>
      </c>
      <c r="L528" s="1">
        <v>307.0</v>
      </c>
      <c r="M528" s="1">
        <v>2001.0</v>
      </c>
      <c r="N528" s="1">
        <v>1950.0</v>
      </c>
      <c r="P528" s="2">
        <v>44171.0</v>
      </c>
      <c r="Q528" s="1" t="s">
        <v>32</v>
      </c>
      <c r="R528" s="1" t="s">
        <v>2525</v>
      </c>
      <c r="S528" s="1" t="s">
        <v>32</v>
      </c>
      <c r="W528" s="1">
        <v>0.0</v>
      </c>
      <c r="X528" s="1">
        <v>0.0</v>
      </c>
    </row>
    <row r="529" spans="1:24" ht="15.75" customHeight="1">
      <c r="A529" s="1">
        <v>8559595.0</v>
      </c>
      <c r="B529" s="1" t="s">
        <v>2526</v>
      </c>
      <c r="C529" s="1" t="s">
        <v>2527</v>
      </c>
      <c r="D529" s="1" t="s">
        <v>2528</v>
      </c>
      <c r="F529" s="1" t="str">
        <f>"1555975739"</f>
        <v>1555975739</v>
      </c>
      <c r="G529" s="1" t="str">
        <f>"9781555975739"</f>
        <v>9781555975739</v>
      </c>
      <c r="H529" s="1">
        <v>0.0</v>
      </c>
      <c r="I529" s="1">
        <v>3.83</v>
      </c>
      <c r="J529" s="1" t="s">
        <v>337</v>
      </c>
      <c r="K529" s="1" t="s">
        <v>44</v>
      </c>
      <c r="L529" s="1">
        <v>96.0</v>
      </c>
      <c r="M529" s="1">
        <v>2010.0</v>
      </c>
      <c r="N529" s="1">
        <v>2010.0</v>
      </c>
      <c r="P529" s="2">
        <v>42559.0</v>
      </c>
      <c r="Q529" s="1" t="s">
        <v>449</v>
      </c>
      <c r="R529" s="1" t="s">
        <v>2529</v>
      </c>
      <c r="S529" s="1" t="s">
        <v>32</v>
      </c>
      <c r="W529" s="1">
        <v>0.0</v>
      </c>
      <c r="X529" s="1">
        <v>1.0</v>
      </c>
    </row>
    <row r="530" spans="1:24" ht="15.75" customHeight="1">
      <c r="A530" s="1">
        <v>226162.0</v>
      </c>
      <c r="B530" s="1" t="s">
        <v>2530</v>
      </c>
      <c r="C530" s="1" t="s">
        <v>2531</v>
      </c>
      <c r="D530" s="1" t="s">
        <v>2532</v>
      </c>
      <c r="F530" s="1" t="str">
        <f>"0451219422"</f>
        <v>0451219422</v>
      </c>
      <c r="G530" s="1" t="str">
        <f>"9780451219428"</f>
        <v>9780451219428</v>
      </c>
      <c r="H530" s="1">
        <v>0.0</v>
      </c>
      <c r="I530" s="1">
        <v>4.04</v>
      </c>
      <c r="J530" s="1" t="s">
        <v>1234</v>
      </c>
      <c r="K530" s="1" t="s">
        <v>44</v>
      </c>
      <c r="L530" s="1">
        <v>272.0</v>
      </c>
      <c r="M530" s="1">
        <v>2006.0</v>
      </c>
      <c r="N530" s="1">
        <v>1976.0</v>
      </c>
      <c r="P530" s="2">
        <v>45161.0</v>
      </c>
      <c r="Q530" s="1" t="s">
        <v>818</v>
      </c>
      <c r="R530" s="1" t="s">
        <v>2533</v>
      </c>
      <c r="S530" s="1" t="s">
        <v>32</v>
      </c>
      <c r="W530" s="1">
        <v>0.0</v>
      </c>
      <c r="X530" s="1">
        <v>1.0</v>
      </c>
    </row>
    <row r="531" spans="1:24" ht="15.75" customHeight="1">
      <c r="A531" s="1">
        <v>5.9204169E7</v>
      </c>
      <c r="B531" s="1" t="s">
        <v>2534</v>
      </c>
      <c r="C531" s="1" t="s">
        <v>2535</v>
      </c>
      <c r="D531" s="1" t="s">
        <v>2536</v>
      </c>
      <c r="F531" s="1" t="str">
        <f>"1681376431"</f>
        <v>1681376431</v>
      </c>
      <c r="G531" s="1" t="str">
        <f>"9781681376431"</f>
        <v>9781681376431</v>
      </c>
      <c r="H531" s="1">
        <v>0.0</v>
      </c>
      <c r="I531" s="1">
        <v>3.73</v>
      </c>
      <c r="J531" s="1" t="s">
        <v>2537</v>
      </c>
      <c r="K531" s="1" t="s">
        <v>420</v>
      </c>
      <c r="M531" s="1">
        <v>2022.0</v>
      </c>
      <c r="N531" s="1">
        <v>2022.0</v>
      </c>
      <c r="P531" s="2">
        <v>45102.0</v>
      </c>
      <c r="Q531" s="1" t="s">
        <v>55</v>
      </c>
      <c r="R531" s="1" t="s">
        <v>2538</v>
      </c>
      <c r="S531" s="1" t="s">
        <v>32</v>
      </c>
      <c r="W531" s="1">
        <v>0.0</v>
      </c>
      <c r="X531" s="1">
        <v>0.0</v>
      </c>
    </row>
    <row r="532" spans="1:24" ht="15.75" customHeight="1">
      <c r="A532" s="1">
        <v>2.3493803E7</v>
      </c>
      <c r="B532" s="1" t="s">
        <v>2539</v>
      </c>
      <c r="C532" s="1" t="s">
        <v>2535</v>
      </c>
      <c r="D532" s="1" t="s">
        <v>2536</v>
      </c>
      <c r="E532" s="1" t="s">
        <v>2540</v>
      </c>
      <c r="F532" s="1" t="str">
        <f>"1940450640"</f>
        <v>1940450640</v>
      </c>
      <c r="G532" s="1" t="str">
        <f>"9781940450643"</f>
        <v>9781940450643</v>
      </c>
      <c r="H532" s="1">
        <v>4.0</v>
      </c>
      <c r="I532" s="1">
        <v>3.41</v>
      </c>
      <c r="J532" s="1" t="s">
        <v>2541</v>
      </c>
      <c r="K532" s="1" t="s">
        <v>44</v>
      </c>
      <c r="L532" s="1">
        <v>160.0</v>
      </c>
      <c r="M532" s="1">
        <v>2015.0</v>
      </c>
      <c r="N532" s="1">
        <v>2015.0</v>
      </c>
      <c r="O532" s="2">
        <v>42631.0</v>
      </c>
      <c r="P532" s="2">
        <v>42627.0</v>
      </c>
      <c r="Q532" s="1">
        <v>0.0</v>
      </c>
      <c r="R532" s="1" t="s">
        <v>2542</v>
      </c>
      <c r="S532" s="1" t="s">
        <v>271</v>
      </c>
      <c r="T532" s="1" t="s">
        <v>2543</v>
      </c>
      <c r="W532" s="1">
        <v>1.0</v>
      </c>
      <c r="X532" s="1">
        <v>1.0</v>
      </c>
    </row>
    <row r="533" spans="1:24" ht="15.75" customHeight="1">
      <c r="A533" s="1">
        <v>5.0092815E7</v>
      </c>
      <c r="B533" s="1" t="s">
        <v>2539</v>
      </c>
      <c r="C533" s="1" t="s">
        <v>2535</v>
      </c>
      <c r="D533" s="1" t="s">
        <v>2536</v>
      </c>
      <c r="E533" s="1" t="s">
        <v>2540</v>
      </c>
      <c r="F533" s="1" t="str">
        <f>"1940450810"</f>
        <v>1940450810</v>
      </c>
      <c r="G533" s="1" t="str">
        <f>"9781940450810"</f>
        <v>9781940450810</v>
      </c>
      <c r="H533" s="1">
        <v>0.0</v>
      </c>
      <c r="I533" s="1">
        <v>3.41</v>
      </c>
      <c r="J533" s="1" t="s">
        <v>2541</v>
      </c>
      <c r="K533" s="1" t="s">
        <v>29</v>
      </c>
      <c r="L533" s="1">
        <v>160.0</v>
      </c>
      <c r="M533" s="1">
        <v>2015.0</v>
      </c>
      <c r="N533" s="1">
        <v>2015.0</v>
      </c>
      <c r="P533" s="2">
        <v>45113.0</v>
      </c>
      <c r="Q533" s="1" t="s">
        <v>32</v>
      </c>
      <c r="R533" s="1" t="s">
        <v>2544</v>
      </c>
      <c r="S533" s="1" t="s">
        <v>32</v>
      </c>
      <c r="W533" s="1">
        <v>0.0</v>
      </c>
      <c r="X533" s="1">
        <v>0.0</v>
      </c>
    </row>
    <row r="534" spans="1:24" ht="15.75" customHeight="1">
      <c r="A534" s="1">
        <v>171833.0</v>
      </c>
      <c r="B534" s="1" t="s">
        <v>2545</v>
      </c>
      <c r="C534" s="1" t="s">
        <v>2546</v>
      </c>
      <c r="D534" s="1" t="s">
        <v>2547</v>
      </c>
      <c r="F534" s="1" t="str">
        <f>"0380018896"</f>
        <v>0380018896</v>
      </c>
      <c r="G534" s="1" t="str">
        <f>"9780380018895"</f>
        <v>9780380018895</v>
      </c>
      <c r="H534" s="1">
        <v>0.0</v>
      </c>
      <c r="I534" s="1">
        <v>3.51</v>
      </c>
      <c r="J534" s="1" t="s">
        <v>2548</v>
      </c>
      <c r="K534" s="1" t="s">
        <v>44</v>
      </c>
      <c r="L534" s="1">
        <v>597.0</v>
      </c>
      <c r="M534" s="1">
        <v>1978.0</v>
      </c>
      <c r="N534" s="1">
        <v>1976.0</v>
      </c>
      <c r="P534" s="2">
        <v>45111.0</v>
      </c>
      <c r="Q534" s="1" t="s">
        <v>261</v>
      </c>
      <c r="R534" s="1" t="s">
        <v>2549</v>
      </c>
      <c r="S534" s="1" t="s">
        <v>32</v>
      </c>
      <c r="W534" s="1">
        <v>0.0</v>
      </c>
      <c r="X534" s="1">
        <v>0.0</v>
      </c>
    </row>
    <row r="535" spans="1:24" ht="15.75" customHeight="1">
      <c r="A535" s="1">
        <v>306391.0</v>
      </c>
      <c r="B535" s="1" t="s">
        <v>2550</v>
      </c>
      <c r="C535" s="1" t="s">
        <v>2551</v>
      </c>
      <c r="D535" s="1" t="s">
        <v>2552</v>
      </c>
      <c r="F535" s="1" t="str">
        <f>"1400031648"</f>
        <v>1400031648</v>
      </c>
      <c r="G535" s="1" t="str">
        <f>"9781400031641"</f>
        <v>9781400031641</v>
      </c>
      <c r="H535" s="1">
        <v>0.0</v>
      </c>
      <c r="I535" s="1">
        <v>3.42</v>
      </c>
      <c r="J535" s="1" t="s">
        <v>287</v>
      </c>
      <c r="K535" s="1" t="s">
        <v>44</v>
      </c>
      <c r="L535" s="1">
        <v>272.0</v>
      </c>
      <c r="M535" s="1">
        <v>2005.0</v>
      </c>
      <c r="N535" s="1">
        <v>2004.0</v>
      </c>
      <c r="P535" s="2">
        <v>45145.0</v>
      </c>
      <c r="Q535" s="1" t="s">
        <v>2553</v>
      </c>
      <c r="R535" s="1" t="s">
        <v>2554</v>
      </c>
      <c r="S535" s="1" t="s">
        <v>32</v>
      </c>
      <c r="W535" s="1">
        <v>0.0</v>
      </c>
      <c r="X535" s="1">
        <v>0.0</v>
      </c>
    </row>
    <row r="536" spans="1:24" ht="15.75" customHeight="1">
      <c r="A536" s="1">
        <v>3.9948648E7</v>
      </c>
      <c r="B536" s="1" t="s">
        <v>2555</v>
      </c>
      <c r="C536" s="1" t="s">
        <v>2556</v>
      </c>
      <c r="D536" s="1" t="s">
        <v>2557</v>
      </c>
      <c r="F536" s="1" t="str">
        <f t="shared" si="33" ref="F536:G536">""</f>
        <v/>
      </c>
      <c r="G536" s="1" t="str">
        <f t="shared" si="33"/>
        <v/>
      </c>
      <c r="H536" s="1">
        <v>0.0</v>
      </c>
      <c r="I536" s="1">
        <v>4.31</v>
      </c>
      <c r="J536" s="1" t="s">
        <v>28</v>
      </c>
      <c r="K536" s="1" t="s">
        <v>29</v>
      </c>
      <c r="L536" s="1">
        <v>62.0</v>
      </c>
      <c r="M536" s="1">
        <v>2014.0</v>
      </c>
      <c r="N536" s="1">
        <v>1992.0</v>
      </c>
      <c r="P536" s="2">
        <v>44254.0</v>
      </c>
      <c r="Q536" s="1" t="s">
        <v>109</v>
      </c>
      <c r="R536" s="1" t="s">
        <v>2558</v>
      </c>
      <c r="S536" s="1" t="s">
        <v>32</v>
      </c>
      <c r="W536" s="1">
        <v>0.0</v>
      </c>
      <c r="X536" s="1">
        <v>0.0</v>
      </c>
    </row>
    <row r="537" spans="1:24" ht="15.75" customHeight="1">
      <c r="A537" s="1">
        <v>303941.0</v>
      </c>
      <c r="B537" s="1" t="s">
        <v>2559</v>
      </c>
      <c r="C537" s="1" t="s">
        <v>2556</v>
      </c>
      <c r="D537" s="1" t="s">
        <v>2557</v>
      </c>
      <c r="E537" s="1" t="s">
        <v>2560</v>
      </c>
      <c r="F537" s="1" t="str">
        <f>"0802136710"</f>
        <v>0802136710</v>
      </c>
      <c r="G537" s="1" t="str">
        <f>"9780802136718"</f>
        <v>9780802136718</v>
      </c>
      <c r="H537" s="1">
        <v>0.0</v>
      </c>
      <c r="I537" s="1">
        <v>4.37</v>
      </c>
      <c r="J537" s="1" t="s">
        <v>663</v>
      </c>
      <c r="K537" s="1" t="s">
        <v>44</v>
      </c>
      <c r="L537" s="1">
        <v>287.0</v>
      </c>
      <c r="M537" s="1">
        <v>2000.0</v>
      </c>
      <c r="N537" s="1">
        <v>1998.0</v>
      </c>
      <c r="P537" s="2">
        <v>43287.0</v>
      </c>
      <c r="Q537" s="1" t="s">
        <v>109</v>
      </c>
      <c r="R537" s="1" t="s">
        <v>2561</v>
      </c>
      <c r="S537" s="1" t="s">
        <v>32</v>
      </c>
      <c r="W537" s="1">
        <v>0.0</v>
      </c>
      <c r="X537" s="1">
        <v>0.0</v>
      </c>
    </row>
    <row r="538" spans="1:24" ht="15.75" customHeight="1">
      <c r="A538" s="1">
        <v>3.6481692E7</v>
      </c>
      <c r="B538" s="1" t="s">
        <v>2562</v>
      </c>
      <c r="C538" s="1" t="s">
        <v>2556</v>
      </c>
      <c r="D538" s="1" t="s">
        <v>2557</v>
      </c>
      <c r="E538" s="1" t="s">
        <v>2563</v>
      </c>
      <c r="F538" s="1" t="str">
        <f>"1635900174"</f>
        <v>1635900174</v>
      </c>
      <c r="G538" s="1" t="str">
        <f>"9781635900170"</f>
        <v>9781635900170</v>
      </c>
      <c r="H538" s="1">
        <v>0.0</v>
      </c>
      <c r="I538" s="1">
        <v>4.31</v>
      </c>
      <c r="J538" s="1" t="s">
        <v>2564</v>
      </c>
      <c r="K538" s="1" t="s">
        <v>44</v>
      </c>
      <c r="L538" s="1">
        <v>181.0</v>
      </c>
      <c r="M538" s="1">
        <v>2018.0</v>
      </c>
      <c r="N538" s="1">
        <v>2018.0</v>
      </c>
      <c r="P538" s="2">
        <v>44249.0</v>
      </c>
      <c r="Q538" s="1" t="s">
        <v>32</v>
      </c>
      <c r="R538" s="1" t="s">
        <v>2565</v>
      </c>
      <c r="S538" s="1" t="s">
        <v>32</v>
      </c>
      <c r="W538" s="1">
        <v>0.0</v>
      </c>
      <c r="X538" s="1">
        <v>0.0</v>
      </c>
    </row>
    <row r="539" spans="1:24" ht="15.75" customHeight="1">
      <c r="A539" s="1">
        <v>2.2756935E7</v>
      </c>
      <c r="B539" s="1" t="s">
        <v>2566</v>
      </c>
      <c r="C539" s="1" t="s">
        <v>2567</v>
      </c>
      <c r="D539" s="1" t="s">
        <v>2568</v>
      </c>
      <c r="F539" s="1" t="str">
        <f t="shared" si="34" ref="F539:G539">""</f>
        <v/>
      </c>
      <c r="G539" s="1" t="str">
        <f t="shared" si="34"/>
        <v/>
      </c>
      <c r="H539" s="1">
        <v>0.0</v>
      </c>
      <c r="I539" s="1">
        <v>3.89</v>
      </c>
      <c r="J539" s="1" t="s">
        <v>558</v>
      </c>
      <c r="K539" s="1" t="s">
        <v>29</v>
      </c>
      <c r="L539" s="1">
        <v>784.0</v>
      </c>
      <c r="M539" s="1">
        <v>2015.0</v>
      </c>
      <c r="N539" s="1">
        <v>2015.0</v>
      </c>
      <c r="P539" s="2">
        <v>45172.0</v>
      </c>
      <c r="Q539" s="1" t="s">
        <v>32</v>
      </c>
      <c r="R539" s="1" t="s">
        <v>2569</v>
      </c>
      <c r="S539" s="1" t="s">
        <v>32</v>
      </c>
      <c r="W539" s="1">
        <v>0.0</v>
      </c>
      <c r="X539" s="1">
        <v>0.0</v>
      </c>
    </row>
    <row r="540" spans="1:24" ht="15.75" customHeight="1">
      <c r="A540" s="1">
        <v>148305.0</v>
      </c>
      <c r="B540" s="1" t="s">
        <v>2570</v>
      </c>
      <c r="C540" s="1" t="s">
        <v>2571</v>
      </c>
      <c r="D540" s="1" t="s">
        <v>2572</v>
      </c>
      <c r="E540" s="1" t="s">
        <v>2573</v>
      </c>
      <c r="F540" s="1" t="str">
        <f>"0671478052"</f>
        <v>0671478052</v>
      </c>
      <c r="G540" s="1" t="str">
        <f>"9780671478056"</f>
        <v>9780671478056</v>
      </c>
      <c r="H540" s="1">
        <v>0.0</v>
      </c>
      <c r="I540" s="1">
        <v>4.01</v>
      </c>
      <c r="J540" s="1" t="s">
        <v>1419</v>
      </c>
      <c r="K540" s="1" t="s">
        <v>44</v>
      </c>
      <c r="L540" s="1">
        <v>170.0</v>
      </c>
      <c r="M540" s="1">
        <v>1967.0</v>
      </c>
      <c r="N540" s="1">
        <v>-458.0</v>
      </c>
      <c r="P540" s="2">
        <v>45113.0</v>
      </c>
      <c r="Q540" s="1" t="s">
        <v>855</v>
      </c>
      <c r="R540" s="1" t="s">
        <v>2574</v>
      </c>
      <c r="S540" s="1" t="s">
        <v>32</v>
      </c>
      <c r="W540" s="1">
        <v>0.0</v>
      </c>
      <c r="X540" s="1">
        <v>0.0</v>
      </c>
    </row>
    <row r="541" spans="1:24" ht="15.75" customHeight="1">
      <c r="A541" s="1">
        <v>3570080.0</v>
      </c>
      <c r="B541" s="1" t="s">
        <v>2575</v>
      </c>
      <c r="C541" s="1" t="s">
        <v>2576</v>
      </c>
      <c r="D541" s="1" t="s">
        <v>2577</v>
      </c>
      <c r="F541" s="1" t="str">
        <f>"0945257287"</f>
        <v>0945257287</v>
      </c>
      <c r="G541" s="1" t="str">
        <f>"9780945257288"</f>
        <v>9780945257288</v>
      </c>
      <c r="H541" s="1">
        <v>0.0</v>
      </c>
      <c r="I541" s="1">
        <v>4.25</v>
      </c>
      <c r="J541" s="1" t="s">
        <v>2578</v>
      </c>
      <c r="K541" s="1" t="s">
        <v>44</v>
      </c>
      <c r="L541" s="1">
        <v>115.0</v>
      </c>
      <c r="M541" s="1">
        <v>1990.0</v>
      </c>
      <c r="N541" s="1">
        <v>1990.0</v>
      </c>
      <c r="P541" s="3">
        <v>45271.0</v>
      </c>
      <c r="Q541" s="1" t="s">
        <v>479</v>
      </c>
      <c r="R541" s="1" t="s">
        <v>2579</v>
      </c>
      <c r="S541" s="1" t="s">
        <v>32</v>
      </c>
      <c r="W541" s="1">
        <v>0.0</v>
      </c>
      <c r="X541" s="1">
        <v>0.0</v>
      </c>
    </row>
    <row r="542" spans="1:24" ht="15.75" customHeight="1">
      <c r="A542" s="1">
        <v>3.1939307E7</v>
      </c>
      <c r="B542" s="1" t="s">
        <v>2580</v>
      </c>
      <c r="C542" s="1" t="s">
        <v>2581</v>
      </c>
      <c r="D542" s="1" t="s">
        <v>2582</v>
      </c>
      <c r="F542" s="1" t="str">
        <f>"022645780X"</f>
        <v>022645780X</v>
      </c>
      <c r="G542" s="1" t="str">
        <f>"9780226457802"</f>
        <v>9780226457802</v>
      </c>
      <c r="H542" s="1">
        <v>0.0</v>
      </c>
      <c r="I542" s="1">
        <v>3.95</v>
      </c>
      <c r="J542" s="1" t="s">
        <v>78</v>
      </c>
      <c r="K542" s="1" t="s">
        <v>44</v>
      </c>
      <c r="L542" s="1">
        <v>224.0</v>
      </c>
      <c r="M542" s="1">
        <v>2017.0</v>
      </c>
      <c r="N542" s="1">
        <v>2017.0</v>
      </c>
      <c r="P542" s="3">
        <v>44192.0</v>
      </c>
      <c r="Q542" s="1" t="s">
        <v>32</v>
      </c>
      <c r="R542" s="1" t="s">
        <v>2583</v>
      </c>
      <c r="S542" s="1" t="s">
        <v>32</v>
      </c>
      <c r="W542" s="1">
        <v>0.0</v>
      </c>
      <c r="X542" s="1">
        <v>0.0</v>
      </c>
    </row>
    <row r="543" spans="1:24" ht="15.75" customHeight="1">
      <c r="A543" s="1">
        <v>19507.0</v>
      </c>
      <c r="B543" s="1" t="s">
        <v>2584</v>
      </c>
      <c r="C543" s="1" t="s">
        <v>2585</v>
      </c>
      <c r="D543" s="1" t="s">
        <v>2586</v>
      </c>
      <c r="F543" s="1" t="str">
        <f>"0465042872"</f>
        <v>0465042872</v>
      </c>
      <c r="G543" s="1" t="str">
        <f>"9780465042876"</f>
        <v>9780465042876</v>
      </c>
      <c r="H543" s="1">
        <v>0.0</v>
      </c>
      <c r="I543" s="1">
        <v>4.26</v>
      </c>
      <c r="J543" s="1" t="s">
        <v>1536</v>
      </c>
      <c r="K543" s="1" t="s">
        <v>44</v>
      </c>
      <c r="L543" s="1">
        <v>288.0</v>
      </c>
      <c r="M543" s="1">
        <v>2003.0</v>
      </c>
      <c r="N543" s="1">
        <v>2002.0</v>
      </c>
      <c r="P543" s="2">
        <v>45173.0</v>
      </c>
      <c r="Q543" s="1" t="s">
        <v>32</v>
      </c>
      <c r="R543" s="1" t="s">
        <v>2587</v>
      </c>
      <c r="S543" s="1" t="s">
        <v>32</v>
      </c>
      <c r="W543" s="1">
        <v>0.0</v>
      </c>
      <c r="X543" s="1">
        <v>0.0</v>
      </c>
    </row>
    <row r="544" spans="1:24" ht="15.75" customHeight="1">
      <c r="A544" s="1">
        <v>1027539.0</v>
      </c>
      <c r="B544" s="1" t="s">
        <v>2588</v>
      </c>
      <c r="C544" s="1" t="s">
        <v>2589</v>
      </c>
      <c r="D544" s="1" t="s">
        <v>2590</v>
      </c>
      <c r="F544" s="1" t="str">
        <f>"0738202789"</f>
        <v>0738202789</v>
      </c>
      <c r="G544" s="1" t="str">
        <f>"9780738202785"</f>
        <v>9780738202785</v>
      </c>
      <c r="H544" s="1">
        <v>0.0</v>
      </c>
      <c r="I544" s="1">
        <v>4.25</v>
      </c>
      <c r="J544" s="1" t="s">
        <v>1536</v>
      </c>
      <c r="K544" s="1" t="s">
        <v>37</v>
      </c>
      <c r="L544" s="1">
        <v>320.0</v>
      </c>
      <c r="M544" s="1">
        <v>2002.0</v>
      </c>
      <c r="N544" s="1">
        <v>2002.0</v>
      </c>
      <c r="P544" s="2">
        <v>45176.0</v>
      </c>
      <c r="Q544" s="1" t="s">
        <v>1064</v>
      </c>
      <c r="R544" s="1" t="s">
        <v>2591</v>
      </c>
      <c r="S544" s="1" t="s">
        <v>32</v>
      </c>
      <c r="W544" s="1">
        <v>0.0</v>
      </c>
      <c r="X544" s="1">
        <v>0.0</v>
      </c>
    </row>
    <row r="545" spans="1:24" ht="15.75" customHeight="1">
      <c r="A545" s="1">
        <v>3.6820477E7</v>
      </c>
      <c r="B545" s="1" t="s">
        <v>2592</v>
      </c>
      <c r="C545" s="1" t="s">
        <v>2593</v>
      </c>
      <c r="D545" s="1" t="s">
        <v>2594</v>
      </c>
      <c r="F545" s="1" t="str">
        <f>"163557191X"</f>
        <v>163557191X</v>
      </c>
      <c r="G545" s="1" t="str">
        <f>"9781635571912"</f>
        <v>9781635571912</v>
      </c>
      <c r="H545" s="1">
        <v>0.0</v>
      </c>
      <c r="I545" s="1">
        <v>4.18</v>
      </c>
      <c r="J545" s="1" t="s">
        <v>2595</v>
      </c>
      <c r="K545" s="1" t="s">
        <v>37</v>
      </c>
      <c r="L545" s="1">
        <v>144.0</v>
      </c>
      <c r="M545" s="1">
        <v>2018.0</v>
      </c>
      <c r="N545" s="1">
        <v>2018.0</v>
      </c>
      <c r="P545" s="2">
        <v>45170.0</v>
      </c>
      <c r="Q545" s="1" t="s">
        <v>32</v>
      </c>
      <c r="R545" s="1" t="s">
        <v>2596</v>
      </c>
      <c r="S545" s="1" t="s">
        <v>32</v>
      </c>
      <c r="W545" s="1">
        <v>0.0</v>
      </c>
      <c r="X545" s="1">
        <v>0.0</v>
      </c>
    </row>
    <row r="546" spans="1:24" ht="15.75" customHeight="1">
      <c r="A546" s="1">
        <v>1.1700333E7</v>
      </c>
      <c r="B546" s="1" t="s">
        <v>2597</v>
      </c>
      <c r="C546" s="1" t="s">
        <v>2593</v>
      </c>
      <c r="D546" s="1" t="s">
        <v>2594</v>
      </c>
      <c r="F546" s="1" t="str">
        <f>"1908276029"</f>
        <v>1908276029</v>
      </c>
      <c r="G546" s="1" t="str">
        <f>"9781908276025"</f>
        <v>9781908276025</v>
      </c>
      <c r="H546" s="1">
        <v>0.0</v>
      </c>
      <c r="I546" s="1">
        <v>3.41</v>
      </c>
      <c r="J546" s="1" t="s">
        <v>2598</v>
      </c>
      <c r="K546" s="1" t="s">
        <v>44</v>
      </c>
      <c r="L546" s="1">
        <v>165.0</v>
      </c>
      <c r="M546" s="1">
        <v>2011.0</v>
      </c>
      <c r="N546" s="1">
        <v>2011.0</v>
      </c>
      <c r="P546" s="2">
        <v>43935.0</v>
      </c>
      <c r="Q546" s="1" t="s">
        <v>32</v>
      </c>
      <c r="R546" s="1" t="s">
        <v>2599</v>
      </c>
      <c r="S546" s="1" t="s">
        <v>32</v>
      </c>
      <c r="W546" s="1">
        <v>0.0</v>
      </c>
      <c r="X546" s="1">
        <v>0.0</v>
      </c>
    </row>
    <row r="547" spans="1:24" ht="15.75" customHeight="1">
      <c r="A547" s="1">
        <v>3.1539512E7</v>
      </c>
      <c r="B547" s="1" t="s">
        <v>2600</v>
      </c>
      <c r="C547" s="1" t="s">
        <v>2601</v>
      </c>
      <c r="D547" s="1" t="s">
        <v>2602</v>
      </c>
      <c r="E547" s="1" t="s">
        <v>2603</v>
      </c>
      <c r="F547" s="1" t="str">
        <f>"1506337406"</f>
        <v>1506337406</v>
      </c>
      <c r="G547" s="1" t="str">
        <f>"9781506337401"</f>
        <v>9781506337401</v>
      </c>
      <c r="H547" s="1">
        <v>0.0</v>
      </c>
      <c r="I547" s="1">
        <v>3.71</v>
      </c>
      <c r="J547" s="1" t="s">
        <v>2604</v>
      </c>
      <c r="K547" s="1" t="s">
        <v>44</v>
      </c>
      <c r="L547" s="1">
        <v>464.0</v>
      </c>
      <c r="M547" s="1">
        <v>2017.0</v>
      </c>
      <c r="N547" s="1">
        <v>2008.0</v>
      </c>
      <c r="P547" s="2">
        <v>45113.0</v>
      </c>
      <c r="Q547" s="1" t="s">
        <v>1110</v>
      </c>
      <c r="R547" s="1" t="s">
        <v>2605</v>
      </c>
      <c r="S547" s="1" t="s">
        <v>32</v>
      </c>
      <c r="W547" s="1">
        <v>0.0</v>
      </c>
      <c r="X547" s="1">
        <v>0.0</v>
      </c>
    </row>
    <row r="548" spans="1:24" ht="15.75" customHeight="1">
      <c r="A548" s="1">
        <v>8545225.0</v>
      </c>
      <c r="B548" s="1" t="s">
        <v>2606</v>
      </c>
      <c r="C548" s="1" t="s">
        <v>2607</v>
      </c>
      <c r="D548" s="1" t="s">
        <v>2608</v>
      </c>
      <c r="F548" s="1" t="str">
        <f>"0374532877"</f>
        <v>0374532877</v>
      </c>
      <c r="G548" s="1" t="str">
        <f>"9780374532871"</f>
        <v>9780374532871</v>
      </c>
      <c r="H548" s="1">
        <v>0.0</v>
      </c>
      <c r="I548" s="1">
        <v>3.75</v>
      </c>
      <c r="J548" s="1" t="s">
        <v>438</v>
      </c>
      <c r="K548" s="1" t="s">
        <v>44</v>
      </c>
      <c r="L548" s="1">
        <v>431.0</v>
      </c>
      <c r="M548" s="1">
        <v>2010.0</v>
      </c>
      <c r="N548" s="1">
        <v>2010.0</v>
      </c>
      <c r="O548" s="2">
        <v>42864.0</v>
      </c>
      <c r="P548" s="2">
        <v>42557.0</v>
      </c>
      <c r="Q548" s="1" t="s">
        <v>2609</v>
      </c>
      <c r="R548" s="1" t="s">
        <v>2610</v>
      </c>
      <c r="S548" s="1" t="s">
        <v>271</v>
      </c>
      <c r="W548" s="1">
        <v>1.0</v>
      </c>
      <c r="X548" s="1">
        <v>1.0</v>
      </c>
    </row>
    <row r="549" spans="1:24" ht="15.75" customHeight="1">
      <c r="A549" s="1">
        <v>6509046.0</v>
      </c>
      <c r="B549" s="1" t="s">
        <v>2611</v>
      </c>
      <c r="C549" s="1" t="s">
        <v>2612</v>
      </c>
      <c r="D549" s="1" t="s">
        <v>2613</v>
      </c>
      <c r="F549" s="1" t="str">
        <f>"0571242545"</f>
        <v>0571242545</v>
      </c>
      <c r="G549" s="1" t="str">
        <f>"9780571242542"</f>
        <v>9780571242542</v>
      </c>
      <c r="H549" s="1">
        <v>0.0</v>
      </c>
      <c r="I549" s="1">
        <v>3.85</v>
      </c>
      <c r="J549" s="1" t="s">
        <v>454</v>
      </c>
      <c r="K549" s="1" t="s">
        <v>44</v>
      </c>
      <c r="L549" s="1">
        <v>399.0</v>
      </c>
      <c r="M549" s="1">
        <v>2010.0</v>
      </c>
      <c r="N549" s="1">
        <v>2009.0</v>
      </c>
      <c r="P549" s="2">
        <v>45173.0</v>
      </c>
      <c r="Q549" s="1" t="s">
        <v>32</v>
      </c>
      <c r="R549" s="1" t="s">
        <v>2614</v>
      </c>
      <c r="S549" s="1" t="s">
        <v>32</v>
      </c>
      <c r="W549" s="1">
        <v>0.0</v>
      </c>
      <c r="X549" s="1">
        <v>0.0</v>
      </c>
    </row>
    <row r="550" spans="1:24" ht="15.75" customHeight="1">
      <c r="A550" s="1">
        <v>3.5135343E7</v>
      </c>
      <c r="B550" s="1" t="s">
        <v>2615</v>
      </c>
      <c r="C550" s="1" t="s">
        <v>2616</v>
      </c>
      <c r="D550" s="1" t="s">
        <v>2617</v>
      </c>
      <c r="F550" s="1" t="str">
        <f>"0812988639"</f>
        <v>0812988639</v>
      </c>
      <c r="G550" s="1" t="str">
        <f>"9780812988635"</f>
        <v>9780812988635</v>
      </c>
      <c r="H550" s="1">
        <v>0.0</v>
      </c>
      <c r="I550" s="1">
        <v>3.93</v>
      </c>
      <c r="J550" s="1" t="s">
        <v>1189</v>
      </c>
      <c r="K550" s="1" t="s">
        <v>37</v>
      </c>
      <c r="L550" s="1">
        <v>207.0</v>
      </c>
      <c r="M550" s="1">
        <v>2018.0</v>
      </c>
      <c r="N550" s="1">
        <v>2018.0</v>
      </c>
      <c r="P550" s="2">
        <v>44416.0</v>
      </c>
      <c r="Q550" s="1" t="s">
        <v>127</v>
      </c>
      <c r="R550" s="1" t="s">
        <v>2618</v>
      </c>
      <c r="S550" s="1" t="s">
        <v>32</v>
      </c>
      <c r="W550" s="1">
        <v>0.0</v>
      </c>
      <c r="X550" s="1">
        <v>0.0</v>
      </c>
    </row>
    <row r="551" spans="1:24" ht="15.75" customHeight="1">
      <c r="A551" s="1">
        <v>9903.0</v>
      </c>
      <c r="B551" s="1" t="s">
        <v>2619</v>
      </c>
      <c r="C551" s="1" t="s">
        <v>2616</v>
      </c>
      <c r="D551" s="1" t="s">
        <v>2617</v>
      </c>
      <c r="F551" s="1" t="str">
        <f>"0099440830"</f>
        <v>0099440830</v>
      </c>
      <c r="G551" s="1" t="str">
        <f>"9780099440833"</f>
        <v>9780099440833</v>
      </c>
      <c r="H551" s="1">
        <v>0.0</v>
      </c>
      <c r="I551" s="1">
        <v>3.96</v>
      </c>
      <c r="J551" s="1" t="s">
        <v>1189</v>
      </c>
      <c r="K551" s="1" t="s">
        <v>44</v>
      </c>
      <c r="L551" s="1">
        <v>209.0</v>
      </c>
      <c r="M551" s="1">
        <v>2003.0</v>
      </c>
      <c r="N551" s="1">
        <v>1977.0</v>
      </c>
      <c r="P551" s="2">
        <v>45105.0</v>
      </c>
      <c r="Q551" s="1" t="s">
        <v>502</v>
      </c>
      <c r="R551" s="1" t="s">
        <v>2620</v>
      </c>
      <c r="S551" s="1" t="s">
        <v>32</v>
      </c>
      <c r="W551" s="1">
        <v>0.0</v>
      </c>
      <c r="X551" s="1">
        <v>0.0</v>
      </c>
    </row>
    <row r="552" spans="1:24" ht="15.75" customHeight="1">
      <c r="A552" s="1">
        <v>2021041.0</v>
      </c>
      <c r="B552" s="1" t="s">
        <v>2621</v>
      </c>
      <c r="C552" s="1" t="s">
        <v>2616</v>
      </c>
      <c r="D552" s="1" t="s">
        <v>2617</v>
      </c>
      <c r="F552" s="1" t="str">
        <f>"0140165223"</f>
        <v>0140165223</v>
      </c>
      <c r="G552" s="1" t="str">
        <f>"9780140165227"</f>
        <v>9780140165227</v>
      </c>
      <c r="H552" s="1">
        <v>0.0</v>
      </c>
      <c r="I552" s="1">
        <v>3.7</v>
      </c>
      <c r="J552" s="1" t="s">
        <v>309</v>
      </c>
      <c r="K552" s="1" t="s">
        <v>44</v>
      </c>
      <c r="L552" s="1">
        <v>257.0</v>
      </c>
      <c r="M552" s="1">
        <v>1992.0</v>
      </c>
      <c r="N552" s="1">
        <v>1990.0</v>
      </c>
      <c r="P552" s="2">
        <v>45105.0</v>
      </c>
      <c r="Q552" s="1" t="s">
        <v>32</v>
      </c>
      <c r="R552" s="1" t="s">
        <v>2622</v>
      </c>
      <c r="S552" s="1" t="s">
        <v>32</v>
      </c>
      <c r="W552" s="1">
        <v>0.0</v>
      </c>
      <c r="X552" s="1">
        <v>0.0</v>
      </c>
    </row>
    <row r="553" spans="1:24" ht="15.75" customHeight="1">
      <c r="A553" s="1">
        <v>1.1079798E7</v>
      </c>
      <c r="B553" s="1" t="s">
        <v>2623</v>
      </c>
      <c r="C553" s="1" t="s">
        <v>2624</v>
      </c>
      <c r="D553" s="1" t="s">
        <v>2625</v>
      </c>
      <c r="F553" s="1" t="str">
        <f t="shared" si="35" ref="F553:G553">""</f>
        <v/>
      </c>
      <c r="G553" s="1" t="str">
        <f t="shared" si="35"/>
        <v/>
      </c>
      <c r="H553" s="1">
        <v>0.0</v>
      </c>
      <c r="I553" s="1">
        <v>4.17</v>
      </c>
      <c r="J553" s="1" t="s">
        <v>2626</v>
      </c>
      <c r="K553" s="1" t="s">
        <v>44</v>
      </c>
      <c r="M553" s="1">
        <v>1959.0</v>
      </c>
      <c r="N553" s="1">
        <v>1959.0</v>
      </c>
      <c r="P553" s="2">
        <v>44814.0</v>
      </c>
      <c r="Q553" s="1" t="s">
        <v>115</v>
      </c>
      <c r="R553" s="1" t="s">
        <v>2627</v>
      </c>
      <c r="S553" s="1" t="s">
        <v>32</v>
      </c>
      <c r="W553" s="1">
        <v>0.0</v>
      </c>
      <c r="X553" s="1">
        <v>1.0</v>
      </c>
    </row>
    <row r="554" spans="1:24" ht="15.75" customHeight="1">
      <c r="A554" s="1">
        <v>1.28409437E8</v>
      </c>
      <c r="B554" s="1" t="s">
        <v>2623</v>
      </c>
      <c r="C554" s="1" t="s">
        <v>2624</v>
      </c>
      <c r="D554" s="1" t="s">
        <v>2625</v>
      </c>
      <c r="F554" s="1" t="str">
        <f t="shared" si="36" ref="F554:G554">""</f>
        <v/>
      </c>
      <c r="G554" s="1" t="str">
        <f t="shared" si="36"/>
        <v/>
      </c>
      <c r="H554" s="1">
        <v>0.0</v>
      </c>
      <c r="I554" s="1">
        <v>4.17</v>
      </c>
      <c r="J554" s="1" t="s">
        <v>2628</v>
      </c>
      <c r="K554" s="1" t="s">
        <v>44</v>
      </c>
      <c r="L554" s="1">
        <v>0.0</v>
      </c>
      <c r="M554" s="1">
        <v>1961.0</v>
      </c>
      <c r="N554" s="1">
        <v>1959.0</v>
      </c>
      <c r="P554" s="2">
        <v>45113.0</v>
      </c>
      <c r="Q554" s="1" t="s">
        <v>32</v>
      </c>
      <c r="R554" s="1" t="s">
        <v>2629</v>
      </c>
      <c r="S554" s="1" t="s">
        <v>32</v>
      </c>
      <c r="W554" s="1">
        <v>0.0</v>
      </c>
      <c r="X554" s="1">
        <v>0.0</v>
      </c>
    </row>
    <row r="555" spans="1:24" ht="15.75" customHeight="1">
      <c r="A555" s="1">
        <v>398337.0</v>
      </c>
      <c r="B555" s="1" t="s">
        <v>2630</v>
      </c>
      <c r="C555" s="1" t="s">
        <v>2631</v>
      </c>
      <c r="D555" s="1" t="s">
        <v>2632</v>
      </c>
      <c r="E555" s="1" t="s">
        <v>2633</v>
      </c>
      <c r="F555" s="1" t="str">
        <f>"1904634176"</f>
        <v>1904634176</v>
      </c>
      <c r="G555" s="1" t="str">
        <f>"9781904634171"</f>
        <v>9781904634171</v>
      </c>
      <c r="H555" s="1">
        <v>0.0</v>
      </c>
      <c r="I555" s="1">
        <v>4.13</v>
      </c>
      <c r="J555" s="1" t="s">
        <v>2634</v>
      </c>
      <c r="K555" s="1" t="s">
        <v>37</v>
      </c>
      <c r="L555" s="1">
        <v>144.0</v>
      </c>
      <c r="M555" s="1">
        <v>2005.0</v>
      </c>
      <c r="N555" s="1">
        <v>1945.0</v>
      </c>
      <c r="P555" s="2">
        <v>43952.0</v>
      </c>
      <c r="Q555" s="1" t="s">
        <v>32</v>
      </c>
      <c r="R555" s="1" t="s">
        <v>2635</v>
      </c>
      <c r="S555" s="1" t="s">
        <v>32</v>
      </c>
      <c r="W555" s="1">
        <v>0.0</v>
      </c>
      <c r="X555" s="1">
        <v>0.0</v>
      </c>
    </row>
    <row r="556" spans="1:24" ht="15.75" customHeight="1">
      <c r="A556" s="1">
        <v>1.6115297E7</v>
      </c>
      <c r="B556" s="1" t="s">
        <v>2636</v>
      </c>
      <c r="C556" s="1" t="s">
        <v>2637</v>
      </c>
      <c r="D556" s="1" t="s">
        <v>2638</v>
      </c>
      <c r="F556" s="1" t="str">
        <f>"8492865571"</f>
        <v>8492865571</v>
      </c>
      <c r="G556" s="1" t="str">
        <f>"9788492865574"</f>
        <v>9788492865574</v>
      </c>
      <c r="H556" s="1">
        <v>0.0</v>
      </c>
      <c r="I556" s="1">
        <v>3.72</v>
      </c>
      <c r="J556" s="1" t="s">
        <v>2639</v>
      </c>
      <c r="K556" s="1" t="s">
        <v>44</v>
      </c>
      <c r="L556" s="1">
        <v>216.0</v>
      </c>
      <c r="M556" s="1">
        <v>2013.0</v>
      </c>
      <c r="N556" s="1">
        <v>2007.0</v>
      </c>
      <c r="P556" s="2">
        <v>44094.0</v>
      </c>
      <c r="Q556" s="1" t="s">
        <v>32</v>
      </c>
      <c r="R556" s="1" t="s">
        <v>2640</v>
      </c>
      <c r="S556" s="1" t="s">
        <v>32</v>
      </c>
      <c r="W556" s="1">
        <v>0.0</v>
      </c>
      <c r="X556" s="1">
        <v>0.0</v>
      </c>
    </row>
    <row r="557" spans="1:24" ht="15.75" customHeight="1">
      <c r="A557" s="1">
        <v>278398.0</v>
      </c>
      <c r="B557" s="1" t="s">
        <v>2641</v>
      </c>
      <c r="C557" s="1" t="s">
        <v>2642</v>
      </c>
      <c r="D557" s="1" t="s">
        <v>2643</v>
      </c>
      <c r="F557" s="1" t="str">
        <f>"0822318687"</f>
        <v>0822318687</v>
      </c>
      <c r="G557" s="1" t="str">
        <f>"9780822318682"</f>
        <v>9780822318682</v>
      </c>
      <c r="H557" s="1">
        <v>0.0</v>
      </c>
      <c r="I557" s="1">
        <v>4.18</v>
      </c>
      <c r="J557" s="1" t="s">
        <v>1341</v>
      </c>
      <c r="K557" s="1" t="s">
        <v>44</v>
      </c>
      <c r="L557" s="1">
        <v>328.0</v>
      </c>
      <c r="M557" s="1">
        <v>1997.0</v>
      </c>
      <c r="N557" s="1">
        <v>1997.0</v>
      </c>
      <c r="P557" s="3">
        <v>45271.0</v>
      </c>
      <c r="Q557" s="1" t="s">
        <v>2129</v>
      </c>
      <c r="R557" s="1" t="s">
        <v>2644</v>
      </c>
      <c r="S557" s="1" t="s">
        <v>32</v>
      </c>
      <c r="W557" s="1">
        <v>0.0</v>
      </c>
      <c r="X557" s="1">
        <v>0.0</v>
      </c>
    </row>
    <row r="558" spans="1:24" ht="15.75" customHeight="1">
      <c r="A558" s="1">
        <v>1.58942E7</v>
      </c>
      <c r="B558" s="1" t="s">
        <v>2645</v>
      </c>
      <c r="C558" s="1" t="s">
        <v>2646</v>
      </c>
      <c r="D558" s="1" t="s">
        <v>2647</v>
      </c>
      <c r="E558" s="1" t="s">
        <v>2648</v>
      </c>
      <c r="F558" s="1" t="str">
        <f>"1597111759"</f>
        <v>1597111759</v>
      </c>
      <c r="G558" s="1" t="str">
        <f>"9781597111751"</f>
        <v>9781597111751</v>
      </c>
      <c r="H558" s="1">
        <v>0.0</v>
      </c>
      <c r="I558" s="1">
        <v>4.04</v>
      </c>
      <c r="J558" s="1" t="s">
        <v>2649</v>
      </c>
      <c r="K558" s="1" t="s">
        <v>44</v>
      </c>
      <c r="L558" s="1">
        <v>184.0</v>
      </c>
      <c r="M558" s="1">
        <v>2012.0</v>
      </c>
      <c r="N558" s="1">
        <v>1972.0</v>
      </c>
      <c r="P558" s="2">
        <v>44018.0</v>
      </c>
      <c r="Q558" s="1" t="s">
        <v>952</v>
      </c>
      <c r="R558" s="1" t="s">
        <v>2650</v>
      </c>
      <c r="S558" s="1" t="s">
        <v>32</v>
      </c>
      <c r="W558" s="1">
        <v>0.0</v>
      </c>
      <c r="X558" s="1">
        <v>0.0</v>
      </c>
    </row>
    <row r="559" spans="1:24" ht="15.75" customHeight="1">
      <c r="A559" s="1">
        <v>134359.0</v>
      </c>
      <c r="B559" s="1" t="s">
        <v>2651</v>
      </c>
      <c r="C559" s="1" t="s">
        <v>2646</v>
      </c>
      <c r="D559" s="1" t="s">
        <v>2647</v>
      </c>
      <c r="F559" s="1" t="str">
        <f>"0375506209"</f>
        <v>0375506209</v>
      </c>
      <c r="G559" s="1" t="str">
        <f>"9780375506208"</f>
        <v>9780375506208</v>
      </c>
      <c r="H559" s="1">
        <v>0.0</v>
      </c>
      <c r="I559" s="1">
        <v>4.27</v>
      </c>
      <c r="J559" s="1" t="s">
        <v>1189</v>
      </c>
      <c r="K559" s="1" t="s">
        <v>37</v>
      </c>
      <c r="L559" s="1">
        <v>352.0</v>
      </c>
      <c r="M559" s="1">
        <v>2003.0</v>
      </c>
      <c r="N559" s="1">
        <v>2003.0</v>
      </c>
      <c r="P559" s="2">
        <v>44065.0</v>
      </c>
      <c r="Q559" s="1" t="s">
        <v>952</v>
      </c>
      <c r="R559" s="1" t="s">
        <v>2652</v>
      </c>
      <c r="S559" s="1" t="s">
        <v>32</v>
      </c>
      <c r="W559" s="1">
        <v>0.0</v>
      </c>
      <c r="X559" s="1">
        <v>0.0</v>
      </c>
    </row>
    <row r="560" spans="1:24" ht="15.75" customHeight="1">
      <c r="A560" s="1">
        <v>5.3317415E7</v>
      </c>
      <c r="B560" s="1" t="s">
        <v>2653</v>
      </c>
      <c r="C560" s="1" t="s">
        <v>2654</v>
      </c>
      <c r="D560" s="1" t="s">
        <v>2655</v>
      </c>
      <c r="F560" s="1" t="str">
        <f>"1644450453"</f>
        <v>1644450453</v>
      </c>
      <c r="G560" s="1" t="str">
        <f>"9781644450451"</f>
        <v>9781644450451</v>
      </c>
      <c r="H560" s="1">
        <v>0.0</v>
      </c>
      <c r="I560" s="1">
        <v>4.5</v>
      </c>
      <c r="J560" s="1" t="s">
        <v>2656</v>
      </c>
      <c r="K560" s="1" t="s">
        <v>44</v>
      </c>
      <c r="L560" s="1">
        <v>137.0</v>
      </c>
      <c r="M560" s="1">
        <v>2020.0</v>
      </c>
      <c r="N560" s="1">
        <v>2021.0</v>
      </c>
      <c r="P560" s="2">
        <v>44340.0</v>
      </c>
      <c r="Q560" s="1" t="s">
        <v>32</v>
      </c>
      <c r="R560" s="1" t="s">
        <v>2657</v>
      </c>
      <c r="S560" s="1" t="s">
        <v>32</v>
      </c>
      <c r="W560" s="1">
        <v>0.0</v>
      </c>
      <c r="X560" s="1">
        <v>0.0</v>
      </c>
    </row>
    <row r="561" spans="1:24" ht="15.75" customHeight="1">
      <c r="A561" s="1">
        <v>3.9717947E7</v>
      </c>
      <c r="B561" s="1" t="s">
        <v>2658</v>
      </c>
      <c r="C561" s="1" t="s">
        <v>2659</v>
      </c>
      <c r="D561" s="1" t="s">
        <v>2660</v>
      </c>
      <c r="E561" s="1" t="s">
        <v>2661</v>
      </c>
      <c r="F561" s="1" t="str">
        <f>"1616959835"</f>
        <v>1616959835</v>
      </c>
      <c r="G561" s="1" t="str">
        <f>"9781616959838"</f>
        <v>9781616959838</v>
      </c>
      <c r="H561" s="1">
        <v>0.0</v>
      </c>
      <c r="I561" s="1">
        <v>3.86</v>
      </c>
      <c r="J561" s="1" t="s">
        <v>2223</v>
      </c>
      <c r="K561" s="1" t="s">
        <v>29</v>
      </c>
      <c r="L561" s="1">
        <v>785.0</v>
      </c>
      <c r="M561" s="1">
        <v>2018.0</v>
      </c>
      <c r="N561" s="1">
        <v>2018.0</v>
      </c>
      <c r="P561" s="2">
        <v>44310.0</v>
      </c>
      <c r="Q561" s="1" t="s">
        <v>127</v>
      </c>
      <c r="R561" s="1" t="s">
        <v>2662</v>
      </c>
      <c r="S561" s="1" t="s">
        <v>32</v>
      </c>
      <c r="W561" s="1">
        <v>0.0</v>
      </c>
      <c r="X561" s="1">
        <v>0.0</v>
      </c>
    </row>
    <row r="562" spans="1:24" ht="15.75" customHeight="1">
      <c r="A562" s="1">
        <v>4.9124686E7</v>
      </c>
      <c r="B562" s="1" t="s">
        <v>2663</v>
      </c>
      <c r="C562" s="1" t="s">
        <v>2664</v>
      </c>
      <c r="D562" s="1" t="s">
        <v>2665</v>
      </c>
      <c r="F562" s="1" t="str">
        <f>"1609386914"</f>
        <v>1609386914</v>
      </c>
      <c r="G562" s="1" t="str">
        <f>"9781609386917"</f>
        <v>9781609386917</v>
      </c>
      <c r="H562" s="1">
        <v>0.0</v>
      </c>
      <c r="I562" s="1">
        <v>4.34</v>
      </c>
      <c r="J562" s="1" t="s">
        <v>2666</v>
      </c>
      <c r="K562" s="1" t="s">
        <v>44</v>
      </c>
      <c r="L562" s="1">
        <v>320.0</v>
      </c>
      <c r="M562" s="1">
        <v>2020.0</v>
      </c>
      <c r="N562" s="1">
        <v>2020.0</v>
      </c>
      <c r="P562" s="2">
        <v>44019.0</v>
      </c>
      <c r="Q562" s="1" t="s">
        <v>32</v>
      </c>
      <c r="R562" s="1" t="s">
        <v>2667</v>
      </c>
      <c r="S562" s="1" t="s">
        <v>32</v>
      </c>
      <c r="W562" s="1">
        <v>0.0</v>
      </c>
      <c r="X562" s="1">
        <v>0.0</v>
      </c>
    </row>
    <row r="563" spans="1:24" ht="15.75" customHeight="1">
      <c r="A563" s="1">
        <v>285813.0</v>
      </c>
      <c r="B563" s="1" t="s">
        <v>2668</v>
      </c>
      <c r="C563" s="1" t="s">
        <v>2669</v>
      </c>
      <c r="D563" s="1" t="s">
        <v>2670</v>
      </c>
      <c r="E563" s="1" t="s">
        <v>2671</v>
      </c>
      <c r="F563" s="1" t="str">
        <f>"0822333716"</f>
        <v>0822333716</v>
      </c>
      <c r="G563" s="1" t="str">
        <f>"9780822333715"</f>
        <v>9780822333715</v>
      </c>
      <c r="H563" s="1">
        <v>0.0</v>
      </c>
      <c r="I563" s="1">
        <v>4.12</v>
      </c>
      <c r="J563" s="1" t="s">
        <v>1341</v>
      </c>
      <c r="K563" s="1" t="s">
        <v>44</v>
      </c>
      <c r="L563" s="1">
        <v>480.0</v>
      </c>
      <c r="M563" s="1">
        <v>2004.0</v>
      </c>
      <c r="N563" s="1">
        <v>1999.0</v>
      </c>
      <c r="P563" s="3">
        <v>43020.0</v>
      </c>
      <c r="Q563" s="1" t="s">
        <v>32</v>
      </c>
      <c r="R563" s="1" t="s">
        <v>2672</v>
      </c>
      <c r="S563" s="1" t="s">
        <v>32</v>
      </c>
      <c r="W563" s="1">
        <v>0.0</v>
      </c>
      <c r="X563" s="1">
        <v>0.0</v>
      </c>
    </row>
    <row r="564" spans="1:24" ht="15.75" customHeight="1">
      <c r="A564" s="1">
        <v>2.3551596E7</v>
      </c>
      <c r="B564" s="1" t="s">
        <v>2673</v>
      </c>
      <c r="C564" s="1" t="s">
        <v>2674</v>
      </c>
      <c r="D564" s="1" t="s">
        <v>2675</v>
      </c>
      <c r="F564" s="1" t="str">
        <f>"3865272347"</f>
        <v>3865272347</v>
      </c>
      <c r="G564" s="1" t="str">
        <f>"9783865272348"</f>
        <v>9783865272348</v>
      </c>
      <c r="H564" s="1">
        <v>0.0</v>
      </c>
      <c r="I564" s="1">
        <v>3.33</v>
      </c>
      <c r="J564" s="1" t="s">
        <v>2676</v>
      </c>
      <c r="K564" s="1" t="s">
        <v>44</v>
      </c>
      <c r="L564" s="1">
        <v>310.0</v>
      </c>
      <c r="M564" s="1">
        <v>2006.0</v>
      </c>
      <c r="N564" s="1">
        <v>2006.0</v>
      </c>
      <c r="P564" s="2">
        <v>43976.0</v>
      </c>
      <c r="Q564" s="1" t="s">
        <v>32</v>
      </c>
      <c r="R564" s="1" t="s">
        <v>2677</v>
      </c>
      <c r="S564" s="1" t="s">
        <v>32</v>
      </c>
      <c r="W564" s="1">
        <v>0.0</v>
      </c>
      <c r="X564" s="1">
        <v>0.0</v>
      </c>
    </row>
    <row r="565" spans="1:24" ht="15.75" customHeight="1">
      <c r="A565" s="1">
        <v>1.22286486E8</v>
      </c>
      <c r="B565" s="1" t="s">
        <v>2678</v>
      </c>
      <c r="C565" s="1" t="s">
        <v>2679</v>
      </c>
      <c r="D565" s="1" t="s">
        <v>2680</v>
      </c>
      <c r="E565" s="1" t="s">
        <v>2681</v>
      </c>
      <c r="F565" s="1" t="str">
        <f t="shared" si="37" ref="F565:G565">""</f>
        <v/>
      </c>
      <c r="G565" s="1" t="str">
        <f t="shared" si="37"/>
        <v/>
      </c>
      <c r="H565" s="1">
        <v>0.0</v>
      </c>
      <c r="I565" s="1">
        <v>3.84</v>
      </c>
      <c r="J565" s="1" t="s">
        <v>204</v>
      </c>
      <c r="K565" s="1" t="s">
        <v>29</v>
      </c>
      <c r="L565" s="1">
        <v>247.0</v>
      </c>
      <c r="M565" s="1">
        <v>2023.0</v>
      </c>
      <c r="N565" s="1">
        <v>1963.0</v>
      </c>
      <c r="P565" s="2">
        <v>45102.0</v>
      </c>
      <c r="Q565" s="1" t="s">
        <v>502</v>
      </c>
      <c r="R565" s="1" t="s">
        <v>2682</v>
      </c>
      <c r="S565" s="1" t="s">
        <v>32</v>
      </c>
      <c r="W565" s="1">
        <v>0.0</v>
      </c>
      <c r="X565" s="1">
        <v>0.0</v>
      </c>
    </row>
    <row r="566" spans="1:24" ht="15.75" customHeight="1">
      <c r="A566" s="1">
        <v>83017.0</v>
      </c>
      <c r="B566" s="1" t="s">
        <v>2683</v>
      </c>
      <c r="C566" s="1" t="s">
        <v>2679</v>
      </c>
      <c r="D566" s="1" t="s">
        <v>2680</v>
      </c>
      <c r="E566" s="1" t="s">
        <v>2684</v>
      </c>
      <c r="F566" s="1" t="str">
        <f>"1567923046"</f>
        <v>1567923046</v>
      </c>
      <c r="G566" s="1" t="str">
        <f>"9781567923049"</f>
        <v>9781567923049</v>
      </c>
      <c r="H566" s="1">
        <v>0.0</v>
      </c>
      <c r="I566" s="1">
        <v>4.2</v>
      </c>
      <c r="J566" s="1" t="s">
        <v>2685</v>
      </c>
      <c r="K566" s="1" t="s">
        <v>44</v>
      </c>
      <c r="L566" s="1">
        <v>198.0</v>
      </c>
      <c r="M566" s="1">
        <v>2005.0</v>
      </c>
      <c r="N566" s="1">
        <v>1940.0</v>
      </c>
      <c r="P566" s="2">
        <v>45167.0</v>
      </c>
      <c r="Q566" s="1" t="s">
        <v>32</v>
      </c>
      <c r="R566" s="1" t="s">
        <v>2686</v>
      </c>
      <c r="S566" s="1" t="s">
        <v>32</v>
      </c>
      <c r="W566" s="1">
        <v>0.0</v>
      </c>
      <c r="X566" s="1">
        <v>0.0</v>
      </c>
    </row>
    <row r="567" spans="1:24" ht="15.75" customHeight="1">
      <c r="A567" s="1">
        <v>4.5487462E7</v>
      </c>
      <c r="B567" s="1" t="s">
        <v>2687</v>
      </c>
      <c r="C567" s="1" t="s">
        <v>2688</v>
      </c>
      <c r="D567" s="1" t="s">
        <v>2689</v>
      </c>
      <c r="F567" s="1" t="str">
        <f>"9874063653"</f>
        <v>9874063653</v>
      </c>
      <c r="G567" s="1" t="str">
        <f>"9789874063656"</f>
        <v>9789874063656</v>
      </c>
      <c r="H567" s="1">
        <v>0.0</v>
      </c>
      <c r="I567" s="1">
        <v>3.62</v>
      </c>
      <c r="J567" s="1" t="s">
        <v>2690</v>
      </c>
      <c r="K567" s="1" t="s">
        <v>44</v>
      </c>
      <c r="L567" s="1">
        <v>176.0</v>
      </c>
      <c r="M567" s="1">
        <v>2019.0</v>
      </c>
      <c r="N567" s="1">
        <v>2019.0</v>
      </c>
      <c r="P567" s="2">
        <v>43949.0</v>
      </c>
      <c r="Q567" s="1" t="s">
        <v>32</v>
      </c>
      <c r="R567" s="1" t="s">
        <v>2691</v>
      </c>
      <c r="S567" s="1" t="s">
        <v>32</v>
      </c>
      <c r="W567" s="1">
        <v>0.0</v>
      </c>
      <c r="X567" s="1">
        <v>0.0</v>
      </c>
    </row>
    <row r="568" spans="1:24" ht="15.75" customHeight="1">
      <c r="A568" s="1">
        <v>269735.0</v>
      </c>
      <c r="B568" s="1" t="s">
        <v>2692</v>
      </c>
      <c r="C568" s="1" t="s">
        <v>2693</v>
      </c>
      <c r="D568" s="1" t="s">
        <v>2694</v>
      </c>
      <c r="F568" s="1" t="str">
        <f>"0140436774"</f>
        <v>0140436774</v>
      </c>
      <c r="G568" s="1" t="str">
        <f>"9780140436778"</f>
        <v>9780140436778</v>
      </c>
      <c r="H568" s="1">
        <v>0.0</v>
      </c>
      <c r="I568" s="1">
        <v>3.48</v>
      </c>
      <c r="J568" s="1" t="s">
        <v>1023</v>
      </c>
      <c r="K568" s="1" t="s">
        <v>44</v>
      </c>
      <c r="L568" s="1">
        <v>288.0</v>
      </c>
      <c r="M568" s="1">
        <v>1998.0</v>
      </c>
      <c r="N568" s="1">
        <v>1845.0</v>
      </c>
      <c r="P568" s="2">
        <v>45147.0</v>
      </c>
      <c r="Q568" s="1" t="s">
        <v>32</v>
      </c>
      <c r="R568" s="1" t="s">
        <v>2695</v>
      </c>
      <c r="S568" s="1" t="s">
        <v>32</v>
      </c>
      <c r="W568" s="1">
        <v>0.0</v>
      </c>
      <c r="X568" s="1">
        <v>0.0</v>
      </c>
    </row>
    <row r="569" spans="1:24" ht="15.75" customHeight="1">
      <c r="A569" s="1">
        <v>418702.0</v>
      </c>
      <c r="B569" s="1" t="s">
        <v>2696</v>
      </c>
      <c r="C569" s="1" t="s">
        <v>2697</v>
      </c>
      <c r="D569" s="1" t="s">
        <v>2698</v>
      </c>
      <c r="E569" s="1" t="s">
        <v>2699</v>
      </c>
      <c r="F569" s="1" t="str">
        <f>"0262621606"</f>
        <v>0262621606</v>
      </c>
      <c r="G569" s="1" t="str">
        <f>"9780262621601"</f>
        <v>9780262621601</v>
      </c>
      <c r="H569" s="1">
        <v>0.0</v>
      </c>
      <c r="I569" s="1">
        <v>3.49</v>
      </c>
      <c r="J569" s="1" t="s">
        <v>2291</v>
      </c>
      <c r="K569" s="1" t="s">
        <v>44</v>
      </c>
      <c r="L569" s="1">
        <v>175.0</v>
      </c>
      <c r="M569" s="1">
        <v>2002.0</v>
      </c>
      <c r="N569" s="1">
        <v>1978.0</v>
      </c>
      <c r="P569" s="2">
        <v>45108.0</v>
      </c>
      <c r="Q569" s="1" t="s">
        <v>32</v>
      </c>
      <c r="R569" s="1" t="s">
        <v>2700</v>
      </c>
      <c r="S569" s="1" t="s">
        <v>32</v>
      </c>
      <c r="W569" s="1">
        <v>0.0</v>
      </c>
      <c r="X569" s="1">
        <v>0.0</v>
      </c>
    </row>
    <row r="570" spans="1:24" ht="15.75" customHeight="1">
      <c r="A570" s="1">
        <v>2.6154389E7</v>
      </c>
      <c r="B570" s="1" t="s">
        <v>2701</v>
      </c>
      <c r="C570" s="1" t="s">
        <v>2702</v>
      </c>
      <c r="D570" s="1" t="s">
        <v>2703</v>
      </c>
      <c r="F570" s="1" t="str">
        <f>"1501135392"</f>
        <v>1501135392</v>
      </c>
      <c r="G570" s="1" t="str">
        <f>"9781501135392"</f>
        <v>9781501135392</v>
      </c>
      <c r="H570" s="1">
        <v>1.0</v>
      </c>
      <c r="I570" s="1">
        <v>3.2</v>
      </c>
      <c r="J570" s="1" t="s">
        <v>88</v>
      </c>
      <c r="K570" s="1" t="s">
        <v>37</v>
      </c>
      <c r="L570" s="1">
        <v>274.0</v>
      </c>
      <c r="M570" s="1">
        <v>2016.0</v>
      </c>
      <c r="N570" s="1">
        <v>2016.0</v>
      </c>
      <c r="O570" s="2">
        <v>42511.0</v>
      </c>
      <c r="P570" s="2">
        <v>42498.0</v>
      </c>
      <c r="Q570" s="1" t="s">
        <v>2704</v>
      </c>
      <c r="R570" s="1" t="s">
        <v>2705</v>
      </c>
      <c r="S570" s="1" t="s">
        <v>32</v>
      </c>
      <c r="T570" s="1" t="s">
        <v>2706</v>
      </c>
      <c r="W570" s="1">
        <v>1.0</v>
      </c>
      <c r="X570" s="1">
        <v>1.0</v>
      </c>
    </row>
    <row r="571" spans="1:24" ht="15.75" customHeight="1">
      <c r="A571" s="1">
        <v>4266011.0</v>
      </c>
      <c r="B571" s="1" t="s">
        <v>2707</v>
      </c>
      <c r="C571" s="1" t="s">
        <v>2702</v>
      </c>
      <c r="D571" s="1" t="s">
        <v>2703</v>
      </c>
      <c r="F571" s="1" t="str">
        <f>"0684842696"</f>
        <v>0684842696</v>
      </c>
      <c r="G571" s="1" t="str">
        <f>"9780684842691"</f>
        <v>9780684842691</v>
      </c>
      <c r="H571" s="1">
        <v>0.0</v>
      </c>
      <c r="I571" s="1">
        <v>3.94</v>
      </c>
      <c r="J571" s="1" t="s">
        <v>88</v>
      </c>
      <c r="K571" s="1" t="s">
        <v>37</v>
      </c>
      <c r="L571" s="1">
        <v>827.0</v>
      </c>
      <c r="M571" s="1">
        <v>1997.0</v>
      </c>
      <c r="N571" s="1">
        <v>1997.0</v>
      </c>
      <c r="P571" s="2">
        <v>45163.0</v>
      </c>
      <c r="Q571" s="1" t="s">
        <v>818</v>
      </c>
      <c r="R571" s="1" t="s">
        <v>2708</v>
      </c>
      <c r="S571" s="1" t="s">
        <v>32</v>
      </c>
      <c r="W571" s="1">
        <v>0.0</v>
      </c>
      <c r="X571" s="1">
        <v>1.0</v>
      </c>
    </row>
    <row r="572" spans="1:24" ht="15.75" customHeight="1">
      <c r="A572" s="1">
        <v>808322.0</v>
      </c>
      <c r="B572" s="1" t="s">
        <v>2709</v>
      </c>
      <c r="C572" s="1" t="s">
        <v>2710</v>
      </c>
      <c r="D572" s="1" t="s">
        <v>2711</v>
      </c>
      <c r="F572" s="1" t="str">
        <f>"0671832042"</f>
        <v>0671832042</v>
      </c>
      <c r="G572" s="1" t="str">
        <f>"9780671832049"</f>
        <v>9780671832049</v>
      </c>
      <c r="H572" s="1">
        <v>0.0</v>
      </c>
      <c r="I572" s="1">
        <v>4.05</v>
      </c>
      <c r="J572" s="1" t="s">
        <v>2712</v>
      </c>
      <c r="K572" s="1" t="s">
        <v>1225</v>
      </c>
      <c r="L572" s="1">
        <v>159.0</v>
      </c>
      <c r="M572" s="1">
        <v>1980.0</v>
      </c>
      <c r="N572" s="1">
        <v>1972.0</v>
      </c>
      <c r="P572" s="2">
        <v>44416.0</v>
      </c>
      <c r="Q572" s="1" t="s">
        <v>1024</v>
      </c>
      <c r="R572" s="1" t="s">
        <v>2713</v>
      </c>
      <c r="S572" s="1" t="s">
        <v>32</v>
      </c>
      <c r="W572" s="1">
        <v>0.0</v>
      </c>
      <c r="X572" s="1">
        <v>0.0</v>
      </c>
    </row>
    <row r="573" spans="1:24" ht="15.75" customHeight="1">
      <c r="A573" s="1">
        <v>5.0695596E7</v>
      </c>
      <c r="B573" s="1" t="s">
        <v>2714</v>
      </c>
      <c r="C573" s="1" t="s">
        <v>2153</v>
      </c>
      <c r="D573" s="1" t="s">
        <v>2715</v>
      </c>
      <c r="F573" s="1" t="str">
        <f>"0738765376"</f>
        <v>0738765376</v>
      </c>
      <c r="G573" s="1" t="str">
        <f>"9780738765372"</f>
        <v>9780738765372</v>
      </c>
      <c r="H573" s="1">
        <v>0.0</v>
      </c>
      <c r="I573" s="1">
        <v>3.85</v>
      </c>
      <c r="J573" s="1" t="s">
        <v>1267</v>
      </c>
      <c r="K573" s="1" t="s">
        <v>44</v>
      </c>
      <c r="L573" s="1">
        <v>430.0</v>
      </c>
      <c r="M573" s="1">
        <v>2020.0</v>
      </c>
      <c r="P573" s="2">
        <v>45122.0</v>
      </c>
      <c r="Q573" s="1" t="s">
        <v>32</v>
      </c>
      <c r="R573" s="1" t="s">
        <v>2716</v>
      </c>
      <c r="S573" s="1" t="s">
        <v>32</v>
      </c>
      <c r="W573" s="1">
        <v>0.0</v>
      </c>
      <c r="X573" s="1">
        <v>0.0</v>
      </c>
    </row>
    <row r="574" spans="1:24" ht="15.75" customHeight="1">
      <c r="A574" s="1">
        <v>6016851.0</v>
      </c>
      <c r="B574" s="1" t="s">
        <v>2717</v>
      </c>
      <c r="C574" s="1" t="s">
        <v>2718</v>
      </c>
      <c r="D574" s="1" t="s">
        <v>2719</v>
      </c>
      <c r="F574" s="1" t="str">
        <f>"1595691030"</f>
        <v>1595691030</v>
      </c>
      <c r="G574" s="1" t="str">
        <f>"9781595691033"</f>
        <v>9781595691033</v>
      </c>
      <c r="H574" s="1">
        <v>0.0</v>
      </c>
      <c r="I574" s="1">
        <v>3.75</v>
      </c>
      <c r="J574" s="1" t="s">
        <v>2720</v>
      </c>
      <c r="K574" s="1" t="s">
        <v>44</v>
      </c>
      <c r="L574" s="1">
        <v>192.0</v>
      </c>
      <c r="M574" s="1">
        <v>2008.0</v>
      </c>
      <c r="N574" s="1">
        <v>1965.0</v>
      </c>
      <c r="P574" s="2">
        <v>43926.0</v>
      </c>
      <c r="Q574" s="1" t="s">
        <v>218</v>
      </c>
      <c r="R574" s="1" t="s">
        <v>2721</v>
      </c>
      <c r="S574" s="1" t="s">
        <v>32</v>
      </c>
      <c r="W574" s="1">
        <v>0.0</v>
      </c>
      <c r="X574" s="1">
        <v>0.0</v>
      </c>
    </row>
    <row r="575" spans="1:24" ht="15.75" customHeight="1">
      <c r="A575" s="1">
        <v>5.502868E7</v>
      </c>
      <c r="B575" s="1" t="s">
        <v>2722</v>
      </c>
      <c r="C575" s="1" t="s">
        <v>2723</v>
      </c>
      <c r="D575" s="1" t="s">
        <v>2724</v>
      </c>
      <c r="F575" s="1" t="str">
        <f>"0525577327"</f>
        <v>0525577327</v>
      </c>
      <c r="G575" s="1" t="str">
        <f>"9780525577324"</f>
        <v>9780525577324</v>
      </c>
      <c r="H575" s="1">
        <v>0.0</v>
      </c>
      <c r="I575" s="1">
        <v>4.28</v>
      </c>
      <c r="J575" s="1" t="s">
        <v>2725</v>
      </c>
      <c r="K575" s="1" t="s">
        <v>37</v>
      </c>
      <c r="L575" s="1">
        <v>288.0</v>
      </c>
      <c r="M575" s="1">
        <v>2021.0</v>
      </c>
      <c r="N575" s="1">
        <v>2021.0</v>
      </c>
      <c r="P575" s="2">
        <v>45168.0</v>
      </c>
      <c r="Q575" s="1" t="s">
        <v>32</v>
      </c>
      <c r="R575" s="1" t="s">
        <v>2726</v>
      </c>
      <c r="S575" s="1" t="s">
        <v>32</v>
      </c>
      <c r="W575" s="1">
        <v>0.0</v>
      </c>
      <c r="X575" s="1">
        <v>0.0</v>
      </c>
    </row>
    <row r="576" spans="1:24" ht="15.75" customHeight="1">
      <c r="A576" s="1">
        <v>1.7934654E7</v>
      </c>
      <c r="B576" s="1" t="s">
        <v>2727</v>
      </c>
      <c r="C576" s="1" t="s">
        <v>2728</v>
      </c>
      <c r="D576" s="1" t="s">
        <v>2729</v>
      </c>
      <c r="E576" s="1" t="s">
        <v>2730</v>
      </c>
      <c r="F576" s="1" t="str">
        <f>"1555976654"</f>
        <v>1555976654</v>
      </c>
      <c r="G576" s="1" t="str">
        <f>"9781555976651"</f>
        <v>9781555976651</v>
      </c>
      <c r="H576" s="1">
        <v>0.0</v>
      </c>
      <c r="I576" s="1">
        <v>3.58</v>
      </c>
      <c r="J576" s="1" t="s">
        <v>337</v>
      </c>
      <c r="K576" s="1" t="s">
        <v>44</v>
      </c>
      <c r="L576" s="1">
        <v>104.0</v>
      </c>
      <c r="M576" s="1">
        <v>2014.0</v>
      </c>
      <c r="N576" s="1">
        <v>2008.0</v>
      </c>
      <c r="P576" s="2">
        <v>41675.0</v>
      </c>
      <c r="Q576" s="1" t="s">
        <v>127</v>
      </c>
      <c r="R576" s="1" t="s">
        <v>2731</v>
      </c>
      <c r="S576" s="1" t="s">
        <v>32</v>
      </c>
      <c r="W576" s="1">
        <v>0.0</v>
      </c>
      <c r="X576" s="1">
        <v>0.0</v>
      </c>
    </row>
    <row r="577" spans="1:24" ht="15.75" customHeight="1">
      <c r="A577" s="1">
        <v>5.8891551E7</v>
      </c>
      <c r="B577" s="1" t="s">
        <v>2732</v>
      </c>
      <c r="C577" s="1" t="s">
        <v>2733</v>
      </c>
      <c r="D577" s="1" t="s">
        <v>2734</v>
      </c>
      <c r="F577" s="1" t="str">
        <f>"0802159559"</f>
        <v>0802159559</v>
      </c>
      <c r="G577" s="1" t="str">
        <f>"9780802159557"</f>
        <v>9780802159557</v>
      </c>
      <c r="H577" s="1">
        <v>0.0</v>
      </c>
      <c r="I577" s="1">
        <v>4.38</v>
      </c>
      <c r="J577" s="1" t="s">
        <v>663</v>
      </c>
      <c r="K577" s="1" t="s">
        <v>37</v>
      </c>
      <c r="L577" s="1">
        <v>390.0</v>
      </c>
      <c r="M577" s="1">
        <v>2022.0</v>
      </c>
      <c r="N577" s="1">
        <v>2022.0</v>
      </c>
      <c r="P577" s="2">
        <v>44808.0</v>
      </c>
      <c r="Q577" s="1" t="s">
        <v>218</v>
      </c>
      <c r="R577" s="1" t="s">
        <v>2735</v>
      </c>
      <c r="S577" s="1" t="s">
        <v>32</v>
      </c>
      <c r="W577" s="1">
        <v>0.0</v>
      </c>
      <c r="X577" s="1">
        <v>0.0</v>
      </c>
    </row>
    <row r="578" spans="1:24" ht="15.75" customHeight="1">
      <c r="A578" s="1">
        <v>5.5504502E7</v>
      </c>
      <c r="B578" s="1" t="s">
        <v>2736</v>
      </c>
      <c r="C578" s="1" t="s">
        <v>2733</v>
      </c>
      <c r="D578" s="1" t="s">
        <v>2734</v>
      </c>
      <c r="F578" s="1" t="str">
        <f>"0802148506"</f>
        <v>0802148506</v>
      </c>
      <c r="G578" s="1" t="str">
        <f>"9780802148506"</f>
        <v>9780802148506</v>
      </c>
      <c r="H578" s="1">
        <v>4.0</v>
      </c>
      <c r="I578" s="1">
        <v>4.31</v>
      </c>
      <c r="J578" s="1" t="s">
        <v>663</v>
      </c>
      <c r="K578" s="1" t="s">
        <v>44</v>
      </c>
      <c r="L578" s="1">
        <v>430.0</v>
      </c>
      <c r="M578" s="1">
        <v>2020.0</v>
      </c>
      <c r="N578" s="1">
        <v>2020.0</v>
      </c>
      <c r="O578" s="3">
        <v>44925.0</v>
      </c>
      <c r="P578" s="3">
        <v>44914.0</v>
      </c>
      <c r="Q578" s="1" t="s">
        <v>1190</v>
      </c>
      <c r="R578" s="1" t="s">
        <v>2737</v>
      </c>
      <c r="S578" s="1" t="s">
        <v>32</v>
      </c>
      <c r="W578" s="1">
        <v>1.0</v>
      </c>
      <c r="X578" s="1">
        <v>1.0</v>
      </c>
    </row>
    <row r="579" spans="1:24" ht="15.75" customHeight="1">
      <c r="A579" s="1">
        <v>3381.0</v>
      </c>
      <c r="B579" s="1" t="s">
        <v>2738</v>
      </c>
      <c r="C579" s="1" t="s">
        <v>2739</v>
      </c>
      <c r="D579" s="1" t="s">
        <v>2740</v>
      </c>
      <c r="F579" s="1" t="str">
        <f>"1582344159"</f>
        <v>1582344159</v>
      </c>
      <c r="G579" s="1" t="str">
        <f>"9781582344157"</f>
        <v>9781582344157</v>
      </c>
      <c r="H579" s="1">
        <v>0.0</v>
      </c>
      <c r="I579" s="1">
        <v>3.72</v>
      </c>
      <c r="J579" s="1" t="s">
        <v>2489</v>
      </c>
      <c r="K579" s="1" t="s">
        <v>44</v>
      </c>
      <c r="L579" s="1">
        <v>244.0</v>
      </c>
      <c r="M579" s="1">
        <v>2004.0</v>
      </c>
      <c r="N579" s="1">
        <v>2003.0</v>
      </c>
      <c r="P579" s="3">
        <v>41601.0</v>
      </c>
      <c r="Q579" s="1" t="s">
        <v>32</v>
      </c>
      <c r="R579" s="1" t="s">
        <v>2741</v>
      </c>
      <c r="S579" s="1" t="s">
        <v>32</v>
      </c>
      <c r="W579" s="1">
        <v>0.0</v>
      </c>
      <c r="X579" s="1">
        <v>0.0</v>
      </c>
    </row>
    <row r="580" spans="1:24" ht="15.75" customHeight="1">
      <c r="A580" s="1">
        <v>1.6059837E7</v>
      </c>
      <c r="B580" s="1" t="s">
        <v>2742</v>
      </c>
      <c r="C580" s="1" t="s">
        <v>2743</v>
      </c>
      <c r="D580" s="1" t="s">
        <v>2744</v>
      </c>
      <c r="E580" s="1" t="s">
        <v>2745</v>
      </c>
      <c r="F580" s="1" t="str">
        <f>"1455573825"</f>
        <v>1455573825</v>
      </c>
      <c r="G580" s="1" t="str">
        <f>"9781455573820"</f>
        <v>9781455573820</v>
      </c>
      <c r="H580" s="1">
        <v>0.0</v>
      </c>
      <c r="I580" s="1">
        <v>3.76</v>
      </c>
      <c r="J580" s="1" t="s">
        <v>2746</v>
      </c>
      <c r="K580" s="1" t="s">
        <v>44</v>
      </c>
      <c r="L580" s="1">
        <v>368.0</v>
      </c>
      <c r="M580" s="1">
        <v>2013.0</v>
      </c>
      <c r="N580" s="1">
        <v>2008.0</v>
      </c>
      <c r="P580" s="2">
        <v>45113.0</v>
      </c>
      <c r="Q580" s="1" t="s">
        <v>788</v>
      </c>
      <c r="R580" s="1" t="s">
        <v>2747</v>
      </c>
      <c r="S580" s="1" t="s">
        <v>32</v>
      </c>
      <c r="W580" s="1">
        <v>0.0</v>
      </c>
      <c r="X580" s="1">
        <v>1.0</v>
      </c>
    </row>
    <row r="581" spans="1:24" ht="15.75" customHeight="1">
      <c r="A581" s="1">
        <v>24113.0</v>
      </c>
      <c r="B581" s="1" t="s">
        <v>2748</v>
      </c>
      <c r="C581" s="1" t="s">
        <v>2749</v>
      </c>
      <c r="D581" s="1" t="s">
        <v>2750</v>
      </c>
      <c r="F581" s="1" t="str">
        <f>"0465026567"</f>
        <v>0465026567</v>
      </c>
      <c r="G581" s="1" t="str">
        <f>"9780465026562"</f>
        <v>9780465026562</v>
      </c>
      <c r="H581" s="1">
        <v>0.0</v>
      </c>
      <c r="I581" s="1">
        <v>4.29</v>
      </c>
      <c r="J581" s="1" t="s">
        <v>1536</v>
      </c>
      <c r="K581" s="1" t="s">
        <v>44</v>
      </c>
      <c r="L581" s="1">
        <v>756.0</v>
      </c>
      <c r="M581" s="1">
        <v>1999.0</v>
      </c>
      <c r="N581" s="1">
        <v>1979.0</v>
      </c>
      <c r="P581" s="2">
        <v>44205.0</v>
      </c>
      <c r="Q581" s="1" t="s">
        <v>55</v>
      </c>
      <c r="R581" s="1" t="s">
        <v>2751</v>
      </c>
      <c r="S581" s="1" t="s">
        <v>32</v>
      </c>
      <c r="W581" s="1">
        <v>0.0</v>
      </c>
      <c r="X581" s="1">
        <v>0.0</v>
      </c>
    </row>
    <row r="582" spans="1:24" ht="15.75" customHeight="1">
      <c r="A582" s="1">
        <v>123471.0</v>
      </c>
      <c r="B582" s="1" t="s">
        <v>2752</v>
      </c>
      <c r="C582" s="1" t="s">
        <v>2749</v>
      </c>
      <c r="D582" s="1" t="s">
        <v>2750</v>
      </c>
      <c r="F582" s="1" t="str">
        <f>"0465030785"</f>
        <v>0465030785</v>
      </c>
      <c r="G582" s="1" t="str">
        <f>"9780465030781"</f>
        <v>9780465030781</v>
      </c>
      <c r="H582" s="1">
        <v>0.0</v>
      </c>
      <c r="I582" s="1">
        <v>3.96</v>
      </c>
      <c r="J582" s="1" t="s">
        <v>1536</v>
      </c>
      <c r="K582" s="1" t="s">
        <v>37</v>
      </c>
      <c r="L582" s="1">
        <v>436.0</v>
      </c>
      <c r="M582" s="1">
        <v>2007.0</v>
      </c>
      <c r="N582" s="1">
        <v>2007.0</v>
      </c>
      <c r="P582" s="2">
        <v>45168.0</v>
      </c>
      <c r="Q582" s="1" t="s">
        <v>32</v>
      </c>
      <c r="R582" s="1" t="s">
        <v>2753</v>
      </c>
      <c r="S582" s="1" t="s">
        <v>32</v>
      </c>
      <c r="W582" s="1">
        <v>0.0</v>
      </c>
      <c r="X582" s="1">
        <v>0.0</v>
      </c>
    </row>
    <row r="583" spans="1:24" ht="15.75" customHeight="1">
      <c r="A583" s="1">
        <v>2.2309162E7</v>
      </c>
      <c r="B583" s="1" t="s">
        <v>2754</v>
      </c>
      <c r="C583" s="1" t="s">
        <v>2755</v>
      </c>
      <c r="D583" s="1" t="s">
        <v>2756</v>
      </c>
      <c r="E583" s="1" t="s">
        <v>27</v>
      </c>
      <c r="F583" s="1" t="str">
        <f>"1497620201"</f>
        <v>1497620201</v>
      </c>
      <c r="G583" s="1" t="str">
        <f>"9781497620209"</f>
        <v>9781497620209</v>
      </c>
      <c r="H583" s="1">
        <v>0.0</v>
      </c>
      <c r="I583" s="1">
        <v>4.0</v>
      </c>
      <c r="J583" s="1" t="s">
        <v>28</v>
      </c>
      <c r="K583" s="1" t="s">
        <v>29</v>
      </c>
      <c r="L583" s="1">
        <v>460.0</v>
      </c>
      <c r="M583" s="1">
        <v>2014.0</v>
      </c>
      <c r="N583" s="1">
        <v>1990.0</v>
      </c>
      <c r="P583" s="2">
        <v>45303.0</v>
      </c>
      <c r="Q583" s="1" t="s">
        <v>30</v>
      </c>
      <c r="R583" s="1" t="s">
        <v>2757</v>
      </c>
      <c r="S583" s="1" t="s">
        <v>32</v>
      </c>
      <c r="W583" s="1">
        <v>0.0</v>
      </c>
      <c r="X583" s="1">
        <v>0.0</v>
      </c>
    </row>
    <row r="584" spans="1:24" ht="15.75" customHeight="1">
      <c r="A584" s="1">
        <v>2.9875846E7</v>
      </c>
      <c r="B584" s="1" t="s">
        <v>2758</v>
      </c>
      <c r="C584" s="1" t="s">
        <v>2759</v>
      </c>
      <c r="D584" s="1" t="s">
        <v>2760</v>
      </c>
      <c r="F584" s="1" t="str">
        <f>"0374535957"</f>
        <v>0374535957</v>
      </c>
      <c r="G584" s="1" t="str">
        <f>"9780374535957"</f>
        <v>9780374535957</v>
      </c>
      <c r="H584" s="1">
        <v>0.0</v>
      </c>
      <c r="I584" s="1">
        <v>4.04</v>
      </c>
      <c r="J584" s="1" t="s">
        <v>611</v>
      </c>
      <c r="K584" s="1" t="s">
        <v>44</v>
      </c>
      <c r="L584" s="1">
        <v>221.0</v>
      </c>
      <c r="M584" s="1">
        <v>2017.0</v>
      </c>
      <c r="N584" s="1">
        <v>2017.0</v>
      </c>
      <c r="P584" s="3">
        <v>44118.0</v>
      </c>
      <c r="Q584" s="1" t="s">
        <v>32</v>
      </c>
      <c r="R584" s="1" t="s">
        <v>2761</v>
      </c>
      <c r="S584" s="1" t="s">
        <v>32</v>
      </c>
      <c r="W584" s="1">
        <v>0.0</v>
      </c>
      <c r="X584" s="1">
        <v>0.0</v>
      </c>
    </row>
    <row r="585" spans="1:24" ht="15.75" customHeight="1">
      <c r="A585" s="1">
        <v>744128.0</v>
      </c>
      <c r="B585" s="1" t="s">
        <v>2762</v>
      </c>
      <c r="C585" s="1" t="s">
        <v>2763</v>
      </c>
      <c r="D585" s="1" t="s">
        <v>2764</v>
      </c>
      <c r="E585" s="1" t="s">
        <v>2765</v>
      </c>
      <c r="F585" s="1" t="str">
        <f>"0704301806"</f>
        <v>0704301806</v>
      </c>
      <c r="G585" s="1" t="str">
        <f>"9780704301801"</f>
        <v>9780704301801</v>
      </c>
      <c r="H585" s="1">
        <v>0.0</v>
      </c>
      <c r="I585" s="1">
        <v>4.11</v>
      </c>
      <c r="J585" s="1" t="s">
        <v>2766</v>
      </c>
      <c r="K585" s="1" t="s">
        <v>44</v>
      </c>
      <c r="L585" s="1">
        <v>212.0</v>
      </c>
      <c r="M585" s="1">
        <v>1993.0</v>
      </c>
      <c r="N585" s="1">
        <v>1973.0</v>
      </c>
      <c r="P585" s="2">
        <v>42816.0</v>
      </c>
      <c r="Q585" s="1" t="s">
        <v>45</v>
      </c>
      <c r="R585" s="1" t="s">
        <v>2767</v>
      </c>
      <c r="S585" s="1" t="s">
        <v>32</v>
      </c>
      <c r="W585" s="1">
        <v>0.0</v>
      </c>
      <c r="X585" s="1">
        <v>0.0</v>
      </c>
    </row>
    <row r="586" spans="1:24" ht="15.75" customHeight="1">
      <c r="A586" s="1">
        <v>394616.0</v>
      </c>
      <c r="B586" s="1" t="s">
        <v>2768</v>
      </c>
      <c r="C586" s="1" t="s">
        <v>2769</v>
      </c>
      <c r="D586" s="1" t="s">
        <v>2770</v>
      </c>
      <c r="F586" s="1" t="str">
        <f>"0060932236"</f>
        <v>0060932236</v>
      </c>
      <c r="G586" s="1" t="str">
        <f>"9780060932237"</f>
        <v>9780060932237</v>
      </c>
      <c r="H586" s="1">
        <v>0.0</v>
      </c>
      <c r="I586" s="1">
        <v>4.31</v>
      </c>
      <c r="J586" s="1" t="s">
        <v>397</v>
      </c>
      <c r="K586" s="1" t="s">
        <v>44</v>
      </c>
      <c r="L586" s="1">
        <v>384.0</v>
      </c>
      <c r="M586" s="1">
        <v>2006.0</v>
      </c>
      <c r="N586" s="1">
        <v>1936.0</v>
      </c>
      <c r="P586" s="2">
        <v>44198.0</v>
      </c>
      <c r="Q586" s="1" t="s">
        <v>32</v>
      </c>
      <c r="R586" s="1" t="s">
        <v>2771</v>
      </c>
      <c r="S586" s="1" t="s">
        <v>32</v>
      </c>
      <c r="W586" s="1">
        <v>0.0</v>
      </c>
      <c r="X586" s="1">
        <v>0.0</v>
      </c>
    </row>
    <row r="587" spans="1:24" ht="15.75" customHeight="1">
      <c r="A587" s="1">
        <v>6.0433831E7</v>
      </c>
      <c r="B587" s="1" t="s">
        <v>2772</v>
      </c>
      <c r="C587" s="1" t="s">
        <v>2773</v>
      </c>
      <c r="D587" s="1" t="s">
        <v>2774</v>
      </c>
      <c r="F587" s="1" t="str">
        <f>"1681376199"</f>
        <v>1681376199</v>
      </c>
      <c r="G587" s="1" t="str">
        <f>"9781681376196"</f>
        <v>9781681376196</v>
      </c>
      <c r="H587" s="1">
        <v>0.0</v>
      </c>
      <c r="I587" s="1">
        <v>3.69</v>
      </c>
      <c r="J587" s="1" t="s">
        <v>204</v>
      </c>
      <c r="K587" s="1" t="s">
        <v>44</v>
      </c>
      <c r="L587" s="1">
        <v>288.0</v>
      </c>
      <c r="M587" s="1">
        <v>2022.0</v>
      </c>
      <c r="N587" s="1">
        <v>1922.0</v>
      </c>
      <c r="P587" s="2">
        <v>45102.0</v>
      </c>
      <c r="Q587" s="1" t="s">
        <v>502</v>
      </c>
      <c r="R587" s="1" t="s">
        <v>2775</v>
      </c>
      <c r="S587" s="1" t="s">
        <v>32</v>
      </c>
      <c r="W587" s="1">
        <v>0.0</v>
      </c>
      <c r="X587" s="1">
        <v>0.0</v>
      </c>
    </row>
    <row r="588" spans="1:24" ht="15.75" customHeight="1">
      <c r="A588" s="1">
        <v>3.1145748E7</v>
      </c>
      <c r="B588" s="1" t="s">
        <v>2776</v>
      </c>
      <c r="C588" s="1" t="s">
        <v>2777</v>
      </c>
      <c r="D588" s="1" t="s">
        <v>2778</v>
      </c>
      <c r="F588" s="1" t="str">
        <f>""</f>
        <v/>
      </c>
      <c r="G588" s="1" t="str">
        <f>"9781942083436"</f>
        <v>9781942083436</v>
      </c>
      <c r="H588" s="1">
        <v>0.0</v>
      </c>
      <c r="I588" s="1">
        <v>3.82</v>
      </c>
      <c r="J588" s="1" t="s">
        <v>2779</v>
      </c>
      <c r="K588" s="1" t="s">
        <v>420</v>
      </c>
      <c r="L588" s="1">
        <v>292.0</v>
      </c>
      <c r="M588" s="1">
        <v>2016.0</v>
      </c>
      <c r="N588" s="1">
        <v>2016.0</v>
      </c>
      <c r="P588" s="3">
        <v>45230.0</v>
      </c>
      <c r="Q588" s="1" t="s">
        <v>32</v>
      </c>
      <c r="R588" s="1" t="s">
        <v>2780</v>
      </c>
      <c r="S588" s="1" t="s">
        <v>32</v>
      </c>
      <c r="W588" s="1">
        <v>0.0</v>
      </c>
      <c r="X588" s="1">
        <v>0.0</v>
      </c>
    </row>
    <row r="589" spans="1:24" ht="15.75" customHeight="1">
      <c r="A589" s="1">
        <v>2098165.0</v>
      </c>
      <c r="B589" s="1" t="s">
        <v>2781</v>
      </c>
      <c r="C589" s="1" t="s">
        <v>2782</v>
      </c>
      <c r="D589" s="1" t="s">
        <v>2783</v>
      </c>
      <c r="F589" s="1" t="str">
        <f>"0486262987"</f>
        <v>0486262987</v>
      </c>
      <c r="G589" s="1" t="str">
        <f>"9780486262987"</f>
        <v>9780486262987</v>
      </c>
      <c r="H589" s="1">
        <v>0.0</v>
      </c>
      <c r="I589" s="1">
        <v>3.65</v>
      </c>
      <c r="J589" s="1" t="s">
        <v>910</v>
      </c>
      <c r="K589" s="1" t="s">
        <v>44</v>
      </c>
      <c r="L589" s="1">
        <v>336.0</v>
      </c>
      <c r="M589" s="1">
        <v>1990.0</v>
      </c>
      <c r="N589" s="1">
        <v>1957.0</v>
      </c>
      <c r="P589" s="2">
        <v>45113.0</v>
      </c>
      <c r="Q589" s="1" t="s">
        <v>32</v>
      </c>
      <c r="R589" s="1" t="s">
        <v>2784</v>
      </c>
      <c r="S589" s="1" t="s">
        <v>32</v>
      </c>
      <c r="W589" s="1">
        <v>0.0</v>
      </c>
      <c r="X589" s="1">
        <v>0.0</v>
      </c>
    </row>
    <row r="590" spans="1:24" ht="15.75" customHeight="1">
      <c r="A590" s="1">
        <v>862835.0</v>
      </c>
      <c r="B590" s="1" t="s">
        <v>2785</v>
      </c>
      <c r="C590" s="1" t="s">
        <v>2786</v>
      </c>
      <c r="D590" s="1" t="s">
        <v>2787</v>
      </c>
      <c r="F590" s="1" t="str">
        <f>"0520003276"</f>
        <v>0520003276</v>
      </c>
      <c r="G590" s="1" t="str">
        <f>"9780520003279"</f>
        <v>9780520003279</v>
      </c>
      <c r="H590" s="1">
        <v>0.0</v>
      </c>
      <c r="I590" s="1">
        <v>4.2</v>
      </c>
      <c r="J590" s="1" t="s">
        <v>552</v>
      </c>
      <c r="K590" s="1" t="s">
        <v>44</v>
      </c>
      <c r="L590" s="1">
        <v>327.0</v>
      </c>
      <c r="M590" s="1">
        <v>1962.0</v>
      </c>
      <c r="N590" s="1">
        <v>1951.0</v>
      </c>
      <c r="P590" s="2">
        <v>45115.0</v>
      </c>
      <c r="Q590" s="1" t="s">
        <v>32</v>
      </c>
      <c r="R590" s="1" t="s">
        <v>2788</v>
      </c>
      <c r="S590" s="1" t="s">
        <v>32</v>
      </c>
      <c r="W590" s="1">
        <v>0.0</v>
      </c>
      <c r="X590" s="1">
        <v>0.0</v>
      </c>
    </row>
    <row r="591" spans="1:24" ht="15.75" customHeight="1">
      <c r="A591" s="1">
        <v>1336654.0</v>
      </c>
      <c r="B591" s="1" t="s">
        <v>2789</v>
      </c>
      <c r="C591" s="1" t="s">
        <v>2790</v>
      </c>
      <c r="D591" s="1" t="s">
        <v>2791</v>
      </c>
      <c r="F591" s="1" t="str">
        <f>"0451072057"</f>
        <v>0451072057</v>
      </c>
      <c r="G591" s="1" t="str">
        <f>"9780451072054"</f>
        <v>9780451072054</v>
      </c>
      <c r="H591" s="1">
        <v>0.0</v>
      </c>
      <c r="I591" s="1">
        <v>3.58</v>
      </c>
      <c r="J591" s="1" t="s">
        <v>1234</v>
      </c>
      <c r="K591" s="1" t="s">
        <v>1225</v>
      </c>
      <c r="L591" s="1">
        <v>256.0</v>
      </c>
      <c r="M591" s="1">
        <v>1969.0</v>
      </c>
      <c r="N591" s="1">
        <v>1960.0</v>
      </c>
      <c r="P591" s="3">
        <v>44908.0</v>
      </c>
      <c r="Q591" s="1" t="s">
        <v>32</v>
      </c>
      <c r="R591" s="1" t="s">
        <v>2792</v>
      </c>
      <c r="S591" s="1" t="s">
        <v>32</v>
      </c>
      <c r="W591" s="1">
        <v>0.0</v>
      </c>
      <c r="X591" s="1">
        <v>0.0</v>
      </c>
    </row>
    <row r="592" spans="1:24" ht="15.75" customHeight="1">
      <c r="A592" s="1">
        <v>5.6234572E7</v>
      </c>
      <c r="B592" s="1" t="s">
        <v>2793</v>
      </c>
      <c r="C592" s="1" t="s">
        <v>2794</v>
      </c>
      <c r="D592" s="1" t="s">
        <v>2795</v>
      </c>
      <c r="E592" s="1" t="s">
        <v>2796</v>
      </c>
      <c r="F592" s="1" t="str">
        <f>"0440322278"</f>
        <v>0440322278</v>
      </c>
      <c r="G592" s="1" t="str">
        <f>"9780440322276"</f>
        <v>9780440322276</v>
      </c>
      <c r="H592" s="1">
        <v>0.0</v>
      </c>
      <c r="I592" s="1">
        <v>3.99</v>
      </c>
      <c r="J592" s="1" t="s">
        <v>2797</v>
      </c>
      <c r="K592" s="1" t="s">
        <v>1225</v>
      </c>
      <c r="L592" s="1">
        <v>287.0</v>
      </c>
      <c r="M592" s="1">
        <v>1980.0</v>
      </c>
      <c r="N592" s="1">
        <v>1965.0</v>
      </c>
      <c r="P592" s="2">
        <v>45129.0</v>
      </c>
      <c r="Q592" s="1" t="s">
        <v>383</v>
      </c>
      <c r="R592" s="1" t="s">
        <v>2798</v>
      </c>
      <c r="S592" s="1" t="s">
        <v>32</v>
      </c>
      <c r="W592" s="1">
        <v>0.0</v>
      </c>
      <c r="X592" s="1">
        <v>1.0</v>
      </c>
    </row>
    <row r="593" spans="1:24" ht="15.75" customHeight="1">
      <c r="A593" s="1">
        <v>2.8598594E7</v>
      </c>
      <c r="B593" s="1" t="s">
        <v>2799</v>
      </c>
      <c r="C593" s="1" t="s">
        <v>2800</v>
      </c>
      <c r="D593" s="1" t="s">
        <v>2801</v>
      </c>
      <c r="E593" s="1" t="s">
        <v>2802</v>
      </c>
      <c r="F593" s="1" t="str">
        <f>"9509217697"</f>
        <v>9509217697</v>
      </c>
      <c r="G593" s="1" t="str">
        <f>"9789509217690"</f>
        <v>9789509217690</v>
      </c>
      <c r="H593" s="1">
        <v>0.0</v>
      </c>
      <c r="I593" s="1">
        <v>4.0</v>
      </c>
      <c r="J593" s="1" t="s">
        <v>2803</v>
      </c>
      <c r="K593" s="1" t="s">
        <v>44</v>
      </c>
      <c r="L593" s="1">
        <v>376.0</v>
      </c>
      <c r="M593" s="1">
        <v>2004.0</v>
      </c>
      <c r="N593" s="1">
        <v>2004.0</v>
      </c>
      <c r="P593" s="2">
        <v>45132.0</v>
      </c>
      <c r="Q593" s="1" t="s">
        <v>2804</v>
      </c>
      <c r="R593" s="1" t="s">
        <v>2805</v>
      </c>
      <c r="S593" s="1" t="s">
        <v>32</v>
      </c>
      <c r="W593" s="1">
        <v>0.0</v>
      </c>
      <c r="X593" s="1">
        <v>1.0</v>
      </c>
    </row>
    <row r="594" spans="1:24" ht="15.75" customHeight="1">
      <c r="A594" s="1">
        <v>23522.0</v>
      </c>
      <c r="B594" s="1" t="s">
        <v>2806</v>
      </c>
      <c r="C594" s="1" t="s">
        <v>2807</v>
      </c>
      <c r="D594" s="1" t="s">
        <v>2808</v>
      </c>
      <c r="E594" s="1" t="s">
        <v>2809</v>
      </c>
      <c r="F594" s="1" t="str">
        <f>"0316341517"</f>
        <v>0316341517</v>
      </c>
      <c r="G594" s="1" t="str">
        <f>"9780316341516"</f>
        <v>9780316341516</v>
      </c>
      <c r="H594" s="1">
        <v>0.0</v>
      </c>
      <c r="I594" s="1">
        <v>4.03</v>
      </c>
      <c r="J594" s="1" t="s">
        <v>1963</v>
      </c>
      <c r="K594" s="1" t="s">
        <v>44</v>
      </c>
      <c r="L594" s="1">
        <v>497.0</v>
      </c>
      <c r="M594" s="1">
        <v>1998.0</v>
      </c>
      <c r="N594" s="1">
        <v>1942.0</v>
      </c>
      <c r="P594" s="2">
        <v>45070.0</v>
      </c>
      <c r="Q594" s="1" t="s">
        <v>2810</v>
      </c>
      <c r="R594" s="1" t="s">
        <v>2811</v>
      </c>
      <c r="S594" s="1" t="s">
        <v>32</v>
      </c>
      <c r="W594" s="1">
        <v>0.0</v>
      </c>
      <c r="X594" s="1">
        <v>0.0</v>
      </c>
    </row>
    <row r="595" spans="1:24" ht="15.75" customHeight="1">
      <c r="A595" s="1">
        <v>129494.0</v>
      </c>
      <c r="B595" s="1" t="s">
        <v>2812</v>
      </c>
      <c r="C595" s="1" t="s">
        <v>2807</v>
      </c>
      <c r="D595" s="1" t="s">
        <v>2808</v>
      </c>
      <c r="F595" s="1" t="str">
        <f>"0393310779"</f>
        <v>0393310779</v>
      </c>
      <c r="G595" s="1" t="str">
        <f>"9780393310771"</f>
        <v>9780393310771</v>
      </c>
      <c r="H595" s="1">
        <v>0.0</v>
      </c>
      <c r="I595" s="1">
        <v>3.9</v>
      </c>
      <c r="J595" s="1" t="s">
        <v>2813</v>
      </c>
      <c r="K595" s="1" t="s">
        <v>44</v>
      </c>
      <c r="L595" s="1">
        <v>212.0</v>
      </c>
      <c r="M595" s="1">
        <v>1993.0</v>
      </c>
      <c r="N595" s="1">
        <v>1930.0</v>
      </c>
      <c r="P595" s="2">
        <v>45114.0</v>
      </c>
      <c r="Q595" s="1" t="s">
        <v>725</v>
      </c>
      <c r="R595" s="1" t="s">
        <v>2814</v>
      </c>
      <c r="S595" s="1" t="s">
        <v>32</v>
      </c>
      <c r="W595" s="1">
        <v>0.0</v>
      </c>
      <c r="X595" s="1">
        <v>0.0</v>
      </c>
    </row>
    <row r="596" spans="1:24" ht="15.75" customHeight="1">
      <c r="A596" s="1">
        <v>5.8089771E7</v>
      </c>
      <c r="B596" s="1" t="s">
        <v>2815</v>
      </c>
      <c r="C596" s="1" t="s">
        <v>2816</v>
      </c>
      <c r="D596" s="1" t="s">
        <v>2817</v>
      </c>
      <c r="F596" s="1" t="str">
        <f>"1681375729"</f>
        <v>1681375729</v>
      </c>
      <c r="G596" s="1" t="str">
        <f>"9781681375724"</f>
        <v>9781681375724</v>
      </c>
      <c r="H596" s="1">
        <v>0.0</v>
      </c>
      <c r="I596" s="1">
        <v>3.89</v>
      </c>
      <c r="J596" s="1" t="s">
        <v>823</v>
      </c>
      <c r="K596" s="1" t="s">
        <v>44</v>
      </c>
      <c r="L596" s="1">
        <v>288.0</v>
      </c>
      <c r="M596" s="1">
        <v>2021.0</v>
      </c>
      <c r="N596" s="1">
        <v>1934.0</v>
      </c>
      <c r="P596" s="2">
        <v>45102.0</v>
      </c>
      <c r="Q596" s="1" t="s">
        <v>32</v>
      </c>
      <c r="R596" s="1" t="s">
        <v>2818</v>
      </c>
      <c r="S596" s="1" t="s">
        <v>32</v>
      </c>
      <c r="W596" s="1">
        <v>0.0</v>
      </c>
      <c r="X596" s="1">
        <v>0.0</v>
      </c>
    </row>
    <row r="597" spans="1:24" ht="15.75" customHeight="1">
      <c r="A597" s="1">
        <v>157507.0</v>
      </c>
      <c r="B597" s="1" t="s">
        <v>2819</v>
      </c>
      <c r="C597" s="1" t="s">
        <v>2820</v>
      </c>
      <c r="D597" s="1" t="s">
        <v>2821</v>
      </c>
      <c r="F597" s="1" t="str">
        <f>"0099450070"</f>
        <v>0099450070</v>
      </c>
      <c r="G597" s="1" t="str">
        <f>"9780099450078"</f>
        <v>9780099450078</v>
      </c>
      <c r="H597" s="1">
        <v>0.0</v>
      </c>
      <c r="I597" s="1">
        <v>4.2</v>
      </c>
      <c r="J597" s="1" t="s">
        <v>69</v>
      </c>
      <c r="K597" s="1" t="s">
        <v>44</v>
      </c>
      <c r="L597" s="1">
        <v>864.0</v>
      </c>
      <c r="M597" s="1">
        <v>2004.0</v>
      </c>
      <c r="N597" s="1">
        <v>1993.0</v>
      </c>
      <c r="P597" s="2">
        <v>44237.0</v>
      </c>
      <c r="Q597" s="1" t="s">
        <v>55</v>
      </c>
      <c r="R597" s="1" t="s">
        <v>2822</v>
      </c>
      <c r="S597" s="1" t="s">
        <v>32</v>
      </c>
      <c r="W597" s="1">
        <v>0.0</v>
      </c>
      <c r="X597" s="1">
        <v>0.0</v>
      </c>
    </row>
    <row r="598" spans="1:24" ht="15.75" customHeight="1">
      <c r="A598" s="1">
        <v>3429363.0</v>
      </c>
      <c r="B598" s="1" t="s">
        <v>2823</v>
      </c>
      <c r="C598" s="1" t="s">
        <v>2820</v>
      </c>
      <c r="D598" s="1" t="s">
        <v>2821</v>
      </c>
      <c r="F598" s="1" t="str">
        <f>"1934633151"</f>
        <v>1934633151</v>
      </c>
      <c r="G598" s="1" t="str">
        <f>"9781934633151"</f>
        <v>9781934633151</v>
      </c>
      <c r="H598" s="1">
        <v>0.0</v>
      </c>
      <c r="I598" s="1">
        <v>3.92</v>
      </c>
      <c r="J598" s="1" t="s">
        <v>2824</v>
      </c>
      <c r="K598" s="1" t="s">
        <v>37</v>
      </c>
      <c r="L598" s="1">
        <v>192.0</v>
      </c>
      <c r="M598" s="1">
        <v>2008.0</v>
      </c>
      <c r="N598" s="1">
        <v>2008.0</v>
      </c>
      <c r="P598" s="2">
        <v>44254.0</v>
      </c>
      <c r="Q598" s="1" t="s">
        <v>32</v>
      </c>
      <c r="R598" s="1" t="s">
        <v>2825</v>
      </c>
      <c r="S598" s="1" t="s">
        <v>32</v>
      </c>
      <c r="W598" s="1">
        <v>0.0</v>
      </c>
      <c r="X598" s="1">
        <v>0.0</v>
      </c>
    </row>
    <row r="599" spans="1:24" ht="15.75" customHeight="1">
      <c r="A599" s="1">
        <v>2.3197318E7</v>
      </c>
      <c r="B599" s="1" t="s">
        <v>2826</v>
      </c>
      <c r="C599" s="1" t="s">
        <v>2827</v>
      </c>
      <c r="D599" s="1" t="s">
        <v>2828</v>
      </c>
      <c r="E599" s="1" t="s">
        <v>2829</v>
      </c>
      <c r="F599" s="1" t="str">
        <f>"0316378267"</f>
        <v>0316378267</v>
      </c>
      <c r="G599" s="1" t="str">
        <f>"9780316378260"</f>
        <v>9780316378260</v>
      </c>
      <c r="H599" s="1">
        <v>0.0</v>
      </c>
      <c r="I599" s="1">
        <v>3.85</v>
      </c>
      <c r="J599" s="1" t="s">
        <v>1963</v>
      </c>
      <c r="K599" s="1" t="s">
        <v>37</v>
      </c>
      <c r="L599" s="1">
        <v>544.0</v>
      </c>
      <c r="M599" s="1">
        <v>2015.0</v>
      </c>
      <c r="N599" s="1">
        <v>1968.0</v>
      </c>
      <c r="P599" s="3">
        <v>44157.0</v>
      </c>
      <c r="Q599" s="1" t="s">
        <v>127</v>
      </c>
      <c r="R599" s="1" t="s">
        <v>2830</v>
      </c>
      <c r="S599" s="1" t="s">
        <v>32</v>
      </c>
      <c r="W599" s="1">
        <v>0.0</v>
      </c>
      <c r="X599" s="1">
        <v>0.0</v>
      </c>
    </row>
    <row r="600" spans="1:24" ht="15.75" customHeight="1">
      <c r="A600" s="1">
        <v>1.0845531E7</v>
      </c>
      <c r="B600" s="1" t="s">
        <v>2831</v>
      </c>
      <c r="C600" s="1" t="s">
        <v>2832</v>
      </c>
      <c r="D600" s="1" t="s">
        <v>2833</v>
      </c>
      <c r="E600" s="1" t="s">
        <v>2834</v>
      </c>
      <c r="F600" s="1" t="str">
        <f>"1564786285"</f>
        <v>1564786285</v>
      </c>
      <c r="G600" s="1" t="str">
        <f>"9781564786289"</f>
        <v>9781564786289</v>
      </c>
      <c r="H600" s="1">
        <v>0.0</v>
      </c>
      <c r="I600" s="1">
        <v>4.13</v>
      </c>
      <c r="J600" s="1" t="s">
        <v>2337</v>
      </c>
      <c r="K600" s="1" t="s">
        <v>44</v>
      </c>
      <c r="L600" s="1">
        <v>128.0</v>
      </c>
      <c r="M600" s="1">
        <v>2011.0</v>
      </c>
      <c r="N600" s="1">
        <v>2008.0</v>
      </c>
      <c r="P600" s="2">
        <v>44814.0</v>
      </c>
      <c r="Q600" s="1" t="s">
        <v>502</v>
      </c>
      <c r="R600" s="1" t="s">
        <v>2835</v>
      </c>
      <c r="S600" s="1" t="s">
        <v>32</v>
      </c>
      <c r="W600" s="1">
        <v>0.0</v>
      </c>
      <c r="X600" s="1">
        <v>0.0</v>
      </c>
    </row>
    <row r="601" spans="1:24" ht="15.75" customHeight="1">
      <c r="A601" s="1">
        <v>4604185.0</v>
      </c>
      <c r="B601" s="1" t="s">
        <v>2831</v>
      </c>
      <c r="C601" s="1" t="s">
        <v>2832</v>
      </c>
      <c r="D601" s="1" t="s">
        <v>2833</v>
      </c>
      <c r="F601" s="1" t="str">
        <f>"2846822360"</f>
        <v>2846822360</v>
      </c>
      <c r="G601" s="1" t="str">
        <f>"9782846822367"</f>
        <v>9782846822367</v>
      </c>
      <c r="H601" s="1">
        <v>3.0</v>
      </c>
      <c r="I601" s="1">
        <v>4.13</v>
      </c>
      <c r="J601" s="1" t="s">
        <v>2836</v>
      </c>
      <c r="K601" s="1" t="s">
        <v>44</v>
      </c>
      <c r="L601" s="1">
        <v>128.0</v>
      </c>
      <c r="M601" s="1">
        <v>2008.0</v>
      </c>
      <c r="N601" s="1">
        <v>2008.0</v>
      </c>
      <c r="O601" s="2">
        <v>41074.0</v>
      </c>
      <c r="P601" s="2">
        <v>41048.0</v>
      </c>
      <c r="S601" s="1" t="s">
        <v>271</v>
      </c>
      <c r="W601" s="1">
        <v>1.0</v>
      </c>
      <c r="X601" s="1">
        <v>0.0</v>
      </c>
    </row>
    <row r="602" spans="1:24" ht="15.75" customHeight="1">
      <c r="A602" s="1">
        <v>3.4230648E7</v>
      </c>
      <c r="B602" s="1" t="s">
        <v>2837</v>
      </c>
      <c r="C602" s="1" t="s">
        <v>2838</v>
      </c>
      <c r="D602" s="1" t="s">
        <v>2839</v>
      </c>
      <c r="E602" s="1" t="s">
        <v>2671</v>
      </c>
      <c r="F602" s="1" t="str">
        <f t="shared" si="38" ref="F602:G602">""</f>
        <v/>
      </c>
      <c r="G602" s="1" t="str">
        <f t="shared" si="38"/>
        <v/>
      </c>
      <c r="H602" s="1">
        <v>0.0</v>
      </c>
      <c r="I602" s="1">
        <v>3.92</v>
      </c>
      <c r="J602" s="1" t="s">
        <v>438</v>
      </c>
      <c r="K602" s="1" t="s">
        <v>29</v>
      </c>
      <c r="L602" s="1">
        <v>209.0</v>
      </c>
      <c r="M602" s="1">
        <v>2017.0</v>
      </c>
      <c r="N602" s="1">
        <v>2014.0</v>
      </c>
      <c r="P602" s="2">
        <v>44254.0</v>
      </c>
      <c r="Q602" s="1" t="s">
        <v>218</v>
      </c>
      <c r="R602" s="1" t="s">
        <v>2840</v>
      </c>
      <c r="S602" s="1" t="s">
        <v>32</v>
      </c>
      <c r="W602" s="1">
        <v>0.0</v>
      </c>
      <c r="X602" s="1">
        <v>0.0</v>
      </c>
    </row>
    <row r="603" spans="1:24" ht="15.75" customHeight="1">
      <c r="A603" s="1">
        <v>4.3842414E7</v>
      </c>
      <c r="B603" s="1" t="s">
        <v>2841</v>
      </c>
      <c r="C603" s="1" t="s">
        <v>2838</v>
      </c>
      <c r="D603" s="1" t="s">
        <v>2839</v>
      </c>
      <c r="E603" s="1" t="s">
        <v>2842</v>
      </c>
      <c r="F603" s="1" t="str">
        <f t="shared" si="39" ref="F603:G603">""</f>
        <v/>
      </c>
      <c r="G603" s="1" t="str">
        <f t="shared" si="39"/>
        <v/>
      </c>
      <c r="H603" s="1">
        <v>0.0</v>
      </c>
      <c r="I603" s="1">
        <v>4.14</v>
      </c>
      <c r="J603" s="1" t="s">
        <v>2843</v>
      </c>
      <c r="K603" s="1" t="s">
        <v>29</v>
      </c>
      <c r="L603" s="1">
        <v>82.0</v>
      </c>
      <c r="M603" s="1">
        <v>2019.0</v>
      </c>
      <c r="N603" s="1">
        <v>2018.0</v>
      </c>
      <c r="P603" s="2">
        <v>43952.0</v>
      </c>
      <c r="Q603" s="1" t="s">
        <v>32</v>
      </c>
      <c r="R603" s="1" t="s">
        <v>2844</v>
      </c>
      <c r="S603" s="1" t="s">
        <v>32</v>
      </c>
      <c r="W603" s="1">
        <v>0.0</v>
      </c>
      <c r="X603" s="1">
        <v>0.0</v>
      </c>
    </row>
    <row r="604" spans="1:24" ht="15.75" customHeight="1">
      <c r="A604" s="1">
        <v>662967.0</v>
      </c>
      <c r="B604" s="1" t="s">
        <v>2845</v>
      </c>
      <c r="C604" s="1" t="s">
        <v>2846</v>
      </c>
      <c r="D604" s="1" t="s">
        <v>2847</v>
      </c>
      <c r="F604" s="1" t="str">
        <f>"8420634204"</f>
        <v>8420634204</v>
      </c>
      <c r="G604" s="1" t="str">
        <f>"9788420634203"</f>
        <v>9788420634203</v>
      </c>
      <c r="H604" s="1">
        <v>0.0</v>
      </c>
      <c r="I604" s="1">
        <v>4.26</v>
      </c>
      <c r="J604" s="1" t="s">
        <v>2848</v>
      </c>
      <c r="K604" s="1" t="s">
        <v>44</v>
      </c>
      <c r="L604" s="1">
        <v>214.0</v>
      </c>
      <c r="M604" s="1">
        <v>1986.0</v>
      </c>
      <c r="N604" s="1">
        <v>1978.0</v>
      </c>
      <c r="P604" s="2">
        <v>45268.0</v>
      </c>
      <c r="Q604" s="1" t="s">
        <v>479</v>
      </c>
      <c r="R604" s="1" t="s">
        <v>2849</v>
      </c>
      <c r="S604" s="1" t="s">
        <v>32</v>
      </c>
      <c r="W604" s="1">
        <v>0.0</v>
      </c>
      <c r="X604" s="1">
        <v>0.0</v>
      </c>
    </row>
    <row r="605" spans="1:24" ht="15.75" customHeight="1">
      <c r="A605" s="56">
        <v>458386.0</v>
      </c>
      <c r="B605" s="56" t="s">
        <v>2850</v>
      </c>
      <c r="C605" s="56" t="s">
        <v>2846</v>
      </c>
      <c r="D605" s="56" t="s">
        <v>2847</v>
      </c>
      <c r="E605" s="57"/>
      <c r="F605" s="56" t="str">
        <f>"8466717099"</f>
        <v>8466717099</v>
      </c>
      <c r="G605" s="56" t="str">
        <f>"9788466717090"</f>
        <v>9788466717090</v>
      </c>
      <c r="H605" s="56">
        <v>0.0</v>
      </c>
      <c r="I605" s="56">
        <v>4.04</v>
      </c>
      <c r="J605" s="56" t="s">
        <v>2851</v>
      </c>
      <c r="K605" s="56" t="s">
        <v>44</v>
      </c>
      <c r="L605" s="56">
        <v>80.0</v>
      </c>
      <c r="M605" s="56">
        <v>2003.0</v>
      </c>
      <c r="N605" s="56">
        <v>2003.0</v>
      </c>
      <c r="O605" s="57"/>
      <c r="P605" s="58">
        <v>44167.0</v>
      </c>
      <c r="Q605" s="59" t="s">
        <v>1599</v>
      </c>
      <c r="R605" s="56" t="s">
        <v>2853</v>
      </c>
      <c r="S605" s="56" t="s">
        <v>32</v>
      </c>
      <c r="T605" s="57"/>
      <c r="U605" s="57"/>
      <c r="V605" s="57"/>
      <c r="W605" s="56">
        <v>0.0</v>
      </c>
      <c r="X605" s="56">
        <v>0.0</v>
      </c>
    </row>
    <row r="606" spans="1:24" ht="15.75" customHeight="1">
      <c r="A606" s="56">
        <v>2004951.0</v>
      </c>
      <c r="B606" s="56" t="s">
        <v>2854</v>
      </c>
      <c r="C606" s="56" t="s">
        <v>2846</v>
      </c>
      <c r="D606" s="56" t="s">
        <v>2847</v>
      </c>
      <c r="E606" s="57"/>
      <c r="F606" s="56" t="str">
        <f>"9509314757"</f>
        <v>9509314757</v>
      </c>
      <c r="G606" s="56" t="str">
        <f>"9789509314757"</f>
        <v>9789509314757</v>
      </c>
      <c r="H606" s="56">
        <v>0.0</v>
      </c>
      <c r="I606" s="56">
        <v>4.09</v>
      </c>
      <c r="J606" s="56" t="s">
        <v>2855</v>
      </c>
      <c r="K606" s="56" t="s">
        <v>44</v>
      </c>
      <c r="L606" s="56">
        <v>129.0</v>
      </c>
      <c r="M606" s="56">
        <v>1992.0</v>
      </c>
      <c r="N606" s="56">
        <v>1992.0</v>
      </c>
      <c r="O606" s="57"/>
      <c r="P606" s="58">
        <v>44166.0</v>
      </c>
      <c r="Q606" s="59" t="s">
        <v>1599</v>
      </c>
      <c r="R606" s="56" t="s">
        <v>2856</v>
      </c>
      <c r="S606" s="56" t="s">
        <v>32</v>
      </c>
      <c r="T606" s="57"/>
      <c r="U606" s="57"/>
      <c r="V606" s="57"/>
      <c r="W606" s="56">
        <v>0.0</v>
      </c>
      <c r="X606" s="56">
        <v>0.0</v>
      </c>
    </row>
    <row r="607" spans="1:24" ht="15.75" customHeight="1">
      <c r="A607" s="56">
        <v>187149.0</v>
      </c>
      <c r="B607" s="56" t="s">
        <v>2857</v>
      </c>
      <c r="C607" s="56" t="s">
        <v>2846</v>
      </c>
      <c r="D607" s="56" t="s">
        <v>2847</v>
      </c>
      <c r="E607" s="56" t="s">
        <v>2858</v>
      </c>
      <c r="F607" s="56" t="str">
        <f>"0853459916"</f>
        <v>0853459916</v>
      </c>
      <c r="G607" s="56" t="str">
        <f>"9780853459910"</f>
        <v>9780853459910</v>
      </c>
      <c r="H607" s="56">
        <v>0.0</v>
      </c>
      <c r="I607" s="56">
        <v>4.31</v>
      </c>
      <c r="J607" s="56" t="s">
        <v>1462</v>
      </c>
      <c r="K607" s="56" t="s">
        <v>44</v>
      </c>
      <c r="L607" s="56">
        <v>317.0</v>
      </c>
      <c r="M607" s="56">
        <v>1997.0</v>
      </c>
      <c r="N607" s="56">
        <v>1971.0</v>
      </c>
      <c r="O607" s="57"/>
      <c r="P607" s="58">
        <v>44017.0</v>
      </c>
      <c r="Q607" s="59" t="s">
        <v>1599</v>
      </c>
      <c r="R607" s="56" t="s">
        <v>2859</v>
      </c>
      <c r="S607" s="56" t="s">
        <v>32</v>
      </c>
      <c r="T607" s="57"/>
      <c r="U607" s="57"/>
      <c r="V607" s="57"/>
      <c r="W607" s="56">
        <v>0.0</v>
      </c>
      <c r="X607" s="56">
        <v>0.0</v>
      </c>
    </row>
    <row r="608" spans="1:24" ht="15.75" customHeight="1">
      <c r="A608" s="1">
        <v>257080.0</v>
      </c>
      <c r="B608" s="1" t="s">
        <v>2860</v>
      </c>
      <c r="C608" s="1" t="s">
        <v>2861</v>
      </c>
      <c r="D608" s="1" t="s">
        <v>2862</v>
      </c>
      <c r="F608" s="1" t="str">
        <f>"0813335582"</f>
        <v>0813335582</v>
      </c>
      <c r="G608" s="1" t="str">
        <f>"9780813335582"</f>
        <v>9780813335582</v>
      </c>
      <c r="H608" s="1">
        <v>0.0</v>
      </c>
      <c r="I608" s="1">
        <v>4.5</v>
      </c>
      <c r="J608" s="1" t="s">
        <v>2863</v>
      </c>
      <c r="K608" s="1" t="s">
        <v>44</v>
      </c>
      <c r="L608" s="1">
        <v>288.0</v>
      </c>
      <c r="M608" s="1">
        <v>1998.0</v>
      </c>
      <c r="N608" s="1">
        <v>1998.0</v>
      </c>
      <c r="P608" s="3">
        <v>45271.0</v>
      </c>
      <c r="Q608" s="1" t="s">
        <v>479</v>
      </c>
      <c r="R608" s="1" t="s">
        <v>2864</v>
      </c>
      <c r="S608" s="1" t="s">
        <v>32</v>
      </c>
      <c r="W608" s="1">
        <v>0.0</v>
      </c>
      <c r="X608" s="1">
        <v>0.0</v>
      </c>
    </row>
    <row r="609" spans="1:24" ht="15.75" customHeight="1">
      <c r="A609" s="1">
        <v>2.4507899E7</v>
      </c>
      <c r="B609" s="1" t="s">
        <v>2865</v>
      </c>
      <c r="C609" s="1" t="s">
        <v>2866</v>
      </c>
      <c r="D609" s="1" t="s">
        <v>2867</v>
      </c>
      <c r="F609" s="1" t="str">
        <f>"6071613396"</f>
        <v>6071613396</v>
      </c>
      <c r="G609" s="1" t="str">
        <f>"9786071613394"</f>
        <v>9786071613394</v>
      </c>
      <c r="H609" s="1">
        <v>0.0</v>
      </c>
      <c r="I609" s="1">
        <v>0.0</v>
      </c>
      <c r="J609" s="1" t="s">
        <v>1783</v>
      </c>
      <c r="K609" s="1" t="s">
        <v>29</v>
      </c>
      <c r="L609" s="1">
        <v>339.0</v>
      </c>
      <c r="P609" s="2">
        <v>44095.0</v>
      </c>
      <c r="Q609" s="1" t="s">
        <v>32</v>
      </c>
      <c r="R609" s="1" t="s">
        <v>2868</v>
      </c>
      <c r="S609" s="1" t="s">
        <v>32</v>
      </c>
      <c r="W609" s="1">
        <v>0.0</v>
      </c>
      <c r="X609" s="1">
        <v>0.0</v>
      </c>
    </row>
    <row r="610" spans="1:24" ht="15.75" customHeight="1">
      <c r="A610" s="1">
        <v>4.4151421E7</v>
      </c>
      <c r="B610" s="1" t="s">
        <v>2869</v>
      </c>
      <c r="C610" s="1" t="s">
        <v>2870</v>
      </c>
      <c r="D610" s="1" t="s">
        <v>2871</v>
      </c>
      <c r="F610" s="1" t="str">
        <f>"8417747109"</f>
        <v>8417747109</v>
      </c>
      <c r="G610" s="1" t="str">
        <f>"9788417747107"</f>
        <v>9788417747107</v>
      </c>
      <c r="H610" s="1">
        <v>0.0</v>
      </c>
      <c r="I610" s="1">
        <v>3.8</v>
      </c>
      <c r="J610" s="1" t="s">
        <v>2872</v>
      </c>
      <c r="K610" s="1" t="s">
        <v>44</v>
      </c>
      <c r="L610" s="1">
        <v>240.0</v>
      </c>
      <c r="M610" s="1">
        <v>2019.0</v>
      </c>
      <c r="P610" s="2">
        <v>44095.0</v>
      </c>
      <c r="Q610" s="1" t="s">
        <v>32</v>
      </c>
      <c r="R610" s="1" t="s">
        <v>2873</v>
      </c>
      <c r="S610" s="1" t="s">
        <v>32</v>
      </c>
      <c r="W610" s="1">
        <v>0.0</v>
      </c>
      <c r="X610" s="1">
        <v>0.0</v>
      </c>
    </row>
    <row r="611" spans="1:24" ht="15.75" customHeight="1">
      <c r="A611" s="1">
        <v>5.5278284E7</v>
      </c>
      <c r="B611" s="1" t="s">
        <v>2874</v>
      </c>
      <c r="C611" s="1" t="s">
        <v>2875</v>
      </c>
      <c r="D611" s="1" t="s">
        <v>2876</v>
      </c>
      <c r="F611" s="1" t="str">
        <f>"179720730X"</f>
        <v>179720730X</v>
      </c>
      <c r="G611" s="1" t="str">
        <f>"9781797207308"</f>
        <v>9781797207308</v>
      </c>
      <c r="H611" s="1">
        <v>0.0</v>
      </c>
      <c r="I611" s="1">
        <v>4.26</v>
      </c>
      <c r="J611" s="1" t="s">
        <v>2877</v>
      </c>
      <c r="K611" s="1" t="s">
        <v>37</v>
      </c>
      <c r="L611" s="1">
        <v>256.0</v>
      </c>
      <c r="M611" s="1">
        <v>2021.0</v>
      </c>
      <c r="N611" s="1">
        <v>2020.0</v>
      </c>
      <c r="P611" s="2">
        <v>45143.0</v>
      </c>
      <c r="Q611" s="1" t="s">
        <v>32</v>
      </c>
      <c r="R611" s="1" t="s">
        <v>2878</v>
      </c>
      <c r="S611" s="1" t="s">
        <v>32</v>
      </c>
      <c r="W611" s="1">
        <v>0.0</v>
      </c>
      <c r="X611" s="1">
        <v>0.0</v>
      </c>
    </row>
    <row r="612" spans="1:24" ht="15.75" customHeight="1">
      <c r="A612" s="1">
        <v>1196569.0</v>
      </c>
      <c r="B612" s="1" t="s">
        <v>2879</v>
      </c>
      <c r="C612" s="1" t="s">
        <v>2880</v>
      </c>
      <c r="D612" s="1" t="s">
        <v>2881</v>
      </c>
      <c r="F612" s="1" t="str">
        <f>"1406814970"</f>
        <v>1406814970</v>
      </c>
      <c r="G612" s="1" t="str">
        <f>"9781406814972"</f>
        <v>9781406814972</v>
      </c>
      <c r="H612" s="1">
        <v>0.0</v>
      </c>
      <c r="I612" s="1">
        <v>3.58</v>
      </c>
      <c r="J612" s="1" t="s">
        <v>2882</v>
      </c>
      <c r="K612" s="1" t="s">
        <v>44</v>
      </c>
      <c r="L612" s="1">
        <v>304.0</v>
      </c>
      <c r="M612" s="1">
        <v>2007.0</v>
      </c>
      <c r="N612" s="1">
        <v>1834.0</v>
      </c>
      <c r="P612" s="2">
        <v>45108.0</v>
      </c>
      <c r="Q612" s="1" t="s">
        <v>463</v>
      </c>
      <c r="R612" s="1" t="s">
        <v>2883</v>
      </c>
      <c r="S612" s="1" t="s">
        <v>32</v>
      </c>
      <c r="W612" s="1">
        <v>0.0</v>
      </c>
      <c r="X612" s="1">
        <v>0.0</v>
      </c>
    </row>
    <row r="613" spans="1:24" ht="15.75" customHeight="1">
      <c r="A613" s="1">
        <v>5.1134978E7</v>
      </c>
      <c r="B613" s="1" t="s">
        <v>2884</v>
      </c>
      <c r="C613" s="1" t="s">
        <v>2885</v>
      </c>
      <c r="D613" s="1" t="s">
        <v>2886</v>
      </c>
      <c r="F613" s="1" t="str">
        <f>"1913547035"</f>
        <v>1913547035</v>
      </c>
      <c r="G613" s="1" t="str">
        <f>"9781913547035"</f>
        <v>9781913547035</v>
      </c>
      <c r="H613" s="1">
        <v>0.0</v>
      </c>
      <c r="I613" s="1">
        <v>3.54</v>
      </c>
      <c r="J613" s="1" t="s">
        <v>2887</v>
      </c>
      <c r="K613" s="1" t="s">
        <v>44</v>
      </c>
      <c r="L613" s="1">
        <v>160.0</v>
      </c>
      <c r="M613" s="1">
        <v>2020.0</v>
      </c>
      <c r="N613" s="1">
        <v>2020.0</v>
      </c>
      <c r="P613" s="2">
        <v>44216.0</v>
      </c>
      <c r="Q613" s="1" t="s">
        <v>502</v>
      </c>
      <c r="R613" s="1" t="s">
        <v>2888</v>
      </c>
      <c r="S613" s="1" t="s">
        <v>32</v>
      </c>
      <c r="W613" s="1">
        <v>0.0</v>
      </c>
      <c r="X613" s="1">
        <v>0.0</v>
      </c>
    </row>
    <row r="614" spans="1:24" ht="15.75" customHeight="1">
      <c r="A614" s="1">
        <v>329326.0</v>
      </c>
      <c r="B614" s="1" t="s">
        <v>2889</v>
      </c>
      <c r="C614" s="1" t="s">
        <v>2885</v>
      </c>
      <c r="D614" s="1" t="s">
        <v>2886</v>
      </c>
      <c r="F614" s="1" t="str">
        <f>"0375709231"</f>
        <v>0375709231</v>
      </c>
      <c r="G614" s="1" t="str">
        <f>"9780375709234"</f>
        <v>9780375709234</v>
      </c>
      <c r="H614" s="1">
        <v>0.0</v>
      </c>
      <c r="I614" s="1">
        <v>3.9</v>
      </c>
      <c r="J614" s="1" t="s">
        <v>69</v>
      </c>
      <c r="K614" s="1" t="s">
        <v>44</v>
      </c>
      <c r="L614" s="1">
        <v>356.0</v>
      </c>
      <c r="M614" s="1">
        <v>2002.0</v>
      </c>
      <c r="N614" s="1">
        <v>2000.0</v>
      </c>
      <c r="P614" s="2">
        <v>44251.0</v>
      </c>
      <c r="Q614" s="1" t="s">
        <v>32</v>
      </c>
      <c r="R614" s="1" t="s">
        <v>2890</v>
      </c>
      <c r="S614" s="1" t="s">
        <v>32</v>
      </c>
      <c r="W614" s="1">
        <v>0.0</v>
      </c>
      <c r="X614" s="1">
        <v>0.0</v>
      </c>
    </row>
    <row r="615" spans="1:24" ht="15.75" customHeight="1">
      <c r="A615" s="1">
        <v>1.4894629E7</v>
      </c>
      <c r="B615" s="1" t="s">
        <v>2891</v>
      </c>
      <c r="C615" s="1" t="s">
        <v>2892</v>
      </c>
      <c r="D615" s="1" t="s">
        <v>2893</v>
      </c>
      <c r="F615" s="1" t="str">
        <f>"046500296X"</f>
        <v>046500296X</v>
      </c>
      <c r="G615" s="1" t="str">
        <f>"9780465002962"</f>
        <v>9780465002962</v>
      </c>
      <c r="H615" s="1">
        <v>0.0</v>
      </c>
      <c r="I615" s="1">
        <v>4.46</v>
      </c>
      <c r="J615" s="1" t="s">
        <v>1536</v>
      </c>
      <c r="K615" s="1" t="s">
        <v>37</v>
      </c>
      <c r="L615" s="1">
        <v>498.0</v>
      </c>
      <c r="M615" s="1">
        <v>2014.0</v>
      </c>
      <c r="N615" s="1">
        <v>2013.0</v>
      </c>
      <c r="P615" s="3">
        <v>44165.0</v>
      </c>
      <c r="Q615" s="1" t="s">
        <v>32</v>
      </c>
      <c r="R615" s="1" t="s">
        <v>2894</v>
      </c>
      <c r="S615" s="1" t="s">
        <v>32</v>
      </c>
      <c r="W615" s="1">
        <v>0.0</v>
      </c>
      <c r="X615" s="1">
        <v>0.0</v>
      </c>
    </row>
    <row r="616" spans="1:24" ht="15.75" customHeight="1">
      <c r="A616" s="1">
        <v>589743.0</v>
      </c>
      <c r="B616" s="1" t="s">
        <v>2895</v>
      </c>
      <c r="C616" s="1" t="s">
        <v>2896</v>
      </c>
      <c r="D616" s="1" t="s">
        <v>2897</v>
      </c>
      <c r="F616" s="1" t="str">
        <f>"1570626731"</f>
        <v>1570626731</v>
      </c>
      <c r="G616" s="1" t="str">
        <f>"9781570626739"</f>
        <v>9781570626739</v>
      </c>
      <c r="H616" s="1">
        <v>0.0</v>
      </c>
      <c r="I616" s="1">
        <v>4.05</v>
      </c>
      <c r="J616" s="1" t="s">
        <v>2898</v>
      </c>
      <c r="K616" s="1" t="s">
        <v>44</v>
      </c>
      <c r="L616" s="1">
        <v>210.0</v>
      </c>
      <c r="M616" s="1">
        <v>2001.0</v>
      </c>
      <c r="N616" s="1">
        <v>1994.0</v>
      </c>
      <c r="P616" s="2">
        <v>45114.0</v>
      </c>
      <c r="Q616" s="1" t="s">
        <v>725</v>
      </c>
      <c r="R616" s="1" t="s">
        <v>2899</v>
      </c>
      <c r="S616" s="1" t="s">
        <v>32</v>
      </c>
      <c r="W616" s="1">
        <v>0.0</v>
      </c>
      <c r="X616" s="1">
        <v>0.0</v>
      </c>
    </row>
    <row r="617" spans="1:24" ht="15.75" customHeight="1">
      <c r="A617" s="1">
        <v>1.7735647E7</v>
      </c>
      <c r="B617" s="1" t="s">
        <v>2900</v>
      </c>
      <c r="C617" s="1" t="s">
        <v>2901</v>
      </c>
      <c r="D617" s="1" t="s">
        <v>2902</v>
      </c>
      <c r="F617" s="1" t="str">
        <f>"0140522956"</f>
        <v>0140522956</v>
      </c>
      <c r="G617" s="1" t="str">
        <f>"9780140522952"</f>
        <v>9780140522952</v>
      </c>
      <c r="H617" s="1">
        <v>0.0</v>
      </c>
      <c r="I617" s="1">
        <v>4.1</v>
      </c>
      <c r="J617" s="1" t="s">
        <v>2903</v>
      </c>
      <c r="K617" s="1" t="s">
        <v>44</v>
      </c>
      <c r="L617" s="1">
        <v>139.0</v>
      </c>
      <c r="M617" s="1">
        <v>1972.0</v>
      </c>
      <c r="N617" s="1">
        <v>1972.0</v>
      </c>
      <c r="P617" s="2">
        <v>45171.0</v>
      </c>
      <c r="Q617" s="1" t="s">
        <v>32</v>
      </c>
      <c r="R617" s="1" t="s">
        <v>2904</v>
      </c>
      <c r="S617" s="1" t="s">
        <v>32</v>
      </c>
      <c r="W617" s="1">
        <v>0.0</v>
      </c>
      <c r="X617" s="1">
        <v>0.0</v>
      </c>
    </row>
    <row r="618" spans="1:24" ht="15.75" customHeight="1">
      <c r="A618" s="1">
        <v>1.28103956E8</v>
      </c>
      <c r="B618" s="1" t="s">
        <v>2905</v>
      </c>
      <c r="C618" s="1" t="s">
        <v>2906</v>
      </c>
      <c r="D618" s="1" t="s">
        <v>2907</v>
      </c>
      <c r="F618" s="1" t="str">
        <f t="shared" si="40" ref="F618:G618">""</f>
        <v/>
      </c>
      <c r="G618" s="1" t="str">
        <f t="shared" si="40"/>
        <v/>
      </c>
      <c r="H618" s="1">
        <v>0.0</v>
      </c>
      <c r="I618" s="1">
        <v>0.0</v>
      </c>
      <c r="J618" s="1" t="s">
        <v>2908</v>
      </c>
      <c r="K618" s="1" t="s">
        <v>37</v>
      </c>
      <c r="L618" s="1">
        <v>311.0</v>
      </c>
      <c r="M618" s="1">
        <v>1951.0</v>
      </c>
      <c r="P618" s="2">
        <v>45300.0</v>
      </c>
      <c r="Q618" s="1" t="s">
        <v>30</v>
      </c>
      <c r="R618" s="1" t="s">
        <v>2909</v>
      </c>
      <c r="S618" s="1" t="s">
        <v>32</v>
      </c>
      <c r="W618" s="1">
        <v>0.0</v>
      </c>
      <c r="X618" s="1">
        <v>0.0</v>
      </c>
    </row>
    <row r="619" spans="1:24" ht="15.75" customHeight="1">
      <c r="A619" s="1">
        <v>43432.0</v>
      </c>
      <c r="B619" s="1" t="s">
        <v>2910</v>
      </c>
      <c r="C619" s="1" t="s">
        <v>2911</v>
      </c>
      <c r="D619" s="1" t="s">
        <v>2912</v>
      </c>
      <c r="E619" s="1" t="s">
        <v>2366</v>
      </c>
      <c r="F619" s="1" t="str">
        <f>"1590170709"</f>
        <v>1590170709</v>
      </c>
      <c r="G619" s="1" t="str">
        <f>"9781590170700"</f>
        <v>9781590170700</v>
      </c>
      <c r="H619" s="1">
        <v>0.0</v>
      </c>
      <c r="I619" s="1">
        <v>3.88</v>
      </c>
      <c r="J619" s="1" t="s">
        <v>204</v>
      </c>
      <c r="K619" s="1" t="s">
        <v>44</v>
      </c>
      <c r="L619" s="1">
        <v>264.0</v>
      </c>
      <c r="M619" s="1">
        <v>2003.0</v>
      </c>
      <c r="N619" s="1">
        <v>1963.0</v>
      </c>
      <c r="P619" s="2">
        <v>45102.0</v>
      </c>
      <c r="Q619" s="1" t="s">
        <v>502</v>
      </c>
      <c r="R619" s="1" t="s">
        <v>2913</v>
      </c>
      <c r="S619" s="1" t="s">
        <v>32</v>
      </c>
      <c r="W619" s="1">
        <v>0.0</v>
      </c>
      <c r="X619" s="1">
        <v>0.0</v>
      </c>
    </row>
    <row r="620" spans="1:24" ht="15.75" customHeight="1">
      <c r="A620" s="1">
        <v>94706.0</v>
      </c>
      <c r="B620" s="1" t="s">
        <v>2914</v>
      </c>
      <c r="C620" s="1" t="s">
        <v>2915</v>
      </c>
      <c r="D620" s="1" t="s">
        <v>2916</v>
      </c>
      <c r="F620" s="1" t="str">
        <f>"0500201250"</f>
        <v>0500201250</v>
      </c>
      <c r="G620" s="1" t="str">
        <f>"9780500201251"</f>
        <v>9780500201251</v>
      </c>
      <c r="H620" s="1">
        <v>0.0</v>
      </c>
      <c r="I620" s="1">
        <v>3.85</v>
      </c>
      <c r="J620" s="1" t="s">
        <v>2917</v>
      </c>
      <c r="K620" s="1" t="s">
        <v>44</v>
      </c>
      <c r="L620" s="1">
        <v>216.0</v>
      </c>
      <c r="M620" s="1">
        <v>1985.0</v>
      </c>
      <c r="N620" s="1">
        <v>1972.0</v>
      </c>
      <c r="P620" s="2">
        <v>45086.0</v>
      </c>
      <c r="Q620" s="1" t="s">
        <v>1132</v>
      </c>
      <c r="R620" s="1" t="s">
        <v>2918</v>
      </c>
      <c r="S620" s="1" t="s">
        <v>32</v>
      </c>
      <c r="W620" s="1">
        <v>0.0</v>
      </c>
      <c r="X620" s="1">
        <v>0.0</v>
      </c>
    </row>
    <row r="621" spans="1:24" ht="15.75" customHeight="1">
      <c r="A621" s="1">
        <v>7170651.0</v>
      </c>
      <c r="B621" s="1" t="s">
        <v>2919</v>
      </c>
      <c r="C621" s="1" t="s">
        <v>2915</v>
      </c>
      <c r="D621" s="1" t="s">
        <v>2916</v>
      </c>
      <c r="F621" s="1" t="str">
        <f>"0061787779"</f>
        <v>0061787779</v>
      </c>
      <c r="G621" s="1" t="str">
        <f>"9780061787775"</f>
        <v>9780061787775</v>
      </c>
      <c r="H621" s="1">
        <v>0.0</v>
      </c>
      <c r="I621" s="1">
        <v>4.4</v>
      </c>
      <c r="J621" s="1" t="s">
        <v>558</v>
      </c>
      <c r="K621" s="1" t="s">
        <v>37</v>
      </c>
      <c r="L621" s="1">
        <v>192.0</v>
      </c>
      <c r="M621" s="1">
        <v>2009.0</v>
      </c>
      <c r="N621" s="1">
        <v>2009.0</v>
      </c>
      <c r="P621" s="2">
        <v>45086.0</v>
      </c>
      <c r="Q621" s="1" t="s">
        <v>1132</v>
      </c>
      <c r="R621" s="1" t="s">
        <v>2920</v>
      </c>
      <c r="S621" s="1" t="s">
        <v>32</v>
      </c>
      <c r="W621" s="1">
        <v>0.0</v>
      </c>
      <c r="X621" s="1">
        <v>0.0</v>
      </c>
    </row>
    <row r="622" spans="1:24" ht="15.75" customHeight="1">
      <c r="A622" s="1">
        <v>672798.0</v>
      </c>
      <c r="B622" s="1" t="s">
        <v>2921</v>
      </c>
      <c r="C622" s="1" t="s">
        <v>2915</v>
      </c>
      <c r="D622" s="1" t="s">
        <v>2916</v>
      </c>
      <c r="F622" s="1" t="str">
        <f>"014139000X"</f>
        <v>014139000X</v>
      </c>
      <c r="G622" s="1" t="str">
        <f>"9780141390000"</f>
        <v>9780141390000</v>
      </c>
      <c r="H622" s="1">
        <v>0.0</v>
      </c>
      <c r="I622" s="1">
        <v>4.0</v>
      </c>
      <c r="J622" s="1" t="s">
        <v>2922</v>
      </c>
      <c r="K622" s="1" t="s">
        <v>44</v>
      </c>
      <c r="M622" s="1">
        <v>2000.0</v>
      </c>
      <c r="N622" s="1">
        <v>1973.0</v>
      </c>
      <c r="P622" s="2">
        <v>44222.0</v>
      </c>
      <c r="Q622" s="1" t="s">
        <v>138</v>
      </c>
      <c r="R622" s="1" t="s">
        <v>2923</v>
      </c>
      <c r="S622" s="1" t="s">
        <v>32</v>
      </c>
      <c r="W622" s="1">
        <v>0.0</v>
      </c>
      <c r="X622" s="1">
        <v>0.0</v>
      </c>
    </row>
    <row r="623" spans="1:24" ht="15.75" customHeight="1">
      <c r="A623" s="1">
        <v>413445.0</v>
      </c>
      <c r="B623" s="1" t="s">
        <v>2924</v>
      </c>
      <c r="C623" s="1" t="s">
        <v>2925</v>
      </c>
      <c r="D623" s="1" t="s">
        <v>2926</v>
      </c>
      <c r="F623" s="1" t="str">
        <f>"0812215990"</f>
        <v>0812215990</v>
      </c>
      <c r="G623" s="1" t="str">
        <f>"9780812215991"</f>
        <v>9780812215991</v>
      </c>
      <c r="H623" s="1">
        <v>0.0</v>
      </c>
      <c r="I623" s="1">
        <v>3.53</v>
      </c>
      <c r="J623" s="1" t="s">
        <v>2927</v>
      </c>
      <c r="K623" s="1" t="s">
        <v>44</v>
      </c>
      <c r="L623" s="1">
        <v>304.0</v>
      </c>
      <c r="M623" s="1">
        <v>1996.0</v>
      </c>
      <c r="N623" s="1">
        <v>1985.0</v>
      </c>
      <c r="P623" s="2">
        <v>45299.0</v>
      </c>
      <c r="Q623" s="1" t="s">
        <v>30</v>
      </c>
      <c r="R623" s="1" t="s">
        <v>2928</v>
      </c>
      <c r="S623" s="1" t="s">
        <v>32</v>
      </c>
      <c r="W623" s="1">
        <v>0.0</v>
      </c>
      <c r="X623" s="1">
        <v>0.0</v>
      </c>
    </row>
    <row r="624" spans="1:24" ht="15.75" customHeight="1">
      <c r="A624" s="1">
        <v>1.4469841E7</v>
      </c>
      <c r="B624" s="1" t="s">
        <v>2929</v>
      </c>
      <c r="C624" s="1" t="s">
        <v>2930</v>
      </c>
      <c r="D624" s="1" t="s">
        <v>2931</v>
      </c>
      <c r="F624" s="1" t="str">
        <f t="shared" si="41" ref="F624:G624">""</f>
        <v/>
      </c>
      <c r="G624" s="1" t="str">
        <f t="shared" si="41"/>
        <v/>
      </c>
      <c r="H624" s="1">
        <v>0.0</v>
      </c>
      <c r="I624" s="1">
        <v>5.0</v>
      </c>
      <c r="J624" s="1" t="s">
        <v>2932</v>
      </c>
      <c r="K624" s="1" t="s">
        <v>37</v>
      </c>
      <c r="L624" s="1">
        <v>550.0</v>
      </c>
      <c r="M624" s="1">
        <v>1953.0</v>
      </c>
      <c r="N624" s="1">
        <v>1953.0</v>
      </c>
      <c r="P624" s="2">
        <v>45175.0</v>
      </c>
      <c r="Q624" s="1" t="s">
        <v>49</v>
      </c>
      <c r="R624" s="1" t="s">
        <v>2933</v>
      </c>
      <c r="S624" s="1" t="s">
        <v>32</v>
      </c>
      <c r="W624" s="1">
        <v>0.0</v>
      </c>
      <c r="X624" s="1">
        <v>0.0</v>
      </c>
    </row>
    <row r="625" spans="1:24" ht="15.75" customHeight="1">
      <c r="A625" s="1">
        <v>1.8551852E7</v>
      </c>
      <c r="B625" s="1" t="s">
        <v>2934</v>
      </c>
      <c r="C625" s="1" t="s">
        <v>2935</v>
      </c>
      <c r="D625" s="1" t="s">
        <v>2936</v>
      </c>
      <c r="F625" s="1" t="str">
        <f>"1299866131"</f>
        <v>1299866131</v>
      </c>
      <c r="G625" s="1" t="str">
        <f>"9781299866133"</f>
        <v>9781299866133</v>
      </c>
      <c r="H625" s="1">
        <v>0.0</v>
      </c>
      <c r="I625" s="1">
        <v>4.23</v>
      </c>
      <c r="J625" s="1" t="s">
        <v>2937</v>
      </c>
      <c r="K625" s="1" t="s">
        <v>37</v>
      </c>
      <c r="L625" s="1">
        <v>113.0</v>
      </c>
      <c r="M625" s="1">
        <v>1966.0</v>
      </c>
      <c r="N625" s="1">
        <v>1945.0</v>
      </c>
      <c r="P625" s="2">
        <v>45161.0</v>
      </c>
      <c r="Q625" s="1" t="s">
        <v>1821</v>
      </c>
      <c r="R625" s="1" t="s">
        <v>2938</v>
      </c>
      <c r="S625" s="1" t="s">
        <v>32</v>
      </c>
      <c r="W625" s="1">
        <v>0.0</v>
      </c>
      <c r="X625" s="1">
        <v>1.0</v>
      </c>
    </row>
    <row r="626" spans="1:24" ht="15.75" customHeight="1">
      <c r="A626" s="1">
        <v>78108.0</v>
      </c>
      <c r="B626" s="1" t="s">
        <v>2939</v>
      </c>
      <c r="C626" s="1" t="s">
        <v>2940</v>
      </c>
      <c r="D626" s="1" t="s">
        <v>2941</v>
      </c>
      <c r="F626" s="1" t="str">
        <f>"0375725741"</f>
        <v>0375725741</v>
      </c>
      <c r="G626" s="1" t="str">
        <f>"9780375725746"</f>
        <v>9780375725746</v>
      </c>
      <c r="H626" s="1">
        <v>0.0</v>
      </c>
      <c r="I626" s="1">
        <v>4.05</v>
      </c>
      <c r="J626" s="1" t="s">
        <v>69</v>
      </c>
      <c r="K626" s="1" t="s">
        <v>44</v>
      </c>
      <c r="L626" s="1">
        <v>411.0</v>
      </c>
      <c r="M626" s="1">
        <v>2001.0</v>
      </c>
      <c r="N626" s="1">
        <v>2000.0</v>
      </c>
      <c r="P626" s="3">
        <v>45251.0</v>
      </c>
      <c r="Q626" s="1" t="s">
        <v>2942</v>
      </c>
      <c r="R626" s="1" t="s">
        <v>2943</v>
      </c>
      <c r="S626" s="1" t="s">
        <v>32</v>
      </c>
      <c r="W626" s="1">
        <v>0.0</v>
      </c>
      <c r="X626" s="1">
        <v>0.0</v>
      </c>
    </row>
    <row r="627" spans="1:24" ht="15.75" customHeight="1">
      <c r="A627" s="1">
        <v>181630.0</v>
      </c>
      <c r="B627" s="1" t="s">
        <v>2944</v>
      </c>
      <c r="C627" s="1" t="s">
        <v>2940</v>
      </c>
      <c r="D627" s="1" t="s">
        <v>2941</v>
      </c>
      <c r="E627" s="1" t="s">
        <v>1881</v>
      </c>
      <c r="F627" s="1" t="str">
        <f>"0679767258"</f>
        <v>0679767258</v>
      </c>
      <c r="G627" s="1" t="str">
        <f>"9780679767251"</f>
        <v>9780679767251</v>
      </c>
      <c r="H627" s="1">
        <v>0.0</v>
      </c>
      <c r="I627" s="1">
        <v>4.19</v>
      </c>
      <c r="J627" s="1" t="s">
        <v>813</v>
      </c>
      <c r="K627" s="1" t="s">
        <v>44</v>
      </c>
      <c r="L627" s="1">
        <v>188.0</v>
      </c>
      <c r="M627" s="1">
        <v>1996.0</v>
      </c>
      <c r="N627" s="1">
        <v>1996.0</v>
      </c>
      <c r="P627" s="3">
        <v>45251.0</v>
      </c>
      <c r="Q627" s="1" t="s">
        <v>553</v>
      </c>
      <c r="R627" s="1" t="s">
        <v>2945</v>
      </c>
      <c r="S627" s="1" t="s">
        <v>32</v>
      </c>
      <c r="W627" s="1">
        <v>0.0</v>
      </c>
      <c r="X627" s="1">
        <v>0.0</v>
      </c>
    </row>
    <row r="628" spans="1:24" ht="15.75" customHeight="1">
      <c r="A628" s="1">
        <v>355190.0</v>
      </c>
      <c r="B628" s="1" t="s">
        <v>2946</v>
      </c>
      <c r="C628" s="1" t="s">
        <v>2940</v>
      </c>
      <c r="D628" s="1" t="s">
        <v>2941</v>
      </c>
      <c r="F628" s="1" t="str">
        <f t="shared" si="42" ref="F628:G628">""</f>
        <v/>
      </c>
      <c r="G628" s="1" t="str">
        <f t="shared" si="42"/>
        <v/>
      </c>
      <c r="H628" s="1">
        <v>0.0</v>
      </c>
      <c r="I628" s="1">
        <v>4.11</v>
      </c>
      <c r="J628" s="1" t="s">
        <v>69</v>
      </c>
      <c r="K628" s="1" t="s">
        <v>44</v>
      </c>
      <c r="L628" s="1">
        <v>424.0</v>
      </c>
      <c r="M628" s="1">
        <v>2003.0</v>
      </c>
      <c r="N628" s="1">
        <v>1978.0</v>
      </c>
      <c r="P628" s="3">
        <v>44165.0</v>
      </c>
      <c r="Q628" s="1" t="s">
        <v>55</v>
      </c>
      <c r="R628" s="1" t="s">
        <v>2947</v>
      </c>
      <c r="S628" s="1" t="s">
        <v>32</v>
      </c>
      <c r="W628" s="1">
        <v>0.0</v>
      </c>
      <c r="X628" s="1">
        <v>0.0</v>
      </c>
    </row>
    <row r="629" spans="1:24" ht="15.75" customHeight="1">
      <c r="A629" s="42">
        <v>166314.0</v>
      </c>
      <c r="B629" s="42" t="s">
        <v>2948</v>
      </c>
      <c r="C629" s="42" t="s">
        <v>2940</v>
      </c>
      <c r="D629" s="42" t="s">
        <v>2941</v>
      </c>
      <c r="E629" s="43"/>
      <c r="F629" s="42" t="str">
        <f>"0679761276"</f>
        <v>0679761276</v>
      </c>
      <c r="G629" s="42" t="str">
        <f>"9780679761273"</f>
        <v>9780679761273</v>
      </c>
      <c r="H629" s="42">
        <v>0.0</v>
      </c>
      <c r="I629" s="42">
        <v>3.98</v>
      </c>
      <c r="J629" s="42" t="s">
        <v>69</v>
      </c>
      <c r="K629" s="42" t="s">
        <v>44</v>
      </c>
      <c r="L629" s="42">
        <v>121.0</v>
      </c>
      <c r="M629" s="42">
        <v>1996.0</v>
      </c>
      <c r="N629" s="42">
        <v>1994.0</v>
      </c>
      <c r="O629" s="43"/>
      <c r="P629" s="46">
        <v>45251.0</v>
      </c>
      <c r="Q629" s="45" t="s">
        <v>2852</v>
      </c>
      <c r="R629" s="42" t="s">
        <v>2950</v>
      </c>
      <c r="S629" s="42" t="s">
        <v>32</v>
      </c>
      <c r="T629" s="43"/>
      <c r="U629" s="43"/>
      <c r="V629" s="43"/>
      <c r="W629" s="42">
        <v>0.0</v>
      </c>
      <c r="X629" s="42">
        <v>0.0</v>
      </c>
    </row>
    <row r="630" spans="1:24" ht="15.75" customHeight="1">
      <c r="A630" s="42">
        <v>57546.0</v>
      </c>
      <c r="B630" s="42" t="s">
        <v>2951</v>
      </c>
      <c r="C630" s="42" t="s">
        <v>2940</v>
      </c>
      <c r="D630" s="42" t="s">
        <v>2941</v>
      </c>
      <c r="E630" s="43"/>
      <c r="F630" s="42" t="str">
        <f>"0679739882"</f>
        <v>0679739882</v>
      </c>
      <c r="G630" s="42" t="str">
        <f>"9780679739883"</f>
        <v>9780679739883</v>
      </c>
      <c r="H630" s="42">
        <v>0.0</v>
      </c>
      <c r="I630" s="42">
        <v>4.29</v>
      </c>
      <c r="J630" s="42" t="s">
        <v>69</v>
      </c>
      <c r="K630" s="42" t="s">
        <v>44</v>
      </c>
      <c r="L630" s="42">
        <v>320.0</v>
      </c>
      <c r="M630" s="42">
        <v>1992.0</v>
      </c>
      <c r="N630" s="42">
        <v>1979.0</v>
      </c>
      <c r="O630" s="43"/>
      <c r="P630" s="46">
        <v>45247.0</v>
      </c>
      <c r="Q630" s="45" t="s">
        <v>2852</v>
      </c>
      <c r="R630" s="42" t="s">
        <v>2952</v>
      </c>
      <c r="S630" s="42" t="s">
        <v>32</v>
      </c>
      <c r="T630" s="43"/>
      <c r="U630" s="43"/>
      <c r="V630" s="43"/>
      <c r="W630" s="42">
        <v>0.0</v>
      </c>
      <c r="X630" s="42">
        <v>0.0</v>
      </c>
    </row>
    <row r="631" spans="1:24" ht="15.75" customHeight="1">
      <c r="A631" s="42">
        <v>22135.0</v>
      </c>
      <c r="B631" s="42" t="s">
        <v>2953</v>
      </c>
      <c r="C631" s="42" t="s">
        <v>2940</v>
      </c>
      <c r="D631" s="42" t="s">
        <v>2941</v>
      </c>
      <c r="E631" s="43"/>
      <c r="F631" s="42" t="str">
        <f>"0679750541"</f>
        <v>0679750541</v>
      </c>
      <c r="G631" s="42" t="str">
        <f>"9780679750543"</f>
        <v>9780679750543</v>
      </c>
      <c r="H631" s="42">
        <v>0.0</v>
      </c>
      <c r="I631" s="42">
        <v>4.18</v>
      </c>
      <c r="J631" s="42" t="s">
        <v>69</v>
      </c>
      <c r="K631" s="42" t="s">
        <v>44</v>
      </c>
      <c r="L631" s="42">
        <v>402.0</v>
      </c>
      <c r="M631" s="42">
        <v>1994.0</v>
      </c>
      <c r="N631" s="42">
        <v>1993.0</v>
      </c>
      <c r="O631" s="43"/>
      <c r="P631" s="44">
        <v>45170.0</v>
      </c>
      <c r="Q631" s="45" t="s">
        <v>2852</v>
      </c>
      <c r="R631" s="42" t="s">
        <v>2954</v>
      </c>
      <c r="S631" s="42" t="s">
        <v>32</v>
      </c>
      <c r="T631" s="43"/>
      <c r="U631" s="43"/>
      <c r="V631" s="43"/>
      <c r="W631" s="42">
        <v>0.0</v>
      </c>
      <c r="X631" s="42">
        <v>0.0</v>
      </c>
    </row>
    <row r="632" spans="1:24" ht="15.75" customHeight="1">
      <c r="A632" s="1">
        <v>433567.0</v>
      </c>
      <c r="B632" s="1" t="s">
        <v>2955</v>
      </c>
      <c r="C632" s="1" t="s">
        <v>2956</v>
      </c>
      <c r="D632" s="1" t="s">
        <v>2957</v>
      </c>
      <c r="F632" s="1" t="str">
        <f>"048627263X"</f>
        <v>048627263X</v>
      </c>
      <c r="G632" s="1" t="str">
        <f>"9780486272634"</f>
        <v>9780486272634</v>
      </c>
      <c r="H632" s="1">
        <v>0.0</v>
      </c>
      <c r="I632" s="1">
        <v>3.81</v>
      </c>
      <c r="J632" s="1" t="s">
        <v>2958</v>
      </c>
      <c r="K632" s="1" t="s">
        <v>44</v>
      </c>
      <c r="L632" s="1">
        <v>96.0</v>
      </c>
      <c r="M632" s="1">
        <v>1992.0</v>
      </c>
      <c r="N632" s="1">
        <v>1884.0</v>
      </c>
      <c r="P632" s="2">
        <v>45157.0</v>
      </c>
      <c r="Q632" s="1" t="s">
        <v>32</v>
      </c>
      <c r="R632" s="1" t="s">
        <v>2959</v>
      </c>
      <c r="S632" s="1" t="s">
        <v>32</v>
      </c>
      <c r="W632" s="1">
        <v>0.0</v>
      </c>
      <c r="X632" s="1">
        <v>0.0</v>
      </c>
    </row>
    <row r="633" spans="1:24" ht="15.75" customHeight="1">
      <c r="A633" s="1">
        <v>3.8526823E7</v>
      </c>
      <c r="B633" s="1" t="s">
        <v>2960</v>
      </c>
      <c r="C633" s="1" t="s">
        <v>2961</v>
      </c>
      <c r="D633" s="1" t="s">
        <v>2962</v>
      </c>
      <c r="F633" s="1" t="str">
        <f>"0802128556"</f>
        <v>0802128556</v>
      </c>
      <c r="G633" s="1" t="str">
        <f>"9780802128553"</f>
        <v>9780802128553</v>
      </c>
      <c r="H633" s="1">
        <v>2.0</v>
      </c>
      <c r="I633" s="1">
        <v>3.49</v>
      </c>
      <c r="J633" s="1" t="s">
        <v>663</v>
      </c>
      <c r="K633" s="1" t="s">
        <v>44</v>
      </c>
      <c r="L633" s="1">
        <v>224.0</v>
      </c>
      <c r="M633" s="1">
        <v>2018.0</v>
      </c>
      <c r="N633" s="1">
        <v>2017.0</v>
      </c>
      <c r="O633" s="2">
        <v>43919.0</v>
      </c>
      <c r="P633" s="2">
        <v>43864.0</v>
      </c>
      <c r="Q633" s="1">
        <v>0.0</v>
      </c>
      <c r="R633" s="1" t="s">
        <v>2963</v>
      </c>
      <c r="S633" s="1" t="s">
        <v>271</v>
      </c>
      <c r="W633" s="1">
        <v>1.0</v>
      </c>
      <c r="X633" s="1">
        <v>1.0</v>
      </c>
    </row>
    <row r="634" spans="1:24" ht="15.75" customHeight="1">
      <c r="A634" s="1">
        <v>2.4826361E7</v>
      </c>
      <c r="B634" s="1" t="s">
        <v>2964</v>
      </c>
      <c r="C634" s="1" t="s">
        <v>2965</v>
      </c>
      <c r="D634" s="1" t="s">
        <v>2966</v>
      </c>
      <c r="E634" s="1" t="s">
        <v>2967</v>
      </c>
      <c r="F634" s="1" t="str">
        <f>"0811223639"</f>
        <v>0811223639</v>
      </c>
      <c r="G634" s="1" t="str">
        <f>"9780811223638"</f>
        <v>9780811223638</v>
      </c>
      <c r="H634" s="1">
        <v>0.0</v>
      </c>
      <c r="I634" s="1">
        <v>4.06</v>
      </c>
      <c r="J634" s="1" t="s">
        <v>419</v>
      </c>
      <c r="K634" s="1" t="s">
        <v>44</v>
      </c>
      <c r="L634" s="1">
        <v>470.0</v>
      </c>
      <c r="M634" s="1">
        <v>2015.0</v>
      </c>
      <c r="N634" s="1">
        <v>2002.0</v>
      </c>
      <c r="P634" s="2">
        <v>42345.0</v>
      </c>
      <c r="Q634" s="1" t="s">
        <v>502</v>
      </c>
      <c r="R634" s="1" t="s">
        <v>2968</v>
      </c>
      <c r="S634" s="1" t="s">
        <v>32</v>
      </c>
      <c r="W634" s="1">
        <v>0.0</v>
      </c>
      <c r="X634" s="1">
        <v>0.0</v>
      </c>
    </row>
    <row r="635" spans="1:24" ht="15.75" customHeight="1">
      <c r="A635" s="1">
        <v>923950.0</v>
      </c>
      <c r="B635" s="1" t="s">
        <v>2969</v>
      </c>
      <c r="C635" s="1" t="s">
        <v>2970</v>
      </c>
      <c r="D635" s="1" t="s">
        <v>2971</v>
      </c>
      <c r="F635" s="1" t="str">
        <f>"0553062182"</f>
        <v>0553062182</v>
      </c>
      <c r="G635" s="1" t="str">
        <f>"9780553062182"</f>
        <v>9780553062182</v>
      </c>
      <c r="H635" s="1">
        <v>0.0</v>
      </c>
      <c r="I635" s="1">
        <v>3.85</v>
      </c>
      <c r="J635" s="1" t="s">
        <v>2972</v>
      </c>
      <c r="K635" s="1" t="s">
        <v>44</v>
      </c>
      <c r="L635" s="1">
        <v>251.0</v>
      </c>
      <c r="M635" s="1">
        <v>1997.0</v>
      </c>
      <c r="N635" s="1">
        <v>1997.0</v>
      </c>
      <c r="P635" s="2">
        <v>45173.0</v>
      </c>
      <c r="Q635" s="1" t="s">
        <v>32</v>
      </c>
      <c r="R635" s="1" t="s">
        <v>2973</v>
      </c>
      <c r="S635" s="1" t="s">
        <v>32</v>
      </c>
      <c r="W635" s="1">
        <v>0.0</v>
      </c>
      <c r="X635" s="1">
        <v>0.0</v>
      </c>
    </row>
    <row r="636" spans="1:24" ht="15.75" customHeight="1">
      <c r="A636" s="1">
        <v>22470.0</v>
      </c>
      <c r="B636" s="1" t="s">
        <v>2974</v>
      </c>
      <c r="C636" s="1" t="s">
        <v>2975</v>
      </c>
      <c r="D636" s="1" t="s">
        <v>2976</v>
      </c>
      <c r="F636" s="1" t="str">
        <f>"0679731180"</f>
        <v>0679731180</v>
      </c>
      <c r="G636" s="1" t="str">
        <f>"9780679731184"</f>
        <v>9780679731184</v>
      </c>
      <c r="H636" s="1">
        <v>0.0</v>
      </c>
      <c r="I636" s="1">
        <v>3.91</v>
      </c>
      <c r="J636" s="1" t="s">
        <v>69</v>
      </c>
      <c r="K636" s="1" t="s">
        <v>44</v>
      </c>
      <c r="L636" s="1">
        <v>214.0</v>
      </c>
      <c r="M636" s="1">
        <v>1996.0</v>
      </c>
      <c r="N636" s="1">
        <v>1995.0</v>
      </c>
      <c r="P636" s="3">
        <v>45214.0</v>
      </c>
      <c r="Q636" s="1" t="s">
        <v>32</v>
      </c>
      <c r="R636" s="1" t="s">
        <v>2977</v>
      </c>
      <c r="S636" s="1" t="s">
        <v>32</v>
      </c>
      <c r="W636" s="1">
        <v>0.0</v>
      </c>
      <c r="X636" s="1">
        <v>0.0</v>
      </c>
    </row>
    <row r="637" spans="1:24" ht="15.75" customHeight="1">
      <c r="A637" s="1">
        <v>110763.0</v>
      </c>
      <c r="B637" s="1" t="s">
        <v>2978</v>
      </c>
      <c r="C637" s="1" t="s">
        <v>2975</v>
      </c>
      <c r="D637" s="1" t="s">
        <v>2976</v>
      </c>
      <c r="F637" s="1" t="str">
        <f>"0679724532"</f>
        <v>0679724532</v>
      </c>
      <c r="G637" s="1" t="str">
        <f>"9780679724537"</f>
        <v>9780679724537</v>
      </c>
      <c r="H637" s="1">
        <v>0.0</v>
      </c>
      <c r="I637" s="1">
        <v>3.94</v>
      </c>
      <c r="J637" s="1" t="s">
        <v>69</v>
      </c>
      <c r="K637" s="1" t="s">
        <v>44</v>
      </c>
      <c r="L637" s="1">
        <v>218.0</v>
      </c>
      <c r="M637" s="1">
        <v>1989.0</v>
      </c>
      <c r="N637" s="1">
        <v>1979.0</v>
      </c>
      <c r="P637" s="2">
        <v>45173.0</v>
      </c>
      <c r="Q637" s="1" t="s">
        <v>32</v>
      </c>
      <c r="R637" s="1" t="s">
        <v>2979</v>
      </c>
      <c r="S637" s="1" t="s">
        <v>32</v>
      </c>
      <c r="W637" s="1">
        <v>0.0</v>
      </c>
      <c r="X637" s="1">
        <v>0.0</v>
      </c>
    </row>
    <row r="638" spans="1:24" ht="15.75" customHeight="1">
      <c r="A638" s="1">
        <v>118287.0</v>
      </c>
      <c r="B638" s="1" t="s">
        <v>2980</v>
      </c>
      <c r="C638" s="1" t="s">
        <v>2981</v>
      </c>
      <c r="D638" s="1" t="s">
        <v>2982</v>
      </c>
      <c r="F638" s="1" t="str">
        <f>"0195049969"</f>
        <v>0195049969</v>
      </c>
      <c r="G638" s="1" t="str">
        <f>"9780195049961"</f>
        <v>9780195049961</v>
      </c>
      <c r="H638" s="1">
        <v>0.0</v>
      </c>
      <c r="I638" s="1">
        <v>4.13</v>
      </c>
      <c r="J638" s="1" t="s">
        <v>181</v>
      </c>
      <c r="K638" s="1" t="s">
        <v>44</v>
      </c>
      <c r="L638" s="1">
        <v>400.0</v>
      </c>
      <c r="M638" s="1">
        <v>1987.0</v>
      </c>
      <c r="N638" s="1">
        <v>1985.0</v>
      </c>
      <c r="P638" s="2">
        <v>42816.0</v>
      </c>
      <c r="Q638" s="1" t="s">
        <v>2983</v>
      </c>
      <c r="R638" s="1" t="s">
        <v>2984</v>
      </c>
      <c r="S638" s="1" t="s">
        <v>32</v>
      </c>
      <c r="W638" s="1">
        <v>0.0</v>
      </c>
      <c r="X638" s="1">
        <v>1.0</v>
      </c>
    </row>
    <row r="639" spans="1:24" ht="15.75" customHeight="1">
      <c r="A639" s="1">
        <v>1.733323E7</v>
      </c>
      <c r="B639" s="1" t="s">
        <v>2985</v>
      </c>
      <c r="C639" s="1" t="s">
        <v>2986</v>
      </c>
      <c r="D639" s="1" t="s">
        <v>2987</v>
      </c>
      <c r="F639" s="1" t="str">
        <f>"0316074314"</f>
        <v>0316074314</v>
      </c>
      <c r="G639" s="1" t="str">
        <f>"9780316074315"</f>
        <v>9780316074315</v>
      </c>
      <c r="H639" s="1">
        <v>0.0</v>
      </c>
      <c r="I639" s="1">
        <v>3.74</v>
      </c>
      <c r="J639" s="1" t="s">
        <v>1963</v>
      </c>
      <c r="K639" s="1" t="s">
        <v>37</v>
      </c>
      <c r="L639" s="1">
        <v>848.0</v>
      </c>
      <c r="M639" s="1">
        <v>2013.0</v>
      </c>
      <c r="N639" s="1">
        <v>2013.0</v>
      </c>
      <c r="P639" s="2">
        <v>45111.0</v>
      </c>
      <c r="Q639" s="1" t="s">
        <v>261</v>
      </c>
      <c r="R639" s="1" t="s">
        <v>2988</v>
      </c>
      <c r="S639" s="1" t="s">
        <v>32</v>
      </c>
      <c r="W639" s="1">
        <v>0.0</v>
      </c>
      <c r="X639" s="1">
        <v>0.0</v>
      </c>
    </row>
    <row r="640" spans="1:24" ht="15.75" customHeight="1">
      <c r="A640" s="1">
        <v>1.88531496E8</v>
      </c>
      <c r="B640" s="1" t="s">
        <v>2989</v>
      </c>
      <c r="C640" s="1" t="s">
        <v>2990</v>
      </c>
      <c r="D640" s="1" t="s">
        <v>2991</v>
      </c>
      <c r="E640" s="1" t="s">
        <v>2992</v>
      </c>
      <c r="F640" s="1" t="str">
        <f>"0300142153"</f>
        <v>0300142153</v>
      </c>
      <c r="G640" s="1" t="str">
        <f>"9780300142150"</f>
        <v>9780300142150</v>
      </c>
      <c r="H640" s="1">
        <v>0.0</v>
      </c>
      <c r="I640" s="1">
        <v>3.7</v>
      </c>
      <c r="J640" s="1" t="s">
        <v>962</v>
      </c>
      <c r="K640" s="1" t="s">
        <v>37</v>
      </c>
      <c r="L640" s="1">
        <v>496.0</v>
      </c>
      <c r="M640" s="1">
        <v>2024.0</v>
      </c>
      <c r="N640" s="1">
        <v>1995.0</v>
      </c>
      <c r="P640" s="3">
        <v>45255.0</v>
      </c>
      <c r="Q640" s="1" t="s">
        <v>502</v>
      </c>
      <c r="R640" s="1" t="s">
        <v>2993</v>
      </c>
      <c r="S640" s="1" t="s">
        <v>32</v>
      </c>
      <c r="W640" s="1">
        <v>0.0</v>
      </c>
      <c r="X640" s="1">
        <v>0.0</v>
      </c>
    </row>
    <row r="641" spans="1:24" ht="15.75" customHeight="1">
      <c r="A641" s="1">
        <v>1787444.0</v>
      </c>
      <c r="B641" s="1" t="s">
        <v>2994</v>
      </c>
      <c r="C641" s="1" t="s">
        <v>2995</v>
      </c>
      <c r="D641" s="1" t="s">
        <v>2996</v>
      </c>
      <c r="F641" s="1" t="str">
        <f>"0140036164"</f>
        <v>0140036164</v>
      </c>
      <c r="G641" s="1" t="str">
        <f>"9780140036169"</f>
        <v>9780140036169</v>
      </c>
      <c r="H641" s="1">
        <v>0.0</v>
      </c>
      <c r="I641" s="1">
        <v>4.09</v>
      </c>
      <c r="J641" s="1" t="s">
        <v>2997</v>
      </c>
      <c r="K641" s="1" t="s">
        <v>44</v>
      </c>
      <c r="L641" s="1">
        <v>576.0</v>
      </c>
      <c r="M641" s="1">
        <v>1973.0</v>
      </c>
      <c r="N641" s="1">
        <v>1960.0</v>
      </c>
      <c r="P641" s="2">
        <v>45115.0</v>
      </c>
      <c r="Q641" s="1" t="s">
        <v>32</v>
      </c>
      <c r="R641" s="1" t="s">
        <v>2998</v>
      </c>
      <c r="S641" s="1" t="s">
        <v>32</v>
      </c>
      <c r="W641" s="1">
        <v>0.0</v>
      </c>
      <c r="X641" s="1">
        <v>0.0</v>
      </c>
    </row>
    <row r="642" spans="1:24" ht="15.75" customHeight="1">
      <c r="A642" s="1">
        <v>6642715.0</v>
      </c>
      <c r="B642" s="1" t="s">
        <v>2999</v>
      </c>
      <c r="C642" s="1" t="s">
        <v>3000</v>
      </c>
      <c r="D642" s="1" t="s">
        <v>3001</v>
      </c>
      <c r="F642" s="1" t="str">
        <f t="shared" si="43" ref="F642:G642">""</f>
        <v/>
      </c>
      <c r="G642" s="1" t="str">
        <f t="shared" si="43"/>
        <v/>
      </c>
      <c r="H642" s="1">
        <v>0.0</v>
      </c>
      <c r="I642" s="1">
        <v>4.13</v>
      </c>
      <c r="J642" s="1" t="s">
        <v>1137</v>
      </c>
      <c r="K642" s="1" t="s">
        <v>37</v>
      </c>
      <c r="L642" s="1">
        <v>354.0</v>
      </c>
      <c r="M642" s="1">
        <v>2010.0</v>
      </c>
      <c r="N642" s="1">
        <v>2009.0</v>
      </c>
      <c r="P642" s="2">
        <v>41358.0</v>
      </c>
      <c r="Q642" s="1" t="s">
        <v>32</v>
      </c>
      <c r="R642" s="1" t="s">
        <v>3002</v>
      </c>
      <c r="S642" s="1" t="s">
        <v>32</v>
      </c>
      <c r="W642" s="1">
        <v>0.0</v>
      </c>
      <c r="X642" s="1">
        <v>0.0</v>
      </c>
    </row>
    <row r="643" spans="1:24" ht="15.75" customHeight="1">
      <c r="A643" s="1">
        <v>5.0922731E7</v>
      </c>
      <c r="B643" s="1" t="s">
        <v>3003</v>
      </c>
      <c r="C643" s="1" t="s">
        <v>3004</v>
      </c>
      <c r="D643" s="1" t="s">
        <v>3005</v>
      </c>
      <c r="E643" s="1" t="s">
        <v>3006</v>
      </c>
      <c r="F643" s="1" t="str">
        <f>"0811229866"</f>
        <v>0811229866</v>
      </c>
      <c r="G643" s="1" t="str">
        <f>"9780811229869"</f>
        <v>9780811229869</v>
      </c>
      <c r="H643" s="1">
        <v>0.0</v>
      </c>
      <c r="I643" s="1">
        <v>4.16</v>
      </c>
      <c r="J643" s="1" t="s">
        <v>419</v>
      </c>
      <c r="K643" s="1" t="s">
        <v>37</v>
      </c>
      <c r="L643" s="1">
        <v>160.0</v>
      </c>
      <c r="M643" s="1">
        <v>2020.0</v>
      </c>
      <c r="N643" s="1">
        <v>2020.0</v>
      </c>
      <c r="P643" s="2">
        <v>45078.0</v>
      </c>
      <c r="Q643" s="1" t="s">
        <v>32</v>
      </c>
      <c r="R643" s="1" t="s">
        <v>3007</v>
      </c>
      <c r="S643" s="1" t="s">
        <v>32</v>
      </c>
      <c r="W643" s="1">
        <v>0.0</v>
      </c>
      <c r="X643" s="1">
        <v>0.0</v>
      </c>
    </row>
    <row r="644" spans="1:24" ht="15.75" customHeight="1">
      <c r="A644" s="1">
        <v>753801.0</v>
      </c>
      <c r="B644" s="1" t="s">
        <v>3008</v>
      </c>
      <c r="C644" s="1" t="s">
        <v>3004</v>
      </c>
      <c r="D644" s="1" t="s">
        <v>3005</v>
      </c>
      <c r="F644" s="1" t="str">
        <f>"0811216942"</f>
        <v>0811216942</v>
      </c>
      <c r="G644" s="1" t="str">
        <f>"9780811216944"</f>
        <v>9780811216944</v>
      </c>
      <c r="H644" s="1">
        <v>0.0</v>
      </c>
      <c r="I644" s="1">
        <v>4.28</v>
      </c>
      <c r="J644" s="1" t="s">
        <v>419</v>
      </c>
      <c r="K644" s="1" t="s">
        <v>44</v>
      </c>
      <c r="L644" s="1">
        <v>194.0</v>
      </c>
      <c r="M644" s="1">
        <v>2007.0</v>
      </c>
      <c r="N644" s="1">
        <v>2007.0</v>
      </c>
      <c r="P644" s="2">
        <v>43437.0</v>
      </c>
      <c r="Q644" s="1" t="s">
        <v>32</v>
      </c>
      <c r="R644" s="1" t="s">
        <v>3009</v>
      </c>
      <c r="S644" s="1" t="s">
        <v>32</v>
      </c>
      <c r="W644" s="1">
        <v>0.0</v>
      </c>
      <c r="X644" s="1">
        <v>0.0</v>
      </c>
    </row>
    <row r="645" spans="1:24" ht="15.75" customHeight="1">
      <c r="A645" s="1">
        <v>3.5132783E7</v>
      </c>
      <c r="B645" s="1" t="s">
        <v>3010</v>
      </c>
      <c r="C645" s="1" t="s">
        <v>3011</v>
      </c>
      <c r="D645" s="1" t="s">
        <v>3012</v>
      </c>
      <c r="F645" s="1" t="str">
        <f>"1546563504"</f>
        <v>1546563504</v>
      </c>
      <c r="G645" s="1" t="str">
        <f>"9781546563501"</f>
        <v>9781546563501</v>
      </c>
      <c r="H645" s="1">
        <v>0.0</v>
      </c>
      <c r="I645" s="1">
        <v>4.45</v>
      </c>
      <c r="J645" s="1" t="s">
        <v>3013</v>
      </c>
      <c r="K645" s="1" t="s">
        <v>44</v>
      </c>
      <c r="L645" s="1">
        <v>342.0</v>
      </c>
      <c r="M645" s="1">
        <v>2017.0</v>
      </c>
      <c r="N645" s="1">
        <v>1862.0</v>
      </c>
      <c r="P645" s="2">
        <v>45070.0</v>
      </c>
      <c r="Q645" s="1" t="s">
        <v>502</v>
      </c>
      <c r="R645" s="1" t="s">
        <v>3014</v>
      </c>
      <c r="S645" s="1" t="s">
        <v>32</v>
      </c>
      <c r="W645" s="1">
        <v>0.0</v>
      </c>
      <c r="X645" s="1">
        <v>0.0</v>
      </c>
    </row>
    <row r="646" spans="1:24" ht="15.75" customHeight="1">
      <c r="A646" s="1">
        <v>302616.0</v>
      </c>
      <c r="B646" s="1" t="s">
        <v>3015</v>
      </c>
      <c r="C646" s="1" t="s">
        <v>3011</v>
      </c>
      <c r="D646" s="1" t="s">
        <v>3012</v>
      </c>
      <c r="E646" s="1" t="s">
        <v>402</v>
      </c>
      <c r="F646" s="1" t="str">
        <f>"0877280789"</f>
        <v>0877280789</v>
      </c>
      <c r="G646" s="1" t="str">
        <f>"9780877280781"</f>
        <v>9780877280781</v>
      </c>
      <c r="H646" s="1">
        <v>0.0</v>
      </c>
      <c r="I646" s="1">
        <v>4.05</v>
      </c>
      <c r="J646" s="1" t="s">
        <v>3016</v>
      </c>
      <c r="K646" s="1" t="s">
        <v>44</v>
      </c>
      <c r="L646" s="1">
        <v>224.0</v>
      </c>
      <c r="M646" s="1">
        <v>2001.0</v>
      </c>
      <c r="N646" s="1">
        <v>1861.0</v>
      </c>
      <c r="P646" s="2">
        <v>45169.0</v>
      </c>
      <c r="Q646" s="1" t="s">
        <v>32</v>
      </c>
      <c r="R646" s="1" t="s">
        <v>3017</v>
      </c>
      <c r="S646" s="1" t="s">
        <v>32</v>
      </c>
      <c r="W646" s="1">
        <v>0.0</v>
      </c>
      <c r="X646" s="1">
        <v>0.0</v>
      </c>
    </row>
    <row r="647" spans="1:24" ht="15.75" customHeight="1">
      <c r="A647" s="1">
        <v>302604.0</v>
      </c>
      <c r="B647" s="1" t="s">
        <v>3018</v>
      </c>
      <c r="C647" s="1" t="s">
        <v>3011</v>
      </c>
      <c r="D647" s="1" t="s">
        <v>3012</v>
      </c>
      <c r="E647" s="1" t="s">
        <v>3019</v>
      </c>
      <c r="F647" s="1" t="str">
        <f>"0877289298"</f>
        <v>0877289298</v>
      </c>
      <c r="G647" s="1" t="str">
        <f>"9780877289296"</f>
        <v>9780877289296</v>
      </c>
      <c r="H647" s="1">
        <v>0.0</v>
      </c>
      <c r="I647" s="1">
        <v>3.8</v>
      </c>
      <c r="J647" s="1" t="s">
        <v>405</v>
      </c>
      <c r="K647" s="1" t="s">
        <v>44</v>
      </c>
      <c r="L647" s="1">
        <v>384.0</v>
      </c>
      <c r="M647" s="1">
        <v>1999.0</v>
      </c>
      <c r="N647" s="1">
        <v>1860.0</v>
      </c>
      <c r="P647" s="2">
        <v>45070.0</v>
      </c>
      <c r="Q647" s="1" t="s">
        <v>32</v>
      </c>
      <c r="R647" s="1" t="s">
        <v>3020</v>
      </c>
      <c r="S647" s="1" t="s">
        <v>32</v>
      </c>
      <c r="W647" s="1">
        <v>0.0</v>
      </c>
      <c r="X647" s="1">
        <v>0.0</v>
      </c>
    </row>
    <row r="648" spans="1:24" ht="15.75" customHeight="1">
      <c r="A648" s="1">
        <v>4.1397373E7</v>
      </c>
      <c r="B648" s="1" t="s">
        <v>3021</v>
      </c>
      <c r="C648" s="1" t="s">
        <v>3022</v>
      </c>
      <c r="D648" s="1" t="s">
        <v>3023</v>
      </c>
      <c r="F648" s="1" t="str">
        <f>"1939568269"</f>
        <v>1939568269</v>
      </c>
      <c r="G648" s="1" t="str">
        <f>"9781939568267"</f>
        <v>9781939568267</v>
      </c>
      <c r="H648" s="1">
        <v>0.0</v>
      </c>
      <c r="I648" s="1">
        <v>4.01</v>
      </c>
      <c r="J648" s="1" t="s">
        <v>3024</v>
      </c>
      <c r="K648" s="1" t="s">
        <v>44</v>
      </c>
      <c r="L648" s="1">
        <v>184.0</v>
      </c>
      <c r="M648" s="1">
        <v>2018.0</v>
      </c>
      <c r="N648" s="1">
        <v>2018.0</v>
      </c>
      <c r="P648" s="2">
        <v>44055.0</v>
      </c>
      <c r="Q648" s="1" t="s">
        <v>32</v>
      </c>
      <c r="R648" s="1" t="s">
        <v>3025</v>
      </c>
      <c r="S648" s="1" t="s">
        <v>32</v>
      </c>
      <c r="W648" s="1">
        <v>0.0</v>
      </c>
      <c r="X648" s="1">
        <v>0.0</v>
      </c>
    </row>
    <row r="649" spans="1:24" ht="15.75" customHeight="1">
      <c r="A649" s="1">
        <v>974866.0</v>
      </c>
      <c r="B649" s="1" t="s">
        <v>3026</v>
      </c>
      <c r="C649" s="1" t="s">
        <v>3027</v>
      </c>
      <c r="D649" s="1" t="s">
        <v>3028</v>
      </c>
      <c r="F649" s="1" t="str">
        <f>"0943358019"</f>
        <v>0943358019</v>
      </c>
      <c r="G649" s="1" t="str">
        <f>"9780943358017"</f>
        <v>9780943358017</v>
      </c>
      <c r="H649" s="1">
        <v>0.0</v>
      </c>
      <c r="I649" s="1">
        <v>4.39</v>
      </c>
      <c r="J649" s="1" t="s">
        <v>3029</v>
      </c>
      <c r="K649" s="1" t="s">
        <v>44</v>
      </c>
      <c r="M649" s="1">
        <v>1983.0</v>
      </c>
      <c r="N649" s="1">
        <v>1975.0</v>
      </c>
      <c r="P649" s="3">
        <v>44908.0</v>
      </c>
      <c r="Q649" s="1" t="s">
        <v>32</v>
      </c>
      <c r="R649" s="1" t="s">
        <v>3030</v>
      </c>
      <c r="S649" s="1" t="s">
        <v>32</v>
      </c>
      <c r="W649" s="1">
        <v>0.0</v>
      </c>
      <c r="X649" s="1">
        <v>0.0</v>
      </c>
    </row>
    <row r="650" spans="1:24" ht="15.75" customHeight="1">
      <c r="A650" s="1">
        <v>316298.0</v>
      </c>
      <c r="B650" s="1" t="s">
        <v>3031</v>
      </c>
      <c r="C650" s="1" t="s">
        <v>3032</v>
      </c>
      <c r="D650" s="1" t="s">
        <v>3033</v>
      </c>
      <c r="F650" s="1" t="str">
        <f>"0300030991"</f>
        <v>0300030991</v>
      </c>
      <c r="G650" s="1" t="str">
        <f>"9780300030990"</f>
        <v>9780300030990</v>
      </c>
      <c r="H650" s="1">
        <v>0.0</v>
      </c>
      <c r="I650" s="1">
        <v>4.33</v>
      </c>
      <c r="J650" s="1" t="s">
        <v>962</v>
      </c>
      <c r="K650" s="1" t="s">
        <v>44</v>
      </c>
      <c r="L650" s="1">
        <v>563.0</v>
      </c>
      <c r="M650" s="1">
        <v>1983.0</v>
      </c>
      <c r="N650" s="1">
        <v>1982.0</v>
      </c>
      <c r="P650" s="2">
        <v>43155.0</v>
      </c>
      <c r="Q650" s="1" t="s">
        <v>32</v>
      </c>
      <c r="R650" s="1" t="s">
        <v>3034</v>
      </c>
      <c r="S650" s="1" t="s">
        <v>32</v>
      </c>
      <c r="W650" s="1">
        <v>0.0</v>
      </c>
      <c r="X650" s="1">
        <v>0.0</v>
      </c>
    </row>
    <row r="651" spans="1:24" ht="15.75" customHeight="1">
      <c r="A651" s="1">
        <v>5.4112567E7</v>
      </c>
      <c r="B651" s="1" t="s">
        <v>3035</v>
      </c>
      <c r="C651" s="1" t="s">
        <v>3036</v>
      </c>
      <c r="D651" s="1" t="s">
        <v>3037</v>
      </c>
      <c r="F651" s="1" t="str">
        <f>"195114239X"</f>
        <v>195114239X</v>
      </c>
      <c r="G651" s="1" t="str">
        <f>"9781951142391"</f>
        <v>9781951142391</v>
      </c>
      <c r="H651" s="1">
        <v>0.0</v>
      </c>
      <c r="I651" s="1">
        <v>3.8</v>
      </c>
      <c r="J651" s="1" t="s">
        <v>3038</v>
      </c>
      <c r="K651" s="1" t="s">
        <v>37</v>
      </c>
      <c r="L651" s="1">
        <v>432.0</v>
      </c>
      <c r="M651" s="1">
        <v>2021.0</v>
      </c>
      <c r="N651" s="1">
        <v>2021.0</v>
      </c>
      <c r="P651" s="2">
        <v>44216.0</v>
      </c>
      <c r="Q651" s="1" t="s">
        <v>338</v>
      </c>
      <c r="R651" s="1" t="s">
        <v>3039</v>
      </c>
      <c r="S651" s="1" t="s">
        <v>32</v>
      </c>
      <c r="W651" s="1">
        <v>0.0</v>
      </c>
      <c r="X651" s="1">
        <v>0.0</v>
      </c>
    </row>
    <row r="652" spans="1:24" ht="15.75" customHeight="1">
      <c r="A652" s="1">
        <v>4143256.0</v>
      </c>
      <c r="B652" s="1" t="s">
        <v>3040</v>
      </c>
      <c r="C652" s="1" t="s">
        <v>3041</v>
      </c>
      <c r="D652" s="1" t="s">
        <v>3042</v>
      </c>
      <c r="F652" s="1" t="str">
        <f>"0892540729"</f>
        <v>0892540729</v>
      </c>
      <c r="G652" s="1" t="str">
        <f>"9780892540723"</f>
        <v>9780892540723</v>
      </c>
      <c r="H652" s="1">
        <v>0.0</v>
      </c>
      <c r="I652" s="1">
        <v>3.88</v>
      </c>
      <c r="J652" s="1" t="s">
        <v>3043</v>
      </c>
      <c r="K652" s="1" t="s">
        <v>44</v>
      </c>
      <c r="L652" s="1">
        <v>284.0</v>
      </c>
      <c r="M652" s="1">
        <v>2003.0</v>
      </c>
      <c r="P652" s="2">
        <v>44960.0</v>
      </c>
      <c r="Q652" s="1" t="s">
        <v>935</v>
      </c>
      <c r="R652" s="1" t="s">
        <v>3044</v>
      </c>
      <c r="S652" s="1" t="s">
        <v>32</v>
      </c>
      <c r="W652" s="1">
        <v>0.0</v>
      </c>
      <c r="X652" s="1">
        <v>0.0</v>
      </c>
    </row>
    <row r="653" spans="1:24" ht="15.75" customHeight="1">
      <c r="A653" s="1">
        <v>1049299.0</v>
      </c>
      <c r="B653" s="1" t="s">
        <v>3045</v>
      </c>
      <c r="C653" s="1" t="s">
        <v>3046</v>
      </c>
      <c r="D653" s="1" t="s">
        <v>3047</v>
      </c>
      <c r="F653" s="1" t="str">
        <f>"1582344639"</f>
        <v>1582344639</v>
      </c>
      <c r="G653" s="1" t="str">
        <f>"9781582344638"</f>
        <v>9781582344638</v>
      </c>
      <c r="H653" s="1">
        <v>0.0</v>
      </c>
      <c r="I653" s="1">
        <v>4.04</v>
      </c>
      <c r="J653" s="1" t="s">
        <v>2489</v>
      </c>
      <c r="K653" s="1" t="s">
        <v>37</v>
      </c>
      <c r="L653" s="1">
        <v>304.0</v>
      </c>
      <c r="M653" s="1">
        <v>2004.0</v>
      </c>
      <c r="N653" s="1">
        <v>2004.0</v>
      </c>
      <c r="P653" s="2">
        <v>45127.0</v>
      </c>
      <c r="Q653" s="1" t="s">
        <v>338</v>
      </c>
      <c r="R653" s="1" t="s">
        <v>3048</v>
      </c>
      <c r="S653" s="1" t="s">
        <v>32</v>
      </c>
      <c r="W653" s="1">
        <v>0.0</v>
      </c>
      <c r="X653" s="1">
        <v>0.0</v>
      </c>
    </row>
    <row r="654" spans="1:24" ht="15.75" customHeight="1">
      <c r="A654" s="1">
        <v>2.1853732E7</v>
      </c>
      <c r="B654" s="1" t="s">
        <v>3049</v>
      </c>
      <c r="C654" s="1" t="s">
        <v>3046</v>
      </c>
      <c r="D654" s="1" t="s">
        <v>3047</v>
      </c>
      <c r="F654" s="1" t="str">
        <f>"1250062187"</f>
        <v>1250062187</v>
      </c>
      <c r="G654" s="1" t="str">
        <f>"9781250062185"</f>
        <v>9781250062185</v>
      </c>
      <c r="H654" s="1">
        <v>0.0</v>
      </c>
      <c r="I654" s="1">
        <v>4.15</v>
      </c>
      <c r="J654" s="1" t="s">
        <v>1006</v>
      </c>
      <c r="K654" s="1" t="s">
        <v>44</v>
      </c>
      <c r="L654" s="1">
        <v>336.0</v>
      </c>
      <c r="M654" s="1">
        <v>2015.0</v>
      </c>
      <c r="N654" s="1">
        <v>2014.0</v>
      </c>
      <c r="P654" s="2">
        <v>45151.0</v>
      </c>
      <c r="Q654" s="1" t="s">
        <v>3050</v>
      </c>
      <c r="R654" s="1" t="s">
        <v>3051</v>
      </c>
      <c r="S654" s="1" t="s">
        <v>32</v>
      </c>
      <c r="W654" s="1">
        <v>0.0</v>
      </c>
      <c r="X654" s="1">
        <v>1.0</v>
      </c>
    </row>
    <row r="655" spans="1:24" ht="15.75" customHeight="1">
      <c r="A655" s="1">
        <v>5.737099E7</v>
      </c>
      <c r="B655" s="1" t="s">
        <v>3052</v>
      </c>
      <c r="C655" s="1" t="s">
        <v>3053</v>
      </c>
      <c r="D655" s="1" t="s">
        <v>3054</v>
      </c>
      <c r="F655" s="1" t="str">
        <f>"1681376016"</f>
        <v>1681376016</v>
      </c>
      <c r="G655" s="1" t="str">
        <f>"9781681376011"</f>
        <v>9781681376011</v>
      </c>
      <c r="H655" s="1">
        <v>0.0</v>
      </c>
      <c r="I655" s="1">
        <v>4.38</v>
      </c>
      <c r="J655" s="1" t="s">
        <v>204</v>
      </c>
      <c r="K655" s="1" t="s">
        <v>44</v>
      </c>
      <c r="L655" s="1">
        <v>496.0</v>
      </c>
      <c r="M655" s="1">
        <v>2022.0</v>
      </c>
      <c r="N655" s="1">
        <v>1961.0</v>
      </c>
      <c r="P655" s="2">
        <v>45102.0</v>
      </c>
      <c r="Q655" s="1" t="s">
        <v>38</v>
      </c>
      <c r="R655" s="1" t="s">
        <v>3055</v>
      </c>
      <c r="S655" s="1" t="s">
        <v>32</v>
      </c>
      <c r="W655" s="1">
        <v>0.0</v>
      </c>
      <c r="X655" s="1">
        <v>0.0</v>
      </c>
    </row>
    <row r="656" spans="1:24" ht="15.75" customHeight="1">
      <c r="A656" s="1">
        <v>48987.0</v>
      </c>
      <c r="B656" s="1" t="s">
        <v>3056</v>
      </c>
      <c r="C656" s="1" t="s">
        <v>3057</v>
      </c>
      <c r="D656" s="1" t="s">
        <v>3058</v>
      </c>
      <c r="F656" s="1" t="str">
        <f>"0679738045"</f>
        <v>0679738045</v>
      </c>
      <c r="G656" s="1" t="str">
        <f>"9780679738046"</f>
        <v>9780679738046</v>
      </c>
      <c r="H656" s="1">
        <v>0.0</v>
      </c>
      <c r="I656" s="1">
        <v>3.53</v>
      </c>
      <c r="J656" s="1" t="s">
        <v>69</v>
      </c>
      <c r="K656" s="1" t="s">
        <v>44</v>
      </c>
      <c r="L656" s="1">
        <v>240.0</v>
      </c>
      <c r="M656" s="1">
        <v>1992.0</v>
      </c>
      <c r="N656" s="1">
        <v>1945.0</v>
      </c>
      <c r="P656" s="2">
        <v>41049.0</v>
      </c>
      <c r="Q656" s="1" t="s">
        <v>32</v>
      </c>
      <c r="R656" s="1" t="s">
        <v>3059</v>
      </c>
      <c r="S656" s="1" t="s">
        <v>32</v>
      </c>
      <c r="W656" s="1">
        <v>0.0</v>
      </c>
      <c r="X656" s="1">
        <v>0.0</v>
      </c>
    </row>
    <row r="657" spans="1:24" ht="15.75" customHeight="1">
      <c r="A657" s="1">
        <v>5.8535239E7</v>
      </c>
      <c r="B657" s="1" t="s">
        <v>3060</v>
      </c>
      <c r="C657" s="1" t="s">
        <v>3061</v>
      </c>
      <c r="D657" s="1" t="s">
        <v>3062</v>
      </c>
      <c r="E657" s="1" t="s">
        <v>3063</v>
      </c>
      <c r="F657" s="1" t="str">
        <f t="shared" si="44" ref="F657:G657">""</f>
        <v/>
      </c>
      <c r="G657" s="1" t="str">
        <f t="shared" si="44"/>
        <v/>
      </c>
      <c r="H657" s="1">
        <v>0.0</v>
      </c>
      <c r="I657" s="1">
        <v>4.01</v>
      </c>
      <c r="J657" s="1" t="s">
        <v>204</v>
      </c>
      <c r="K657" s="1" t="s">
        <v>29</v>
      </c>
      <c r="L657" s="1">
        <v>209.0</v>
      </c>
      <c r="M657" s="1">
        <v>2021.0</v>
      </c>
      <c r="N657" s="1">
        <v>1971.0</v>
      </c>
      <c r="P657" s="2">
        <v>45102.0</v>
      </c>
      <c r="Q657" s="1" t="s">
        <v>32</v>
      </c>
      <c r="R657" s="1" t="s">
        <v>3064</v>
      </c>
      <c r="S657" s="1" t="s">
        <v>32</v>
      </c>
      <c r="W657" s="1">
        <v>0.0</v>
      </c>
      <c r="X657" s="1">
        <v>0.0</v>
      </c>
    </row>
    <row r="658" spans="1:24" ht="15.75" customHeight="1">
      <c r="A658" s="1">
        <v>3.0265353E7</v>
      </c>
      <c r="B658" s="1" t="s">
        <v>3065</v>
      </c>
      <c r="C658" s="1" t="s">
        <v>3066</v>
      </c>
      <c r="D658" s="1" t="s">
        <v>3067</v>
      </c>
      <c r="F658" s="1" t="str">
        <f>"1786630680"</f>
        <v>1786630680</v>
      </c>
      <c r="G658" s="1" t="str">
        <f>"9781786630681"</f>
        <v>9781786630681</v>
      </c>
      <c r="H658" s="1">
        <v>0.0</v>
      </c>
      <c r="I658" s="1">
        <v>4.18</v>
      </c>
      <c r="J658" s="1" t="s">
        <v>367</v>
      </c>
      <c r="K658" s="1" t="s">
        <v>44</v>
      </c>
      <c r="L658" s="1">
        <v>224.0</v>
      </c>
      <c r="M658" s="1">
        <v>2017.0</v>
      </c>
      <c r="N658" s="1">
        <v>1999.0</v>
      </c>
      <c r="P658" s="2">
        <v>45129.0</v>
      </c>
      <c r="Q658" s="1" t="s">
        <v>788</v>
      </c>
      <c r="R658" s="1" t="s">
        <v>3068</v>
      </c>
      <c r="S658" s="1" t="s">
        <v>32</v>
      </c>
      <c r="W658" s="1">
        <v>0.0</v>
      </c>
      <c r="X658" s="1">
        <v>1.0</v>
      </c>
    </row>
    <row r="659" spans="1:24" ht="15.75" customHeight="1">
      <c r="A659" s="1">
        <v>1.2401695E7</v>
      </c>
      <c r="B659" s="1" t="s">
        <v>3069</v>
      </c>
      <c r="C659" s="1" t="s">
        <v>3070</v>
      </c>
      <c r="D659" s="1" t="s">
        <v>3071</v>
      </c>
      <c r="F659" s="1" t="str">
        <f>"1250002494"</f>
        <v>1250002494</v>
      </c>
      <c r="G659" s="1" t="str">
        <f>"9781250002495"</f>
        <v>9781250002495</v>
      </c>
      <c r="H659" s="1">
        <v>0.0</v>
      </c>
      <c r="I659" s="1">
        <v>3.72</v>
      </c>
      <c r="J659" s="1" t="s">
        <v>1006</v>
      </c>
      <c r="K659" s="1" t="s">
        <v>44</v>
      </c>
      <c r="L659" s="1">
        <v>384.0</v>
      </c>
      <c r="M659" s="1">
        <v>2012.0</v>
      </c>
      <c r="P659" s="3">
        <v>44480.0</v>
      </c>
      <c r="Q659" s="1" t="s">
        <v>32</v>
      </c>
      <c r="R659" s="1" t="s">
        <v>3072</v>
      </c>
      <c r="S659" s="1" t="s">
        <v>32</v>
      </c>
      <c r="W659" s="1">
        <v>0.0</v>
      </c>
      <c r="X659" s="1">
        <v>0.0</v>
      </c>
    </row>
    <row r="660" spans="1:24" ht="15.75" customHeight="1">
      <c r="A660" s="1">
        <v>251802.0</v>
      </c>
      <c r="B660" s="1" t="s">
        <v>3073</v>
      </c>
      <c r="C660" s="1" t="s">
        <v>3074</v>
      </c>
      <c r="D660" s="1" t="s">
        <v>3075</v>
      </c>
      <c r="E660" s="1" t="s">
        <v>3076</v>
      </c>
      <c r="F660" s="1" t="str">
        <f>"0435072374"</f>
        <v>0435072374</v>
      </c>
      <c r="G660" s="1" t="str">
        <f>"9780435072377"</f>
        <v>9780435072377</v>
      </c>
      <c r="H660" s="1">
        <v>0.0</v>
      </c>
      <c r="I660" s="1">
        <v>4.16</v>
      </c>
      <c r="J660" s="1" t="s">
        <v>3077</v>
      </c>
      <c r="K660" s="1" t="s">
        <v>44</v>
      </c>
      <c r="L660" s="1">
        <v>255.0</v>
      </c>
      <c r="M660" s="1">
        <v>1997.0</v>
      </c>
      <c r="N660" s="1">
        <v>1997.0</v>
      </c>
      <c r="P660" s="2">
        <v>45164.0</v>
      </c>
      <c r="Q660" s="1" t="s">
        <v>32</v>
      </c>
      <c r="R660" s="1" t="s">
        <v>3078</v>
      </c>
      <c r="S660" s="1" t="s">
        <v>32</v>
      </c>
      <c r="W660" s="1">
        <v>0.0</v>
      </c>
      <c r="X660" s="1">
        <v>0.0</v>
      </c>
    </row>
    <row r="661" spans="1:24" ht="15.75" customHeight="1">
      <c r="A661" s="1">
        <v>1098486.0</v>
      </c>
      <c r="B661" s="1" t="s">
        <v>3079</v>
      </c>
      <c r="C661" s="1" t="s">
        <v>3080</v>
      </c>
      <c r="D661" s="1" t="s">
        <v>3081</v>
      </c>
      <c r="F661" s="1" t="str">
        <f>"140130138X"</f>
        <v>140130138X</v>
      </c>
      <c r="G661" s="1" t="str">
        <f>"9781401301385"</f>
        <v>9781401301385</v>
      </c>
      <c r="H661" s="1">
        <v>0.0</v>
      </c>
      <c r="I661" s="1">
        <v>4.3</v>
      </c>
      <c r="J661" s="1" t="s">
        <v>998</v>
      </c>
      <c r="K661" s="1" t="s">
        <v>37</v>
      </c>
      <c r="L661" s="1">
        <v>340.0</v>
      </c>
      <c r="M661" s="1">
        <v>2007.0</v>
      </c>
      <c r="N661" s="1">
        <v>2007.0</v>
      </c>
      <c r="P661" s="2">
        <v>41650.0</v>
      </c>
      <c r="Q661" s="1" t="s">
        <v>32</v>
      </c>
      <c r="R661" s="1" t="s">
        <v>3082</v>
      </c>
      <c r="S661" s="1" t="s">
        <v>32</v>
      </c>
      <c r="W661" s="1">
        <v>0.0</v>
      </c>
      <c r="X661" s="1">
        <v>0.0</v>
      </c>
    </row>
    <row r="662" spans="1:24" ht="15.75" customHeight="1">
      <c r="A662" s="1">
        <v>3378170.0</v>
      </c>
      <c r="B662" s="1" t="s">
        <v>3083</v>
      </c>
      <c r="C662" s="1" t="s">
        <v>3084</v>
      </c>
      <c r="D662" s="1" t="s">
        <v>3085</v>
      </c>
      <c r="F662" s="1" t="str">
        <f>"0405074417"</f>
        <v>0405074417</v>
      </c>
      <c r="G662" s="1" t="str">
        <f>"9780405074417"</f>
        <v>9780405074417</v>
      </c>
      <c r="H662" s="1">
        <v>0.0</v>
      </c>
      <c r="I662" s="1">
        <v>4.44</v>
      </c>
      <c r="J662" s="1" t="s">
        <v>3086</v>
      </c>
      <c r="K662" s="1" t="s">
        <v>37</v>
      </c>
      <c r="L662" s="1">
        <v>280.0</v>
      </c>
      <c r="M662" s="1">
        <v>1921.0</v>
      </c>
      <c r="N662" s="1">
        <v>2002.0</v>
      </c>
      <c r="P662" s="2">
        <v>45173.0</v>
      </c>
      <c r="Q662" s="1" t="s">
        <v>249</v>
      </c>
      <c r="R662" s="1" t="s">
        <v>3087</v>
      </c>
      <c r="S662" s="1" t="s">
        <v>32</v>
      </c>
      <c r="W662" s="1">
        <v>0.0</v>
      </c>
      <c r="X662" s="1">
        <v>0.0</v>
      </c>
    </row>
    <row r="663" spans="1:24" ht="15.75" customHeight="1">
      <c r="A663" s="1">
        <v>300448.0</v>
      </c>
      <c r="B663" s="1" t="s">
        <v>3088</v>
      </c>
      <c r="C663" s="1" t="s">
        <v>3089</v>
      </c>
      <c r="D663" s="1" t="s">
        <v>3090</v>
      </c>
      <c r="E663" s="1" t="s">
        <v>3091</v>
      </c>
      <c r="F663" s="1" t="str">
        <f>"0226106748"</f>
        <v>0226106748</v>
      </c>
      <c r="G663" s="1" t="str">
        <f>"9780226106748"</f>
        <v>9780226106748</v>
      </c>
      <c r="H663" s="1">
        <v>0.0</v>
      </c>
      <c r="I663" s="1">
        <v>4.11</v>
      </c>
      <c r="J663" s="1" t="s">
        <v>78</v>
      </c>
      <c r="K663" s="1" t="s">
        <v>44</v>
      </c>
      <c r="L663" s="1">
        <v>154.0</v>
      </c>
      <c r="M663" s="1">
        <v>1998.0</v>
      </c>
      <c r="N663" s="1">
        <v>1937.0</v>
      </c>
      <c r="P663" s="2">
        <v>45182.0</v>
      </c>
      <c r="Q663" s="1" t="s">
        <v>249</v>
      </c>
      <c r="R663" s="1" t="s">
        <v>3092</v>
      </c>
      <c r="S663" s="1" t="s">
        <v>32</v>
      </c>
      <c r="W663" s="1">
        <v>0.0</v>
      </c>
      <c r="X663" s="1">
        <v>0.0</v>
      </c>
    </row>
    <row r="664" spans="1:24" ht="15.75" customHeight="1">
      <c r="A664" s="1">
        <v>7575633.0</v>
      </c>
      <c r="B664" s="1" t="s">
        <v>3093</v>
      </c>
      <c r="C664" s="1" t="s">
        <v>3089</v>
      </c>
      <c r="D664" s="1" t="s">
        <v>3090</v>
      </c>
      <c r="F664" s="1" t="str">
        <f>"0141192720"</f>
        <v>0141192720</v>
      </c>
      <c r="G664" s="1" t="str">
        <f>"9780141192727"</f>
        <v>9780141192727</v>
      </c>
      <c r="H664" s="1">
        <v>0.0</v>
      </c>
      <c r="I664" s="1">
        <v>4.21</v>
      </c>
      <c r="J664" s="1" t="s">
        <v>1063</v>
      </c>
      <c r="K664" s="1" t="s">
        <v>44</v>
      </c>
      <c r="L664" s="1">
        <v>192.0</v>
      </c>
      <c r="N664" s="1">
        <v>1949.0</v>
      </c>
      <c r="P664" s="2">
        <v>45169.0</v>
      </c>
      <c r="Q664" s="1" t="s">
        <v>249</v>
      </c>
      <c r="R664" s="1" t="s">
        <v>3094</v>
      </c>
      <c r="S664" s="1" t="s">
        <v>32</v>
      </c>
      <c r="W664" s="1">
        <v>0.0</v>
      </c>
      <c r="X664" s="1">
        <v>0.0</v>
      </c>
    </row>
    <row r="665" spans="1:24" ht="15.75" customHeight="1">
      <c r="A665" s="1">
        <v>579462.0</v>
      </c>
      <c r="B665" s="1" t="s">
        <v>3095</v>
      </c>
      <c r="C665" s="1" t="s">
        <v>3089</v>
      </c>
      <c r="D665" s="1" t="s">
        <v>3090</v>
      </c>
      <c r="E665" s="1" t="s">
        <v>331</v>
      </c>
      <c r="F665" s="1" t="str">
        <f t="shared" si="45" ref="F665:G665">""</f>
        <v/>
      </c>
      <c r="G665" s="1" t="str">
        <f t="shared" si="45"/>
        <v/>
      </c>
      <c r="H665" s="1">
        <v>0.0</v>
      </c>
      <c r="I665" s="1">
        <v>4.18</v>
      </c>
      <c r="J665" s="1" t="s">
        <v>78</v>
      </c>
      <c r="K665" s="1" t="s">
        <v>44</v>
      </c>
      <c r="L665" s="1">
        <v>128.0</v>
      </c>
      <c r="M665" s="1">
        <v>2013.0</v>
      </c>
      <c r="N665" s="1">
        <v>1969.0</v>
      </c>
      <c r="P665" s="2">
        <v>45163.0</v>
      </c>
      <c r="Q665" s="1" t="s">
        <v>32</v>
      </c>
      <c r="R665" s="1" t="s">
        <v>3096</v>
      </c>
      <c r="S665" s="1" t="s">
        <v>32</v>
      </c>
      <c r="W665" s="1">
        <v>0.0</v>
      </c>
      <c r="X665" s="1">
        <v>0.0</v>
      </c>
    </row>
    <row r="666" spans="1:24" ht="15.75" customHeight="1">
      <c r="A666" s="1">
        <v>117565.0</v>
      </c>
      <c r="B666" s="1" t="s">
        <v>3097</v>
      </c>
      <c r="C666" s="1" t="s">
        <v>3089</v>
      </c>
      <c r="D666" s="1" t="s">
        <v>3090</v>
      </c>
      <c r="F666" s="1" t="str">
        <f>"0226106756"</f>
        <v>0226106756</v>
      </c>
      <c r="G666" s="1" t="str">
        <f>"9780226106755"</f>
        <v>9780226106755</v>
      </c>
      <c r="H666" s="1">
        <v>0.0</v>
      </c>
      <c r="I666" s="1">
        <v>4.11</v>
      </c>
      <c r="J666" s="1" t="s">
        <v>78</v>
      </c>
      <c r="K666" s="1" t="s">
        <v>44</v>
      </c>
      <c r="L666" s="1">
        <v>224.0</v>
      </c>
      <c r="M666" s="1">
        <v>1998.0</v>
      </c>
      <c r="N666" s="1">
        <v>1956.0</v>
      </c>
      <c r="P666" s="2">
        <v>45137.0</v>
      </c>
      <c r="Q666" s="1" t="s">
        <v>32</v>
      </c>
      <c r="R666" s="1" t="s">
        <v>3098</v>
      </c>
      <c r="S666" s="1" t="s">
        <v>32</v>
      </c>
      <c r="W666" s="1">
        <v>0.0</v>
      </c>
      <c r="X666" s="1">
        <v>0.0</v>
      </c>
    </row>
    <row r="667" spans="1:24" ht="15.75" customHeight="1">
      <c r="A667" s="1">
        <v>112204.0</v>
      </c>
      <c r="B667" s="1" t="s">
        <v>3099</v>
      </c>
      <c r="C667" s="1" t="s">
        <v>3100</v>
      </c>
      <c r="D667" s="1" t="s">
        <v>3101</v>
      </c>
      <c r="E667" s="1" t="s">
        <v>3102</v>
      </c>
      <c r="F667" s="1" t="str">
        <f t="shared" si="46" ref="F667:G667">""</f>
        <v/>
      </c>
      <c r="G667" s="1" t="str">
        <f t="shared" si="46"/>
        <v/>
      </c>
      <c r="H667" s="1">
        <v>0.0</v>
      </c>
      <c r="I667" s="1">
        <v>4.27</v>
      </c>
      <c r="J667" s="1" t="s">
        <v>1963</v>
      </c>
      <c r="K667" s="1" t="s">
        <v>44</v>
      </c>
      <c r="L667" s="1">
        <v>716.0</v>
      </c>
      <c r="M667" s="1">
        <v>1976.0</v>
      </c>
      <c r="N667" s="1">
        <v>1890.0</v>
      </c>
      <c r="P667" s="2">
        <v>45173.0</v>
      </c>
      <c r="Q667" s="1" t="s">
        <v>3103</v>
      </c>
      <c r="R667" s="1" t="s">
        <v>3104</v>
      </c>
      <c r="S667" s="1" t="s">
        <v>32</v>
      </c>
      <c r="W667" s="1">
        <v>0.0</v>
      </c>
      <c r="X667" s="1">
        <v>0.0</v>
      </c>
    </row>
    <row r="668" spans="1:24" ht="15.75" customHeight="1">
      <c r="A668" s="1">
        <v>4.2815538E7</v>
      </c>
      <c r="B668" s="1" t="s">
        <v>3105</v>
      </c>
      <c r="C668" s="1" t="s">
        <v>3106</v>
      </c>
      <c r="D668" s="1" t="s">
        <v>3107</v>
      </c>
      <c r="F668" s="1" t="str">
        <f>"0525508961"</f>
        <v>0525508961</v>
      </c>
      <c r="G668" s="1" t="str">
        <f>"9780525508960"</f>
        <v>9780525508960</v>
      </c>
      <c r="H668" s="1">
        <v>0.0</v>
      </c>
      <c r="I668" s="1">
        <v>3.97</v>
      </c>
      <c r="J668" s="1" t="s">
        <v>1189</v>
      </c>
      <c r="K668" s="1" t="s">
        <v>37</v>
      </c>
      <c r="L668" s="1">
        <v>384.0</v>
      </c>
      <c r="M668" s="1">
        <v>2019.0</v>
      </c>
      <c r="N668" s="1">
        <v>2019.0</v>
      </c>
      <c r="P668" s="2">
        <v>43961.0</v>
      </c>
      <c r="Q668" s="1" t="s">
        <v>32</v>
      </c>
      <c r="R668" s="1" t="s">
        <v>3108</v>
      </c>
      <c r="S668" s="1" t="s">
        <v>32</v>
      </c>
      <c r="W668" s="1">
        <v>0.0</v>
      </c>
      <c r="X668" s="1">
        <v>0.0</v>
      </c>
    </row>
    <row r="669" spans="1:24" ht="15.75" customHeight="1">
      <c r="A669" s="1">
        <v>5.8446227E7</v>
      </c>
      <c r="B669" s="1" t="s">
        <v>3109</v>
      </c>
      <c r="C669" s="1" t="s">
        <v>3110</v>
      </c>
      <c r="D669" s="1" t="s">
        <v>3111</v>
      </c>
      <c r="F669" s="1" t="str">
        <f>"0593321448"</f>
        <v>0593321448</v>
      </c>
      <c r="G669" s="1" t="str">
        <f>"9780593321447"</f>
        <v>9780593321447</v>
      </c>
      <c r="H669" s="1">
        <v>0.0</v>
      </c>
      <c r="I669" s="1">
        <v>4.09</v>
      </c>
      <c r="J669" s="1" t="s">
        <v>1397</v>
      </c>
      <c r="K669" s="1" t="s">
        <v>37</v>
      </c>
      <c r="L669" s="1">
        <v>259.0</v>
      </c>
      <c r="M669" s="1">
        <v>2022.0</v>
      </c>
      <c r="N669" s="1">
        <v>2022.0</v>
      </c>
      <c r="P669" s="3">
        <v>44853.0</v>
      </c>
      <c r="Q669" s="1" t="s">
        <v>32</v>
      </c>
      <c r="R669" s="1" t="s">
        <v>3112</v>
      </c>
      <c r="S669" s="1" t="s">
        <v>32</v>
      </c>
      <c r="W669" s="1">
        <v>0.0</v>
      </c>
      <c r="X669" s="1">
        <v>0.0</v>
      </c>
    </row>
    <row r="670" spans="1:24" ht="15.75" customHeight="1">
      <c r="A670" s="1">
        <v>954185.0</v>
      </c>
      <c r="B670" s="1" t="s">
        <v>3113</v>
      </c>
      <c r="C670" s="1" t="s">
        <v>3114</v>
      </c>
      <c r="D670" s="1" t="s">
        <v>3115</v>
      </c>
      <c r="F670" s="1" t="str">
        <f>"0801879647"</f>
        <v>0801879647</v>
      </c>
      <c r="G670" s="1" t="str">
        <f>"9780801879647"</f>
        <v>9780801879647</v>
      </c>
      <c r="H670" s="1">
        <v>0.0</v>
      </c>
      <c r="I670" s="1">
        <v>4.07</v>
      </c>
      <c r="J670" s="1" t="s">
        <v>3116</v>
      </c>
      <c r="K670" s="1" t="s">
        <v>37</v>
      </c>
      <c r="L670" s="1">
        <v>304.0</v>
      </c>
      <c r="M670" s="1">
        <v>2005.0</v>
      </c>
      <c r="N670" s="1">
        <v>2004.0</v>
      </c>
      <c r="P670" s="2">
        <v>45175.0</v>
      </c>
      <c r="Q670" s="1" t="s">
        <v>32</v>
      </c>
      <c r="R670" s="1" t="s">
        <v>3117</v>
      </c>
      <c r="S670" s="1" t="s">
        <v>32</v>
      </c>
      <c r="W670" s="1">
        <v>0.0</v>
      </c>
      <c r="X670" s="1">
        <v>0.0</v>
      </c>
    </row>
    <row r="671" spans="1:24" ht="15.75" customHeight="1">
      <c r="A671" s="1">
        <v>1.0641702E7</v>
      </c>
      <c r="B671" s="1" t="s">
        <v>3118</v>
      </c>
      <c r="C671" s="1" t="s">
        <v>3119</v>
      </c>
      <c r="D671" s="1" t="s">
        <v>3120</v>
      </c>
      <c r="F671" s="1" t="str">
        <f>"1844676927"</f>
        <v>1844676927</v>
      </c>
      <c r="G671" s="1" t="str">
        <f>"9781844676927"</f>
        <v>9781844676927</v>
      </c>
      <c r="H671" s="1">
        <v>0.0</v>
      </c>
      <c r="I671" s="1">
        <v>3.7</v>
      </c>
      <c r="J671" s="1" t="s">
        <v>367</v>
      </c>
      <c r="K671" s="1" t="s">
        <v>37</v>
      </c>
      <c r="L671" s="1">
        <v>192.0</v>
      </c>
      <c r="M671" s="1">
        <v>2011.0</v>
      </c>
      <c r="N671" s="1">
        <v>2009.0</v>
      </c>
      <c r="P671" s="2">
        <v>43048.0</v>
      </c>
      <c r="Q671" s="1" t="s">
        <v>55</v>
      </c>
      <c r="R671" s="1" t="s">
        <v>3121</v>
      </c>
      <c r="S671" s="1" t="s">
        <v>32</v>
      </c>
      <c r="W671" s="1">
        <v>0.0</v>
      </c>
      <c r="X671" s="1">
        <v>0.0</v>
      </c>
    </row>
    <row r="672" spans="1:24" ht="15.75" customHeight="1">
      <c r="A672" s="1">
        <v>526076.0</v>
      </c>
      <c r="B672" s="1" t="s">
        <v>3122</v>
      </c>
      <c r="C672" s="1" t="s">
        <v>3123</v>
      </c>
      <c r="D672" s="1" t="s">
        <v>3124</v>
      </c>
      <c r="F672" s="1" t="str">
        <f>"081120197X"</f>
        <v>081120197X</v>
      </c>
      <c r="G672" s="1" t="str">
        <f>"9780811201971"</f>
        <v>9780811201971</v>
      </c>
      <c r="H672" s="1">
        <v>0.0</v>
      </c>
      <c r="I672" s="1">
        <v>4.22</v>
      </c>
      <c r="J672" s="1" t="s">
        <v>419</v>
      </c>
      <c r="K672" s="1" t="s">
        <v>44</v>
      </c>
      <c r="L672" s="1">
        <v>491.0</v>
      </c>
      <c r="M672" s="1">
        <v>1962.0</v>
      </c>
      <c r="N672" s="1">
        <v>1961.0</v>
      </c>
      <c r="P672" s="2">
        <v>44250.0</v>
      </c>
      <c r="Q672" s="1" t="s">
        <v>109</v>
      </c>
      <c r="R672" s="1" t="s">
        <v>3125</v>
      </c>
      <c r="S672" s="1" t="s">
        <v>32</v>
      </c>
      <c r="W672" s="1">
        <v>0.0</v>
      </c>
      <c r="X672" s="1">
        <v>0.0</v>
      </c>
    </row>
    <row r="673" spans="1:24" ht="15.75" customHeight="1">
      <c r="A673" s="1">
        <v>3.1178501E7</v>
      </c>
      <c r="B673" s="1" t="s">
        <v>3126</v>
      </c>
      <c r="C673" s="1" t="s">
        <v>3127</v>
      </c>
      <c r="D673" s="1" t="s">
        <v>3128</v>
      </c>
      <c r="F673" s="1" t="str">
        <f>""</f>
        <v/>
      </c>
      <c r="G673" s="1" t="str">
        <f>"9786079564117"</f>
        <v>9786079564117</v>
      </c>
      <c r="H673" s="1">
        <v>0.0</v>
      </c>
      <c r="I673" s="1">
        <v>4.32</v>
      </c>
      <c r="J673" s="1" t="s">
        <v>3129</v>
      </c>
      <c r="K673" s="1" t="s">
        <v>44</v>
      </c>
      <c r="L673" s="1">
        <v>368.0</v>
      </c>
      <c r="M673" s="1">
        <v>2015.0</v>
      </c>
      <c r="N673" s="1">
        <v>2015.0</v>
      </c>
      <c r="P673" s="2">
        <v>44094.0</v>
      </c>
      <c r="Q673" s="1" t="s">
        <v>32</v>
      </c>
      <c r="R673" s="1" t="s">
        <v>3130</v>
      </c>
      <c r="S673" s="1" t="s">
        <v>32</v>
      </c>
      <c r="W673" s="1">
        <v>0.0</v>
      </c>
      <c r="X673" s="1">
        <v>0.0</v>
      </c>
    </row>
    <row r="674" spans="1:24" ht="15.75" customHeight="1">
      <c r="A674" s="1">
        <v>1.333069E7</v>
      </c>
      <c r="B674" s="1" t="s">
        <v>3131</v>
      </c>
      <c r="C674" s="1" t="s">
        <v>3132</v>
      </c>
      <c r="D674" s="1" t="s">
        <v>3133</v>
      </c>
      <c r="F674" s="1" t="str">
        <f>"0345802446"</f>
        <v>0345802446</v>
      </c>
      <c r="G674" s="1" t="str">
        <f>"9780345802446"</f>
        <v>9780345802446</v>
      </c>
      <c r="H674" s="1">
        <v>0.0</v>
      </c>
      <c r="I674" s="1">
        <v>3.87</v>
      </c>
      <c r="J674" s="1" t="s">
        <v>3134</v>
      </c>
      <c r="K674" s="1" t="s">
        <v>44</v>
      </c>
      <c r="L674" s="1">
        <v>592.0</v>
      </c>
      <c r="M674" s="1">
        <v>2012.0</v>
      </c>
      <c r="N674" s="1">
        <v>2011.0</v>
      </c>
      <c r="P674" s="2">
        <v>43976.0</v>
      </c>
      <c r="Q674" s="1" t="s">
        <v>32</v>
      </c>
      <c r="R674" s="1" t="s">
        <v>3135</v>
      </c>
      <c r="S674" s="1" t="s">
        <v>32</v>
      </c>
      <c r="W674" s="1">
        <v>0.0</v>
      </c>
      <c r="X674" s="1">
        <v>0.0</v>
      </c>
    </row>
    <row r="675" spans="1:24" ht="15.75" customHeight="1">
      <c r="A675" s="1">
        <v>58832.0</v>
      </c>
      <c r="B675" s="1" t="s">
        <v>3136</v>
      </c>
      <c r="C675" s="1" t="s">
        <v>3137</v>
      </c>
      <c r="D675" s="1" t="s">
        <v>3138</v>
      </c>
      <c r="E675" s="1" t="s">
        <v>3139</v>
      </c>
      <c r="F675" s="1" t="str">
        <f>"0811216985"</f>
        <v>0811216985</v>
      </c>
      <c r="G675" s="1" t="str">
        <f>"9780811216982"</f>
        <v>9780811216982</v>
      </c>
      <c r="H675" s="1">
        <v>0.0</v>
      </c>
      <c r="I675" s="1">
        <v>3.94</v>
      </c>
      <c r="J675" s="1" t="s">
        <v>419</v>
      </c>
      <c r="K675" s="1" t="s">
        <v>44</v>
      </c>
      <c r="L675" s="1">
        <v>178.0</v>
      </c>
      <c r="M675" s="1">
        <v>2007.0</v>
      </c>
      <c r="N675" s="1">
        <v>2000.0</v>
      </c>
      <c r="P675" s="2">
        <v>45140.0</v>
      </c>
      <c r="Q675" s="1" t="s">
        <v>32</v>
      </c>
      <c r="R675" s="1" t="s">
        <v>3140</v>
      </c>
      <c r="S675" s="1" t="s">
        <v>32</v>
      </c>
      <c r="W675" s="1">
        <v>0.0</v>
      </c>
      <c r="X675" s="1">
        <v>0.0</v>
      </c>
    </row>
    <row r="676" spans="1:24" ht="15.75" customHeight="1">
      <c r="A676" s="1">
        <v>5.8641475E7</v>
      </c>
      <c r="B676" s="1" t="s">
        <v>3141</v>
      </c>
      <c r="C676" s="1" t="s">
        <v>3142</v>
      </c>
      <c r="D676" s="1" t="s">
        <v>3143</v>
      </c>
      <c r="F676" s="1" t="str">
        <f>"9781398807"</f>
        <v>9781398807</v>
      </c>
      <c r="G676" s="1" t="str">
        <f>""</f>
        <v/>
      </c>
      <c r="H676" s="1">
        <v>0.0</v>
      </c>
      <c r="I676" s="1">
        <v>3.79</v>
      </c>
      <c r="J676" s="1" t="s">
        <v>3144</v>
      </c>
      <c r="K676" s="1" t="s">
        <v>44</v>
      </c>
      <c r="L676" s="1">
        <v>127.0</v>
      </c>
      <c r="M676" s="1">
        <v>2021.0</v>
      </c>
      <c r="N676" s="1">
        <v>-300.0</v>
      </c>
      <c r="P676" s="2">
        <v>45189.0</v>
      </c>
      <c r="Q676" s="1" t="s">
        <v>249</v>
      </c>
      <c r="R676" s="1" t="s">
        <v>3145</v>
      </c>
      <c r="S676" s="1" t="s">
        <v>32</v>
      </c>
      <c r="W676" s="1">
        <v>0.0</v>
      </c>
      <c r="X676" s="1">
        <v>0.0</v>
      </c>
    </row>
    <row r="677" spans="1:24" ht="15.75" customHeight="1">
      <c r="A677" s="1">
        <v>2.3461183E7</v>
      </c>
      <c r="B677" s="1" t="s">
        <v>3146</v>
      </c>
      <c r="C677" s="1" t="s">
        <v>3147</v>
      </c>
      <c r="D677" s="1" t="s">
        <v>3148</v>
      </c>
      <c r="E677" s="1" t="s">
        <v>3149</v>
      </c>
      <c r="F677" s="1" t="str">
        <f>"0198716982"</f>
        <v>0198716982</v>
      </c>
      <c r="G677" s="1" t="str">
        <f>"9780198716983"</f>
        <v>9780198716983</v>
      </c>
      <c r="H677" s="1">
        <v>0.0</v>
      </c>
      <c r="I677" s="1">
        <v>3.81</v>
      </c>
      <c r="J677" s="1" t="s">
        <v>181</v>
      </c>
      <c r="K677" s="1" t="s">
        <v>44</v>
      </c>
      <c r="L677" s="1">
        <v>256.0</v>
      </c>
      <c r="M677" s="1">
        <v>2015.0</v>
      </c>
      <c r="N677" s="1">
        <v>-194.0</v>
      </c>
      <c r="P677" s="2">
        <v>45124.0</v>
      </c>
      <c r="Q677" s="1" t="s">
        <v>2810</v>
      </c>
      <c r="R677" s="1" t="s">
        <v>3150</v>
      </c>
      <c r="S677" s="1" t="s">
        <v>32</v>
      </c>
      <c r="W677" s="1">
        <v>0.0</v>
      </c>
      <c r="X677" s="1">
        <v>0.0</v>
      </c>
    </row>
    <row r="678" spans="1:24" ht="15.75" customHeight="1">
      <c r="A678" s="1">
        <v>49176.0</v>
      </c>
      <c r="B678" s="1" t="s">
        <v>3151</v>
      </c>
      <c r="C678" s="1" t="s">
        <v>3152</v>
      </c>
      <c r="D678" s="1" t="s">
        <v>3153</v>
      </c>
      <c r="F678" s="1" t="str">
        <f>"0345032799"</f>
        <v>0345032799</v>
      </c>
      <c r="G678" s="1" t="str">
        <f>"9780345032799"</f>
        <v>9780345032799</v>
      </c>
      <c r="H678" s="1">
        <v>0.0</v>
      </c>
      <c r="I678" s="1">
        <v>3.75</v>
      </c>
      <c r="J678" s="1" t="s">
        <v>61</v>
      </c>
      <c r="K678" s="1" t="s">
        <v>1225</v>
      </c>
      <c r="L678" s="1">
        <v>192.0</v>
      </c>
      <c r="M678" s="1">
        <v>1964.0</v>
      </c>
      <c r="N678" s="1">
        <v>1964.0</v>
      </c>
      <c r="P678" s="3">
        <v>44479.0</v>
      </c>
      <c r="Q678" s="1" t="s">
        <v>1064</v>
      </c>
      <c r="R678" s="1" t="s">
        <v>3154</v>
      </c>
      <c r="S678" s="1" t="s">
        <v>32</v>
      </c>
      <c r="W678" s="1">
        <v>0.0</v>
      </c>
      <c r="X678" s="1">
        <v>0.0</v>
      </c>
    </row>
    <row r="679" spans="1:24" ht="15.75" customHeight="1">
      <c r="A679" s="1">
        <v>2023127.0</v>
      </c>
      <c r="B679" s="1" t="s">
        <v>3155</v>
      </c>
      <c r="C679" s="1" t="s">
        <v>3156</v>
      </c>
      <c r="D679" s="1" t="s">
        <v>3157</v>
      </c>
      <c r="F679" s="1" t="str">
        <f>"0631232478"</f>
        <v>0631232478</v>
      </c>
      <c r="G679" s="1" t="str">
        <f>"9780631232476"</f>
        <v>9780631232476</v>
      </c>
      <c r="H679" s="1">
        <v>0.0</v>
      </c>
      <c r="I679" s="1">
        <v>3.85</v>
      </c>
      <c r="J679" s="1" t="s">
        <v>48</v>
      </c>
      <c r="K679" s="1" t="s">
        <v>37</v>
      </c>
      <c r="L679" s="1">
        <v>356.0</v>
      </c>
      <c r="M679" s="1">
        <v>2005.0</v>
      </c>
      <c r="N679" s="1">
        <v>2005.0</v>
      </c>
      <c r="P679" s="2">
        <v>45120.0</v>
      </c>
      <c r="Q679" s="1" t="s">
        <v>32</v>
      </c>
      <c r="R679" s="1" t="s">
        <v>3158</v>
      </c>
      <c r="S679" s="1" t="s">
        <v>32</v>
      </c>
      <c r="W679" s="1">
        <v>0.0</v>
      </c>
      <c r="X679" s="1">
        <v>0.0</v>
      </c>
    </row>
    <row r="680" spans="1:24" ht="15.75" customHeight="1">
      <c r="A680" s="1">
        <v>1.8730589E7</v>
      </c>
      <c r="B680" s="1" t="s">
        <v>3159</v>
      </c>
      <c r="C680" s="1" t="s">
        <v>3160</v>
      </c>
      <c r="D680" s="1" t="s">
        <v>3161</v>
      </c>
      <c r="E680" s="1" t="s">
        <v>3162</v>
      </c>
      <c r="F680" s="1" t="str">
        <f>"0691140898"</f>
        <v>0691140898</v>
      </c>
      <c r="G680" s="1" t="str">
        <f>"9780691140896"</f>
        <v>9780691140896</v>
      </c>
      <c r="H680" s="1">
        <v>0.0</v>
      </c>
      <c r="I680" s="1">
        <v>3.73</v>
      </c>
      <c r="J680" s="1" t="s">
        <v>1011</v>
      </c>
      <c r="K680" s="1" t="s">
        <v>37</v>
      </c>
      <c r="L680" s="1">
        <v>264.0</v>
      </c>
      <c r="M680" s="1">
        <v>2014.0</v>
      </c>
      <c r="N680" s="1">
        <v>2014.0</v>
      </c>
      <c r="P680" s="2">
        <v>45356.0</v>
      </c>
      <c r="Q680" s="1" t="s">
        <v>138</v>
      </c>
      <c r="R680" s="1" t="s">
        <v>3163</v>
      </c>
      <c r="S680" s="1" t="s">
        <v>32</v>
      </c>
      <c r="W680" s="1">
        <v>0.0</v>
      </c>
      <c r="X680" s="1">
        <v>0.0</v>
      </c>
    </row>
    <row r="681" spans="1:24" ht="15.75" customHeight="1">
      <c r="A681" s="60">
        <v>156968.0</v>
      </c>
      <c r="B681" s="60" t="s">
        <v>3164</v>
      </c>
      <c r="C681" s="60" t="s">
        <v>3165</v>
      </c>
      <c r="D681" s="60" t="s">
        <v>3166</v>
      </c>
      <c r="E681" s="61"/>
      <c r="F681" s="60" t="str">
        <f>"0030184363"</f>
        <v>0030184363</v>
      </c>
      <c r="G681" s="60" t="str">
        <f>"9780030184369"</f>
        <v>9780030184369</v>
      </c>
      <c r="H681" s="60">
        <v>0.0</v>
      </c>
      <c r="I681" s="60">
        <v>3.81</v>
      </c>
      <c r="J681" s="60" t="s">
        <v>3167</v>
      </c>
      <c r="K681" s="60" t="s">
        <v>44</v>
      </c>
      <c r="L681" s="60">
        <v>263.0</v>
      </c>
      <c r="M681" s="60">
        <v>1976.0</v>
      </c>
      <c r="N681" s="60">
        <v>1951.0</v>
      </c>
      <c r="O681" s="61"/>
      <c r="P681" s="62">
        <v>44959.0</v>
      </c>
      <c r="Q681" s="63" t="s">
        <v>2949</v>
      </c>
      <c r="R681" s="60" t="s">
        <v>3169</v>
      </c>
      <c r="S681" s="60" t="s">
        <v>32</v>
      </c>
      <c r="T681" s="61"/>
      <c r="U681" s="61"/>
      <c r="V681" s="61"/>
      <c r="W681" s="60">
        <v>0.0</v>
      </c>
      <c r="X681" s="60">
        <v>0.0</v>
      </c>
    </row>
    <row r="682" spans="1:24" ht="15.75" customHeight="1">
      <c r="A682" s="60">
        <v>25491.0</v>
      </c>
      <c r="B682" s="60" t="s">
        <v>3170</v>
      </c>
      <c r="C682" s="60" t="s">
        <v>3165</v>
      </c>
      <c r="D682" s="60" t="s">
        <v>3166</v>
      </c>
      <c r="E682" s="61"/>
      <c r="F682" s="60" t="str">
        <f>"0805031499"</f>
        <v>0805031499</v>
      </c>
      <c r="G682" s="60" t="str">
        <f>"9780805031492"</f>
        <v>9780805031492</v>
      </c>
      <c r="H682" s="60">
        <v>0.0</v>
      </c>
      <c r="I682" s="60">
        <v>4.26</v>
      </c>
      <c r="J682" s="60" t="s">
        <v>507</v>
      </c>
      <c r="K682" s="60" t="s">
        <v>44</v>
      </c>
      <c r="L682" s="60">
        <v>301.0</v>
      </c>
      <c r="M682" s="60">
        <v>1994.0</v>
      </c>
      <c r="N682" s="60">
        <v>1941.0</v>
      </c>
      <c r="O682" s="61"/>
      <c r="P682" s="64">
        <v>44154.0</v>
      </c>
      <c r="Q682" s="63" t="s">
        <v>2949</v>
      </c>
      <c r="R682" s="60" t="s">
        <v>3171</v>
      </c>
      <c r="S682" s="60" t="s">
        <v>32</v>
      </c>
      <c r="T682" s="61"/>
      <c r="U682" s="61"/>
      <c r="V682" s="61"/>
      <c r="W682" s="60">
        <v>0.0</v>
      </c>
      <c r="X682" s="60">
        <v>0.0</v>
      </c>
    </row>
    <row r="683" spans="1:24" ht="15.75" customHeight="1">
      <c r="A683" s="60">
        <v>14142.0</v>
      </c>
      <c r="B683" s="60" t="s">
        <v>3172</v>
      </c>
      <c r="C683" s="60" t="s">
        <v>3165</v>
      </c>
      <c r="D683" s="60" t="s">
        <v>3166</v>
      </c>
      <c r="E683" s="61"/>
      <c r="F683" s="60" t="str">
        <f>"0061129739"</f>
        <v>0061129739</v>
      </c>
      <c r="G683" s="60" t="str">
        <f>"9780061129735"</f>
        <v>9780061129735</v>
      </c>
      <c r="H683" s="60">
        <v>0.0</v>
      </c>
      <c r="I683" s="60">
        <v>4.01</v>
      </c>
      <c r="J683" s="60" t="s">
        <v>397</v>
      </c>
      <c r="K683" s="60" t="s">
        <v>44</v>
      </c>
      <c r="L683" s="60">
        <v>192.0</v>
      </c>
      <c r="M683" s="60">
        <v>2019.0</v>
      </c>
      <c r="N683" s="60">
        <v>1956.0</v>
      </c>
      <c r="O683" s="61"/>
      <c r="P683" s="62">
        <v>43950.0</v>
      </c>
      <c r="Q683" s="63" t="s">
        <v>2949</v>
      </c>
      <c r="R683" s="60" t="s">
        <v>3173</v>
      </c>
      <c r="S683" s="60" t="s">
        <v>32</v>
      </c>
      <c r="T683" s="61"/>
      <c r="U683" s="61"/>
      <c r="V683" s="61"/>
      <c r="W683" s="60">
        <v>0.0</v>
      </c>
      <c r="X683" s="60">
        <v>0.0</v>
      </c>
    </row>
    <row r="684" spans="1:24" ht="15.75" customHeight="1">
      <c r="A684" s="1">
        <v>1282241.0</v>
      </c>
      <c r="B684" s="1" t="s">
        <v>3174</v>
      </c>
      <c r="C684" s="1" t="s">
        <v>3175</v>
      </c>
      <c r="D684" s="1" t="s">
        <v>3176</v>
      </c>
      <c r="E684" s="1" t="s">
        <v>3177</v>
      </c>
      <c r="F684" s="1" t="str">
        <f>"0691097429"</f>
        <v>0691097429</v>
      </c>
      <c r="G684" s="1" t="str">
        <f>"9780691097428"</f>
        <v>9780691097428</v>
      </c>
      <c r="H684" s="1">
        <v>0.0</v>
      </c>
      <c r="I684" s="1">
        <v>4.31</v>
      </c>
      <c r="J684" s="1" t="s">
        <v>1582</v>
      </c>
      <c r="K684" s="1" t="s">
        <v>37</v>
      </c>
      <c r="L684" s="1">
        <v>624.0</v>
      </c>
      <c r="M684" s="1">
        <v>1991.0</v>
      </c>
      <c r="N684" s="1">
        <v>1955.0</v>
      </c>
      <c r="P684" s="2">
        <v>45115.0</v>
      </c>
      <c r="Q684" s="1" t="s">
        <v>935</v>
      </c>
      <c r="R684" s="1" t="s">
        <v>3178</v>
      </c>
      <c r="S684" s="1" t="s">
        <v>32</v>
      </c>
      <c r="W684" s="1">
        <v>0.0</v>
      </c>
      <c r="X684" s="1">
        <v>0.0</v>
      </c>
    </row>
    <row r="685" spans="1:24" ht="15.75" customHeight="1">
      <c r="A685" s="1">
        <v>239186.0</v>
      </c>
      <c r="B685" s="1" t="s">
        <v>3179</v>
      </c>
      <c r="C685" s="1" t="s">
        <v>3180</v>
      </c>
      <c r="D685" s="1" t="s">
        <v>3181</v>
      </c>
      <c r="F685" s="1" t="str">
        <f>"0375708278"</f>
        <v>0375708278</v>
      </c>
      <c r="G685" s="1" t="str">
        <f>"9780375708275"</f>
        <v>9780375708275</v>
      </c>
      <c r="H685" s="1">
        <v>0.0</v>
      </c>
      <c r="I685" s="1">
        <v>4.04</v>
      </c>
      <c r="J685" s="1" t="s">
        <v>3182</v>
      </c>
      <c r="K685" s="1" t="s">
        <v>44</v>
      </c>
      <c r="L685" s="1">
        <v>323.0</v>
      </c>
      <c r="M685" s="1">
        <v>2000.0</v>
      </c>
      <c r="N685" s="1">
        <v>1999.0</v>
      </c>
      <c r="P685" s="2">
        <v>44254.0</v>
      </c>
      <c r="Q685" s="1" t="s">
        <v>138</v>
      </c>
      <c r="R685" s="1" t="s">
        <v>3183</v>
      </c>
      <c r="S685" s="1" t="s">
        <v>32</v>
      </c>
      <c r="W685" s="1">
        <v>0.0</v>
      </c>
      <c r="X685" s="1">
        <v>0.0</v>
      </c>
    </row>
    <row r="686" spans="1:24" ht="15.75" customHeight="1">
      <c r="A686" s="1">
        <v>2.3519696E7</v>
      </c>
      <c r="B686" s="1" t="s">
        <v>3184</v>
      </c>
      <c r="C686" s="1" t="s">
        <v>3185</v>
      </c>
      <c r="D686" s="1" t="s">
        <v>3186</v>
      </c>
      <c r="F686" s="1" t="str">
        <f>"1781689210"</f>
        <v>1781689210</v>
      </c>
      <c r="G686" s="1" t="str">
        <f>"9781781689219"</f>
        <v>9781781689219</v>
      </c>
      <c r="H686" s="1">
        <v>0.0</v>
      </c>
      <c r="I686" s="1">
        <v>4.23</v>
      </c>
      <c r="J686" s="1" t="s">
        <v>367</v>
      </c>
      <c r="K686" s="1" t="s">
        <v>420</v>
      </c>
      <c r="L686" s="1">
        <v>272.0</v>
      </c>
      <c r="M686" s="1">
        <v>2015.0</v>
      </c>
      <c r="N686" s="1">
        <v>2015.0</v>
      </c>
      <c r="P686" s="2">
        <v>43046.0</v>
      </c>
      <c r="Q686" s="1" t="s">
        <v>1207</v>
      </c>
      <c r="R686" s="1" t="s">
        <v>3187</v>
      </c>
      <c r="S686" s="1" t="s">
        <v>32</v>
      </c>
      <c r="W686" s="1">
        <v>0.0</v>
      </c>
      <c r="X686" s="1">
        <v>1.0</v>
      </c>
    </row>
    <row r="687" spans="1:24" ht="15.75" customHeight="1">
      <c r="A687" s="1">
        <v>2761.0</v>
      </c>
      <c r="B687" s="1" t="s">
        <v>3188</v>
      </c>
      <c r="C687" s="1" t="s">
        <v>3189</v>
      </c>
      <c r="D687" s="1" t="s">
        <v>3190</v>
      </c>
      <c r="F687" s="1" t="str">
        <f>"0684832402"</f>
        <v>0684832402</v>
      </c>
      <c r="G687" s="1" t="str">
        <f>"9780684832401"</f>
        <v>9780684832401</v>
      </c>
      <c r="H687" s="1">
        <v>0.0</v>
      </c>
      <c r="I687" s="1">
        <v>4.09</v>
      </c>
      <c r="J687" s="1" t="s">
        <v>535</v>
      </c>
      <c r="K687" s="1" t="s">
        <v>44</v>
      </c>
      <c r="L687" s="1">
        <v>336.0</v>
      </c>
      <c r="M687" s="1">
        <v>1997.0</v>
      </c>
      <c r="N687" s="1">
        <v>1973.0</v>
      </c>
      <c r="P687" s="2">
        <v>45181.0</v>
      </c>
      <c r="Q687" s="1" t="s">
        <v>249</v>
      </c>
      <c r="R687" s="1" t="s">
        <v>3191</v>
      </c>
      <c r="S687" s="1" t="s">
        <v>32</v>
      </c>
      <c r="W687" s="1">
        <v>0.0</v>
      </c>
      <c r="X687" s="1">
        <v>0.0</v>
      </c>
    </row>
    <row r="688" spans="1:24" ht="15.75" customHeight="1">
      <c r="A688" s="1">
        <v>274375.0</v>
      </c>
      <c r="B688" s="1" t="s">
        <v>3192</v>
      </c>
      <c r="C688" s="1" t="s">
        <v>3193</v>
      </c>
      <c r="D688" s="1" t="s">
        <v>3194</v>
      </c>
      <c r="F688" s="1" t="str">
        <f>"0199243360"</f>
        <v>0199243360</v>
      </c>
      <c r="G688" s="1" t="str">
        <f>"9780199243365"</f>
        <v>9780199243365</v>
      </c>
      <c r="H688" s="1">
        <v>0.0</v>
      </c>
      <c r="I688" s="1">
        <v>4.0</v>
      </c>
      <c r="J688" s="1" t="s">
        <v>2435</v>
      </c>
      <c r="K688" s="1" t="s">
        <v>44</v>
      </c>
      <c r="L688" s="1">
        <v>738.0</v>
      </c>
      <c r="M688" s="1">
        <v>2001.0</v>
      </c>
      <c r="N688" s="1">
        <v>1954.0</v>
      </c>
      <c r="P688" s="2">
        <v>44473.0</v>
      </c>
      <c r="Q688" s="1" t="s">
        <v>109</v>
      </c>
      <c r="R688" s="1" t="s">
        <v>3195</v>
      </c>
      <c r="S688" s="1" t="s">
        <v>32</v>
      </c>
      <c r="W688" s="1">
        <v>0.0</v>
      </c>
      <c r="X688" s="1">
        <v>0.0</v>
      </c>
    </row>
    <row r="689" spans="1:24" ht="15.75" customHeight="1">
      <c r="A689" s="1">
        <v>37420.0</v>
      </c>
      <c r="B689" s="1" t="s">
        <v>3196</v>
      </c>
      <c r="C689" s="1" t="s">
        <v>3197</v>
      </c>
      <c r="D689" s="1" t="s">
        <v>3198</v>
      </c>
      <c r="F689" s="1" t="str">
        <f>"0020518609"</f>
        <v>0020518609</v>
      </c>
      <c r="G689" s="1" t="str">
        <f>"9780020518600"</f>
        <v>9780020518600</v>
      </c>
      <c r="H689" s="1">
        <v>0.0</v>
      </c>
      <c r="I689" s="1">
        <v>4.17</v>
      </c>
      <c r="J689" s="1" t="s">
        <v>3199</v>
      </c>
      <c r="K689" s="1" t="s">
        <v>44</v>
      </c>
      <c r="L689" s="1">
        <v>499.0</v>
      </c>
      <c r="M689" s="1">
        <v>1987.0</v>
      </c>
      <c r="N689" s="1">
        <v>1938.0</v>
      </c>
      <c r="P689" s="2">
        <v>44814.0</v>
      </c>
      <c r="Q689" s="1" t="s">
        <v>383</v>
      </c>
      <c r="R689" s="1" t="s">
        <v>3200</v>
      </c>
      <c r="S689" s="1" t="s">
        <v>32</v>
      </c>
      <c r="W689" s="1">
        <v>0.0</v>
      </c>
      <c r="X689" s="1">
        <v>1.0</v>
      </c>
    </row>
    <row r="690" spans="1:24" ht="15.75" customHeight="1">
      <c r="A690" s="1">
        <v>5197.0</v>
      </c>
      <c r="B690" s="1" t="s">
        <v>3201</v>
      </c>
      <c r="C690" s="1" t="s">
        <v>3202</v>
      </c>
      <c r="D690" s="1" t="s">
        <v>3203</v>
      </c>
      <c r="F690" s="1" t="str">
        <f>"0375702709"</f>
        <v>0375702709</v>
      </c>
      <c r="G690" s="1" t="str">
        <f>"9780375702709"</f>
        <v>9780375702709</v>
      </c>
      <c r="H690" s="1">
        <v>0.0</v>
      </c>
      <c r="I690" s="1">
        <v>3.98</v>
      </c>
      <c r="J690" s="1" t="s">
        <v>69</v>
      </c>
      <c r="K690" s="1" t="s">
        <v>44</v>
      </c>
      <c r="L690" s="1">
        <v>256.0</v>
      </c>
      <c r="M690" s="1">
        <v>1993.0</v>
      </c>
      <c r="N690" s="1">
        <v>1993.0</v>
      </c>
      <c r="P690" s="3">
        <v>44510.0</v>
      </c>
      <c r="Q690" s="1" t="s">
        <v>818</v>
      </c>
      <c r="R690" s="1" t="s">
        <v>3204</v>
      </c>
      <c r="S690" s="1" t="s">
        <v>32</v>
      </c>
      <c r="W690" s="1">
        <v>0.0</v>
      </c>
      <c r="X690" s="1">
        <v>1.0</v>
      </c>
    </row>
    <row r="691" spans="1:24" ht="15.75" customHeight="1">
      <c r="A691" s="1">
        <v>1.23041142E8</v>
      </c>
      <c r="B691" s="1" t="s">
        <v>3205</v>
      </c>
      <c r="C691" s="1" t="s">
        <v>3206</v>
      </c>
      <c r="D691" s="1" t="s">
        <v>3207</v>
      </c>
      <c r="E691" s="1" t="s">
        <v>3208</v>
      </c>
      <c r="F691" s="1" t="str">
        <f>"0882141317"</f>
        <v>0882141317</v>
      </c>
      <c r="G691" s="1" t="str">
        <f>"9780882141312"</f>
        <v>9780882141312</v>
      </c>
      <c r="H691" s="1">
        <v>0.0</v>
      </c>
      <c r="I691" s="1">
        <v>4.0</v>
      </c>
      <c r="J691" s="1" t="s">
        <v>3209</v>
      </c>
      <c r="K691" s="1" t="s">
        <v>44</v>
      </c>
      <c r="L691" s="1">
        <v>156.0</v>
      </c>
      <c r="M691" s="1">
        <v>2023.0</v>
      </c>
      <c r="N691" s="1">
        <v>1995.0</v>
      </c>
      <c r="P691" s="2">
        <v>45140.0</v>
      </c>
      <c r="Q691" s="1" t="s">
        <v>32</v>
      </c>
      <c r="R691" s="1" t="s">
        <v>3210</v>
      </c>
      <c r="S691" s="1" t="s">
        <v>32</v>
      </c>
      <c r="W691" s="1">
        <v>0.0</v>
      </c>
      <c r="X691" s="1">
        <v>0.0</v>
      </c>
    </row>
    <row r="692" spans="1:24" ht="15.75" customHeight="1">
      <c r="A692" s="1">
        <v>53447.0</v>
      </c>
      <c r="B692" s="1" t="s">
        <v>3211</v>
      </c>
      <c r="C692" s="1" t="s">
        <v>3212</v>
      </c>
      <c r="D692" s="1" t="s">
        <v>3213</v>
      </c>
      <c r="E692" s="1" t="s">
        <v>3214</v>
      </c>
      <c r="F692" s="1" t="str">
        <f>"9871144261"</f>
        <v>9871144261</v>
      </c>
      <c r="G692" s="1" t="str">
        <f>"9789871144266"</f>
        <v>9789871144266</v>
      </c>
      <c r="H692" s="1">
        <v>0.0</v>
      </c>
      <c r="I692" s="1">
        <v>4.02</v>
      </c>
      <c r="J692" s="1" t="s">
        <v>3215</v>
      </c>
      <c r="K692" s="1" t="s">
        <v>44</v>
      </c>
      <c r="L692" s="1">
        <v>158.0</v>
      </c>
      <c r="M692" s="1">
        <v>2003.0</v>
      </c>
      <c r="N692" s="1">
        <v>1948.0</v>
      </c>
      <c r="P692" s="2">
        <v>42542.0</v>
      </c>
      <c r="Q692" s="1" t="s">
        <v>32</v>
      </c>
      <c r="R692" s="1" t="s">
        <v>3216</v>
      </c>
      <c r="S692" s="1" t="s">
        <v>32</v>
      </c>
      <c r="W692" s="1">
        <v>0.0</v>
      </c>
      <c r="X692" s="1">
        <v>0.0</v>
      </c>
    </row>
    <row r="693" spans="1:24" ht="15.75" customHeight="1">
      <c r="A693" s="1">
        <v>6.1149811E7</v>
      </c>
      <c r="B693" s="1" t="s">
        <v>3217</v>
      </c>
      <c r="C693" s="1" t="s">
        <v>3218</v>
      </c>
      <c r="D693" s="1" t="s">
        <v>3219</v>
      </c>
      <c r="E693" s="1" t="s">
        <v>3220</v>
      </c>
      <c r="F693" s="1" t="str">
        <f>"1681376253"</f>
        <v>1681376253</v>
      </c>
      <c r="G693" s="1" t="str">
        <f>"9781681376257"</f>
        <v>9781681376257</v>
      </c>
      <c r="H693" s="1">
        <v>0.0</v>
      </c>
      <c r="I693" s="1">
        <v>3.79</v>
      </c>
      <c r="J693" s="1" t="s">
        <v>204</v>
      </c>
      <c r="K693" s="1" t="s">
        <v>44</v>
      </c>
      <c r="L693" s="1">
        <v>136.0</v>
      </c>
      <c r="M693" s="1">
        <v>2023.0</v>
      </c>
      <c r="N693" s="1">
        <v>1939.0</v>
      </c>
      <c r="P693" s="2">
        <v>45102.0</v>
      </c>
      <c r="Q693" s="1" t="s">
        <v>32</v>
      </c>
      <c r="R693" s="1" t="s">
        <v>3221</v>
      </c>
      <c r="S693" s="1" t="s">
        <v>32</v>
      </c>
      <c r="W693" s="1">
        <v>0.0</v>
      </c>
      <c r="X693" s="1">
        <v>0.0</v>
      </c>
    </row>
    <row r="694" spans="1:24" ht="15.75" customHeight="1">
      <c r="A694" s="1">
        <v>410056.0</v>
      </c>
      <c r="B694" s="1" t="s">
        <v>3222</v>
      </c>
      <c r="C694" s="1" t="s">
        <v>3223</v>
      </c>
      <c r="D694" s="1" t="s">
        <v>3224</v>
      </c>
      <c r="E694" s="1" t="s">
        <v>3225</v>
      </c>
      <c r="F694" s="1" t="str">
        <f>"048643981X"</f>
        <v>048643981X</v>
      </c>
      <c r="G694" s="1" t="str">
        <f>"9780486439815"</f>
        <v>9780486439815</v>
      </c>
      <c r="H694" s="1">
        <v>0.0</v>
      </c>
      <c r="I694" s="1">
        <v>4.09</v>
      </c>
      <c r="J694" s="1" t="s">
        <v>910</v>
      </c>
      <c r="K694" s="1" t="s">
        <v>44</v>
      </c>
      <c r="L694" s="1">
        <v>192.0</v>
      </c>
      <c r="M694" s="1">
        <v>2005.0</v>
      </c>
      <c r="N694" s="1">
        <v>2005.0</v>
      </c>
      <c r="P694" s="2">
        <v>45141.0</v>
      </c>
      <c r="Q694" s="1" t="s">
        <v>491</v>
      </c>
      <c r="R694" s="1" t="s">
        <v>3226</v>
      </c>
      <c r="S694" s="1" t="s">
        <v>32</v>
      </c>
      <c r="W694" s="1">
        <v>0.0</v>
      </c>
      <c r="X694" s="1">
        <v>0.0</v>
      </c>
    </row>
    <row r="695" spans="1:24" ht="15.75" customHeight="1">
      <c r="A695" s="1">
        <v>873200.0</v>
      </c>
      <c r="B695" s="1" t="s">
        <v>3227</v>
      </c>
      <c r="C695" s="1" t="s">
        <v>3223</v>
      </c>
      <c r="D695" s="1" t="s">
        <v>3224</v>
      </c>
      <c r="F695" s="1" t="str">
        <f>"0486222411"</f>
        <v>0486222411</v>
      </c>
      <c r="G695" s="1" t="str">
        <f>"9780486222417"</f>
        <v>9780486222417</v>
      </c>
      <c r="H695" s="1">
        <v>0.0</v>
      </c>
      <c r="I695" s="1">
        <v>3.82</v>
      </c>
      <c r="J695" s="1" t="s">
        <v>910</v>
      </c>
      <c r="K695" s="1" t="s">
        <v>44</v>
      </c>
      <c r="L695" s="1">
        <v>218.0</v>
      </c>
      <c r="M695" s="1">
        <v>1969.0</v>
      </c>
      <c r="N695" s="1">
        <v>1969.0</v>
      </c>
      <c r="P695" s="2">
        <v>44820.0</v>
      </c>
      <c r="Q695" s="1" t="s">
        <v>1132</v>
      </c>
      <c r="R695" s="1" t="s">
        <v>3228</v>
      </c>
      <c r="S695" s="1" t="s">
        <v>32</v>
      </c>
      <c r="W695" s="1">
        <v>0.0</v>
      </c>
      <c r="X695" s="1">
        <v>0.0</v>
      </c>
    </row>
    <row r="696" spans="1:24" ht="15.75" customHeight="1">
      <c r="A696" s="1">
        <v>66770.0</v>
      </c>
      <c r="B696" s="1" t="s">
        <v>3229</v>
      </c>
      <c r="C696" s="1" t="s">
        <v>3223</v>
      </c>
      <c r="D696" s="1" t="s">
        <v>3224</v>
      </c>
      <c r="E696" s="1" t="s">
        <v>3225</v>
      </c>
      <c r="F696" s="1" t="str">
        <f>"0486429784"</f>
        <v>0486429784</v>
      </c>
      <c r="G696" s="1" t="str">
        <f>"9780486429786"</f>
        <v>9780486429786</v>
      </c>
      <c r="H696" s="1">
        <v>0.0</v>
      </c>
      <c r="I696" s="1">
        <v>3.92</v>
      </c>
      <c r="J696" s="1" t="s">
        <v>910</v>
      </c>
      <c r="K696" s="1" t="s">
        <v>44</v>
      </c>
      <c r="L696" s="1">
        <v>128.0</v>
      </c>
      <c r="M696" s="1">
        <v>2003.0</v>
      </c>
      <c r="N696" s="1">
        <v>1990.0</v>
      </c>
      <c r="P696" s="2">
        <v>45141.0</v>
      </c>
      <c r="Q696" s="1" t="s">
        <v>32</v>
      </c>
      <c r="R696" s="1" t="s">
        <v>3230</v>
      </c>
      <c r="S696" s="1" t="s">
        <v>32</v>
      </c>
      <c r="W696" s="1">
        <v>0.0</v>
      </c>
      <c r="X696" s="1">
        <v>0.0</v>
      </c>
    </row>
    <row r="697" spans="1:24" ht="15.75" customHeight="1">
      <c r="A697" s="1">
        <v>5.017228E7</v>
      </c>
      <c r="B697" s="1" t="s">
        <v>3231</v>
      </c>
      <c r="C697" s="1" t="s">
        <v>3232</v>
      </c>
      <c r="D697" s="1" t="s">
        <v>3233</v>
      </c>
      <c r="F697" s="1" t="str">
        <f t="shared" si="47" ref="F697:G697">""</f>
        <v/>
      </c>
      <c r="G697" s="1" t="str">
        <f t="shared" si="47"/>
        <v/>
      </c>
      <c r="H697" s="1">
        <v>0.0</v>
      </c>
      <c r="I697" s="1">
        <v>3.67</v>
      </c>
      <c r="J697" s="1" t="s">
        <v>3234</v>
      </c>
      <c r="K697" s="1" t="s">
        <v>29</v>
      </c>
      <c r="L697" s="1">
        <v>188.0</v>
      </c>
      <c r="M697" s="1">
        <v>2018.0</v>
      </c>
      <c r="P697" s="2">
        <v>45299.0</v>
      </c>
      <c r="Q697" s="1" t="s">
        <v>30</v>
      </c>
      <c r="R697" s="1" t="s">
        <v>3235</v>
      </c>
      <c r="S697" s="1" t="s">
        <v>32</v>
      </c>
      <c r="W697" s="1">
        <v>0.0</v>
      </c>
      <c r="X697" s="1">
        <v>0.0</v>
      </c>
    </row>
    <row r="698" spans="1:24" ht="15.75" customHeight="1">
      <c r="A698" s="1">
        <v>931984.0</v>
      </c>
      <c r="B698" s="1" t="s">
        <v>3236</v>
      </c>
      <c r="C698" s="1" t="s">
        <v>3237</v>
      </c>
      <c r="D698" s="1" t="s">
        <v>3238</v>
      </c>
      <c r="F698" s="1" t="str">
        <f>"0385094027"</f>
        <v>0385094027</v>
      </c>
      <c r="G698" s="1" t="str">
        <f>"9780385094023"</f>
        <v>9780385094023</v>
      </c>
      <c r="H698" s="1">
        <v>0.0</v>
      </c>
      <c r="I698" s="1">
        <v>4.06</v>
      </c>
      <c r="J698" s="1" t="s">
        <v>1325</v>
      </c>
      <c r="K698" s="1" t="s">
        <v>44</v>
      </c>
      <c r="L698" s="1">
        <v>259.0</v>
      </c>
      <c r="M698" s="1">
        <v>1959.0</v>
      </c>
      <c r="N698" s="1">
        <v>1959.0</v>
      </c>
      <c r="P698" s="2">
        <v>44803.0</v>
      </c>
      <c r="Q698" s="1" t="s">
        <v>32</v>
      </c>
      <c r="R698" s="1" t="s">
        <v>3239</v>
      </c>
      <c r="S698" s="1" t="s">
        <v>32</v>
      </c>
      <c r="W698" s="1">
        <v>0.0</v>
      </c>
      <c r="X698" s="1">
        <v>0.0</v>
      </c>
    </row>
    <row r="699" spans="1:24" ht="15.75" customHeight="1">
      <c r="A699" s="1">
        <v>760806.0</v>
      </c>
      <c r="B699" s="1" t="s">
        <v>3240</v>
      </c>
      <c r="C699" s="1" t="s">
        <v>3241</v>
      </c>
      <c r="D699" s="1" t="s">
        <v>3242</v>
      </c>
      <c r="E699" s="1" t="s">
        <v>3243</v>
      </c>
      <c r="F699" s="1" t="str">
        <f>"0064300250"</f>
        <v>0064300250</v>
      </c>
      <c r="G699" s="1" t="str">
        <f>"9780064300254"</f>
        <v>9780064300254</v>
      </c>
      <c r="H699" s="1">
        <v>0.0</v>
      </c>
      <c r="I699" s="1">
        <v>4.22</v>
      </c>
      <c r="J699" s="1" t="s">
        <v>280</v>
      </c>
      <c r="K699" s="1" t="s">
        <v>44</v>
      </c>
      <c r="L699" s="1">
        <v>263.0</v>
      </c>
      <c r="M699" s="1">
        <v>1972.0</v>
      </c>
      <c r="N699" s="1">
        <v>1967.0</v>
      </c>
      <c r="P699" s="2">
        <v>44804.0</v>
      </c>
      <c r="Q699" s="1" t="s">
        <v>32</v>
      </c>
      <c r="R699" s="1" t="s">
        <v>3244</v>
      </c>
      <c r="S699" s="1" t="s">
        <v>32</v>
      </c>
      <c r="W699" s="1">
        <v>0.0</v>
      </c>
      <c r="X699" s="1">
        <v>0.0</v>
      </c>
    </row>
    <row r="700" spans="1:24" ht="15.75" customHeight="1">
      <c r="A700" s="1">
        <v>162780.0</v>
      </c>
      <c r="B700" s="1" t="s">
        <v>3245</v>
      </c>
      <c r="C700" s="1" t="s">
        <v>3246</v>
      </c>
      <c r="D700" s="1" t="s">
        <v>3247</v>
      </c>
      <c r="E700" s="1" t="s">
        <v>3248</v>
      </c>
      <c r="F700" s="1" t="str">
        <f>"0521427088"</f>
        <v>0521427088</v>
      </c>
      <c r="G700" s="1" t="str">
        <f>"9780521427081"</f>
        <v>9780521427081</v>
      </c>
      <c r="H700" s="1">
        <v>0.0</v>
      </c>
      <c r="I700" s="1">
        <v>4.14</v>
      </c>
      <c r="J700" s="1" t="s">
        <v>388</v>
      </c>
      <c r="K700" s="1" t="s">
        <v>44</v>
      </c>
      <c r="L700" s="1">
        <v>184.0</v>
      </c>
      <c r="M700" s="1">
        <v>1992.0</v>
      </c>
      <c r="N700" s="1">
        <v>1944.0</v>
      </c>
      <c r="P700" s="2">
        <v>45169.0</v>
      </c>
      <c r="Q700" s="1" t="s">
        <v>32</v>
      </c>
      <c r="R700" s="1" t="s">
        <v>3249</v>
      </c>
      <c r="S700" s="1" t="s">
        <v>32</v>
      </c>
      <c r="W700" s="1">
        <v>0.0</v>
      </c>
      <c r="X700" s="1">
        <v>0.0</v>
      </c>
    </row>
    <row r="701" spans="1:24" ht="15.75" customHeight="1">
      <c r="A701" s="1">
        <v>111378.0</v>
      </c>
      <c r="B701" s="1" t="s">
        <v>3250</v>
      </c>
      <c r="C701" s="1" t="s">
        <v>3251</v>
      </c>
      <c r="D701" s="1" t="s">
        <v>3252</v>
      </c>
      <c r="F701" s="1" t="str">
        <f>"0822326124"</f>
        <v>0822326124</v>
      </c>
      <c r="G701" s="1" t="str">
        <f>"9780822326120"</f>
        <v>9780822326120</v>
      </c>
      <c r="H701" s="1">
        <v>0.0</v>
      </c>
      <c r="I701" s="1">
        <v>3.95</v>
      </c>
      <c r="J701" s="1" t="s">
        <v>1341</v>
      </c>
      <c r="K701" s="1" t="s">
        <v>44</v>
      </c>
      <c r="L701" s="1">
        <v>360.0</v>
      </c>
      <c r="M701" s="1">
        <v>2000.0</v>
      </c>
      <c r="N701" s="1">
        <v>2000.0</v>
      </c>
      <c r="P701" s="3">
        <v>43423.0</v>
      </c>
      <c r="Q701" s="1" t="s">
        <v>553</v>
      </c>
      <c r="R701" s="1" t="s">
        <v>3253</v>
      </c>
      <c r="S701" s="1" t="s">
        <v>32</v>
      </c>
      <c r="W701" s="1">
        <v>0.0</v>
      </c>
      <c r="X701" s="1">
        <v>0.0</v>
      </c>
    </row>
    <row r="702" spans="1:24" ht="15.75" customHeight="1">
      <c r="A702" s="1">
        <v>370065.0</v>
      </c>
      <c r="B702" s="1" t="s">
        <v>3254</v>
      </c>
      <c r="C702" s="1" t="s">
        <v>3251</v>
      </c>
      <c r="D702" s="1" t="s">
        <v>3252</v>
      </c>
      <c r="F702" s="1" t="str">
        <f>"0226577600"</f>
        <v>0226577600</v>
      </c>
      <c r="G702" s="1" t="str">
        <f>"9780226577609"</f>
        <v>9780226577609</v>
      </c>
      <c r="H702" s="1">
        <v>0.0</v>
      </c>
      <c r="I702" s="1">
        <v>3.93</v>
      </c>
      <c r="J702" s="1" t="s">
        <v>78</v>
      </c>
      <c r="K702" s="1" t="s">
        <v>44</v>
      </c>
      <c r="L702" s="1">
        <v>158.0</v>
      </c>
      <c r="M702" s="1">
        <v>1979.0</v>
      </c>
      <c r="N702" s="1">
        <v>1972.0</v>
      </c>
      <c r="P702" s="3">
        <v>43422.0</v>
      </c>
      <c r="Q702" s="1" t="s">
        <v>1110</v>
      </c>
      <c r="R702" s="1" t="s">
        <v>3255</v>
      </c>
      <c r="S702" s="1" t="s">
        <v>32</v>
      </c>
      <c r="W702" s="1">
        <v>0.0</v>
      </c>
      <c r="X702" s="1">
        <v>0.0</v>
      </c>
    </row>
    <row r="703" spans="1:24" ht="15.75" customHeight="1">
      <c r="A703" s="1">
        <v>979929.0</v>
      </c>
      <c r="B703" s="1" t="s">
        <v>3256</v>
      </c>
      <c r="C703" s="1" t="s">
        <v>3257</v>
      </c>
      <c r="D703" s="1" t="s">
        <v>3258</v>
      </c>
      <c r="E703" s="1" t="s">
        <v>3259</v>
      </c>
      <c r="F703" s="1" t="str">
        <f>"0860915425"</f>
        <v>0860915425</v>
      </c>
      <c r="G703" s="1" t="str">
        <f>"9780860915423"</f>
        <v>9780860915423</v>
      </c>
      <c r="H703" s="1">
        <v>0.0</v>
      </c>
      <c r="I703" s="1">
        <v>3.9</v>
      </c>
      <c r="J703" s="1" t="s">
        <v>367</v>
      </c>
      <c r="K703" s="1" t="s">
        <v>44</v>
      </c>
      <c r="L703" s="1">
        <v>242.0</v>
      </c>
      <c r="M703" s="1">
        <v>1991.0</v>
      </c>
      <c r="N703" s="1">
        <v>1988.0</v>
      </c>
      <c r="P703" s="2">
        <v>43046.0</v>
      </c>
      <c r="Q703" s="1" t="s">
        <v>32</v>
      </c>
      <c r="R703" s="1" t="s">
        <v>3260</v>
      </c>
      <c r="S703" s="1" t="s">
        <v>32</v>
      </c>
      <c r="W703" s="1">
        <v>0.0</v>
      </c>
      <c r="X703" s="1">
        <v>0.0</v>
      </c>
    </row>
    <row r="704" spans="1:24" ht="15.75" customHeight="1">
      <c r="A704" s="1">
        <v>216485.0</v>
      </c>
      <c r="B704" s="1" t="s">
        <v>3261</v>
      </c>
      <c r="C704" s="1" t="s">
        <v>3262</v>
      </c>
      <c r="D704" s="1" t="s">
        <v>3263</v>
      </c>
      <c r="F704" s="1" t="str">
        <f>"0062701908"</f>
        <v>0062701908</v>
      </c>
      <c r="G704" s="1" t="str">
        <f>"9780062701909"</f>
        <v>9780062701909</v>
      </c>
      <c r="H704" s="1">
        <v>0.0</v>
      </c>
      <c r="I704" s="1">
        <v>3.97</v>
      </c>
      <c r="J704" s="1" t="s">
        <v>150</v>
      </c>
      <c r="K704" s="1" t="s">
        <v>37</v>
      </c>
      <c r="L704" s="1">
        <v>192.0</v>
      </c>
      <c r="M704" s="1">
        <v>1997.0</v>
      </c>
      <c r="N704" s="1">
        <v>1997.0</v>
      </c>
      <c r="P704" s="2">
        <v>44455.0</v>
      </c>
      <c r="Q704" s="1" t="s">
        <v>32</v>
      </c>
      <c r="R704" s="1" t="s">
        <v>3264</v>
      </c>
      <c r="S704" s="1" t="s">
        <v>32</v>
      </c>
      <c r="W704" s="1">
        <v>0.0</v>
      </c>
      <c r="X704" s="1">
        <v>0.0</v>
      </c>
    </row>
    <row r="705" spans="1:24" ht="15.75" customHeight="1">
      <c r="A705" s="1">
        <v>668802.0</v>
      </c>
      <c r="B705" s="1" t="s">
        <v>3265</v>
      </c>
      <c r="C705" s="1" t="s">
        <v>3266</v>
      </c>
      <c r="D705" s="1" t="s">
        <v>3267</v>
      </c>
      <c r="F705" s="1" t="str">
        <f>"0486442187"</f>
        <v>0486442187</v>
      </c>
      <c r="G705" s="1" t="str">
        <f>"9780486442181"</f>
        <v>9780486442181</v>
      </c>
      <c r="H705" s="1">
        <v>0.0</v>
      </c>
      <c r="I705" s="1">
        <v>3.59</v>
      </c>
      <c r="J705" s="1" t="s">
        <v>910</v>
      </c>
      <c r="K705" s="1" t="s">
        <v>44</v>
      </c>
      <c r="L705" s="1">
        <v>144.0</v>
      </c>
      <c r="M705" s="1">
        <v>2005.0</v>
      </c>
      <c r="N705" s="1">
        <v>1937.0</v>
      </c>
      <c r="P705" s="2">
        <v>45163.0</v>
      </c>
      <c r="Q705" s="1" t="s">
        <v>1149</v>
      </c>
      <c r="R705" s="1" t="s">
        <v>3268</v>
      </c>
      <c r="S705" s="1" t="s">
        <v>32</v>
      </c>
      <c r="W705" s="1">
        <v>0.0</v>
      </c>
      <c r="X705" s="1">
        <v>1.0</v>
      </c>
    </row>
    <row r="706" spans="1:24" ht="15.75" customHeight="1">
      <c r="A706" s="1">
        <v>111734.0</v>
      </c>
      <c r="B706" s="1" t="s">
        <v>3269</v>
      </c>
      <c r="C706" s="1" t="s">
        <v>3266</v>
      </c>
      <c r="D706" s="1" t="s">
        <v>3267</v>
      </c>
      <c r="E706" s="1" t="s">
        <v>3270</v>
      </c>
      <c r="F706" s="1" t="str">
        <f>"0300117434"</f>
        <v>0300117434</v>
      </c>
      <c r="G706" s="1" t="str">
        <f>"9780300117431"</f>
        <v>9780300117431</v>
      </c>
      <c r="H706" s="1">
        <v>0.0</v>
      </c>
      <c r="I706" s="1">
        <v>3.9</v>
      </c>
      <c r="J706" s="1" t="s">
        <v>962</v>
      </c>
      <c r="K706" s="1" t="s">
        <v>44</v>
      </c>
      <c r="L706" s="1">
        <v>236.0</v>
      </c>
      <c r="M706" s="1">
        <v>2006.0</v>
      </c>
      <c r="N706" s="1">
        <v>1946.0</v>
      </c>
      <c r="P706" s="2">
        <v>45163.0</v>
      </c>
      <c r="Q706" s="1" t="s">
        <v>1149</v>
      </c>
      <c r="R706" s="1" t="s">
        <v>3271</v>
      </c>
      <c r="S706" s="1" t="s">
        <v>32</v>
      </c>
      <c r="W706" s="1">
        <v>0.0</v>
      </c>
      <c r="X706" s="1">
        <v>1.0</v>
      </c>
    </row>
    <row r="707" spans="1:24" ht="15.75" customHeight="1">
      <c r="A707" s="1">
        <v>12083.0</v>
      </c>
      <c r="B707" s="1" t="s">
        <v>3272</v>
      </c>
      <c r="C707" s="1" t="s">
        <v>3266</v>
      </c>
      <c r="D707" s="1" t="s">
        <v>3267</v>
      </c>
      <c r="E707" s="1" t="s">
        <v>3270</v>
      </c>
      <c r="F707" s="1" t="str">
        <f>"0300093055"</f>
        <v>0300093055</v>
      </c>
      <c r="G707" s="1" t="str">
        <f>"9780300093056"</f>
        <v>9780300093056</v>
      </c>
      <c r="H707" s="1">
        <v>0.0</v>
      </c>
      <c r="I707" s="1">
        <v>4.05</v>
      </c>
      <c r="J707" s="1" t="s">
        <v>962</v>
      </c>
      <c r="K707" s="1" t="s">
        <v>44</v>
      </c>
      <c r="L707" s="1">
        <v>179.0</v>
      </c>
      <c r="M707" s="1">
        <v>2002.0</v>
      </c>
      <c r="N707" s="1">
        <v>1956.0</v>
      </c>
      <c r="P707" s="2">
        <v>41396.0</v>
      </c>
      <c r="Q707" s="1" t="s">
        <v>32</v>
      </c>
      <c r="R707" s="1" t="s">
        <v>3273</v>
      </c>
      <c r="S707" s="1" t="s">
        <v>32</v>
      </c>
      <c r="W707" s="1">
        <v>0.0</v>
      </c>
      <c r="X707" s="1">
        <v>0.0</v>
      </c>
    </row>
    <row r="708" spans="1:24" ht="15.75" customHeight="1">
      <c r="A708" s="1">
        <v>212896.0</v>
      </c>
      <c r="B708" s="1" t="s">
        <v>3274</v>
      </c>
      <c r="C708" s="1" t="s">
        <v>3266</v>
      </c>
      <c r="D708" s="1" t="s">
        <v>3267</v>
      </c>
      <c r="F708" s="1" t="str">
        <f>"185459138X"</f>
        <v>185459138X</v>
      </c>
      <c r="G708" s="1" t="str">
        <f>"9781854591388"</f>
        <v>9781854591388</v>
      </c>
      <c r="H708" s="1">
        <v>0.0</v>
      </c>
      <c r="I708" s="1">
        <v>3.98</v>
      </c>
      <c r="J708" s="1" t="s">
        <v>3275</v>
      </c>
      <c r="K708" s="1" t="s">
        <v>44</v>
      </c>
      <c r="L708" s="1">
        <v>162.0</v>
      </c>
      <c r="M708" s="1">
        <v>1992.0</v>
      </c>
      <c r="N708" s="1">
        <v>1931.0</v>
      </c>
      <c r="P708" s="2">
        <v>45112.0</v>
      </c>
      <c r="Q708" s="1" t="s">
        <v>32</v>
      </c>
      <c r="R708" s="1" t="s">
        <v>3276</v>
      </c>
      <c r="S708" s="1" t="s">
        <v>32</v>
      </c>
      <c r="W708" s="1">
        <v>0.0</v>
      </c>
      <c r="X708" s="1">
        <v>0.0</v>
      </c>
    </row>
    <row r="709" spans="1:24" ht="15.75" customHeight="1">
      <c r="A709" s="1">
        <v>4.8840773E7</v>
      </c>
      <c r="B709" s="1" t="s">
        <v>3277</v>
      </c>
      <c r="C709" s="1" t="s">
        <v>3278</v>
      </c>
      <c r="D709" s="1" t="s">
        <v>3279</v>
      </c>
      <c r="F709" s="1" t="str">
        <f>""</f>
        <v/>
      </c>
      <c r="G709" s="1" t="str">
        <f>"9789874445094"</f>
        <v>9789874445094</v>
      </c>
      <c r="H709" s="1">
        <v>0.0</v>
      </c>
      <c r="I709" s="1">
        <v>4.46</v>
      </c>
      <c r="J709" s="1" t="s">
        <v>1644</v>
      </c>
      <c r="K709" s="1" t="s">
        <v>44</v>
      </c>
      <c r="L709" s="1">
        <v>124.0</v>
      </c>
      <c r="M709" s="1">
        <v>2019.0</v>
      </c>
      <c r="P709" s="2">
        <v>43968.0</v>
      </c>
      <c r="Q709" s="1" t="s">
        <v>32</v>
      </c>
      <c r="R709" s="1" t="s">
        <v>3280</v>
      </c>
      <c r="S709" s="1" t="s">
        <v>32</v>
      </c>
      <c r="W709" s="1">
        <v>0.0</v>
      </c>
      <c r="X709" s="1">
        <v>0.0</v>
      </c>
    </row>
    <row r="710" spans="1:24" ht="15.75" customHeight="1">
      <c r="A710" s="1">
        <v>2.0613511E7</v>
      </c>
      <c r="B710" s="1" t="s">
        <v>3281</v>
      </c>
      <c r="C710" s="1" t="s">
        <v>3282</v>
      </c>
      <c r="D710" s="1" t="s">
        <v>3283</v>
      </c>
      <c r="F710" s="1" t="str">
        <f>"1555976891"</f>
        <v>1555976891</v>
      </c>
      <c r="G710" s="1" t="str">
        <f>"9781555976897"</f>
        <v>9781555976897</v>
      </c>
      <c r="H710" s="1">
        <v>0.0</v>
      </c>
      <c r="I710" s="1">
        <v>3.94</v>
      </c>
      <c r="J710" s="1" t="s">
        <v>337</v>
      </c>
      <c r="K710" s="1" t="s">
        <v>37</v>
      </c>
      <c r="L710" s="1">
        <v>205.0</v>
      </c>
      <c r="M710" s="1">
        <v>2014.0</v>
      </c>
      <c r="N710" s="1">
        <v>2014.0</v>
      </c>
      <c r="P710" s="2">
        <v>45169.0</v>
      </c>
      <c r="Q710" s="1" t="s">
        <v>32</v>
      </c>
      <c r="R710" s="1" t="s">
        <v>3284</v>
      </c>
      <c r="S710" s="1" t="s">
        <v>32</v>
      </c>
      <c r="W710" s="1">
        <v>0.0</v>
      </c>
      <c r="X710" s="1">
        <v>0.0</v>
      </c>
    </row>
    <row r="711" spans="1:24" ht="15.75" customHeight="1">
      <c r="A711" s="1">
        <v>26522.0</v>
      </c>
      <c r="B711" s="1" t="s">
        <v>3285</v>
      </c>
      <c r="C711" s="1" t="s">
        <v>3286</v>
      </c>
      <c r="D711" s="1" t="s">
        <v>3287</v>
      </c>
      <c r="E711" s="1" t="s">
        <v>3288</v>
      </c>
      <c r="F711" s="1" t="str">
        <f>"0393093123"</f>
        <v>0393093123</v>
      </c>
      <c r="G711" s="1" t="str">
        <f>"9780393093124"</f>
        <v>9780393093124</v>
      </c>
      <c r="H711" s="1">
        <v>0.0</v>
      </c>
      <c r="I711" s="1">
        <v>3.99</v>
      </c>
      <c r="J711" s="1" t="s">
        <v>3289</v>
      </c>
      <c r="K711" s="1" t="s">
        <v>44</v>
      </c>
      <c r="L711" s="1">
        <v>126.0</v>
      </c>
      <c r="M711" s="1">
        <v>1974.0</v>
      </c>
      <c r="N711" s="1">
        <v>2010.0</v>
      </c>
      <c r="P711" s="2">
        <v>45083.0</v>
      </c>
      <c r="Q711" s="1" t="s">
        <v>3290</v>
      </c>
      <c r="R711" s="1" t="s">
        <v>3291</v>
      </c>
      <c r="S711" s="1" t="s">
        <v>32</v>
      </c>
      <c r="W711" s="1">
        <v>0.0</v>
      </c>
      <c r="X711" s="1">
        <v>1.0</v>
      </c>
    </row>
    <row r="712" spans="1:24" ht="15.75" customHeight="1">
      <c r="A712" s="1">
        <v>1152993.0</v>
      </c>
      <c r="B712" s="1" t="s">
        <v>3292</v>
      </c>
      <c r="C712" s="1" t="s">
        <v>3286</v>
      </c>
      <c r="D712" s="1" t="s">
        <v>3287</v>
      </c>
      <c r="E712" s="1" t="s">
        <v>3293</v>
      </c>
      <c r="F712" s="1" t="str">
        <f>"0195094514"</f>
        <v>0195094514</v>
      </c>
      <c r="G712" s="1" t="str">
        <f>"9780195094510"</f>
        <v>9780195094510</v>
      </c>
      <c r="H712" s="1">
        <v>0.0</v>
      </c>
      <c r="I712" s="1">
        <v>3.71</v>
      </c>
      <c r="J712" s="1" t="s">
        <v>181</v>
      </c>
      <c r="K712" s="1" t="s">
        <v>44</v>
      </c>
      <c r="L712" s="1">
        <v>112.0</v>
      </c>
      <c r="M712" s="1">
        <v>1996.0</v>
      </c>
      <c r="N712" s="1">
        <v>-414.0</v>
      </c>
      <c r="P712" s="2">
        <v>45111.0</v>
      </c>
      <c r="Q712" s="1" t="s">
        <v>3294</v>
      </c>
      <c r="R712" s="1" t="s">
        <v>3295</v>
      </c>
      <c r="S712" s="1" t="s">
        <v>32</v>
      </c>
      <c r="W712" s="1">
        <v>0.0</v>
      </c>
      <c r="X712" s="1">
        <v>0.0</v>
      </c>
    </row>
    <row r="713" spans="1:24" ht="15.75" customHeight="1">
      <c r="A713" s="1">
        <v>1483.0</v>
      </c>
      <c r="B713" s="1" t="s">
        <v>3296</v>
      </c>
      <c r="C713" s="1" t="s">
        <v>3286</v>
      </c>
      <c r="D713" s="1" t="s">
        <v>3287</v>
      </c>
      <c r="E713" s="1" t="s">
        <v>3297</v>
      </c>
      <c r="F713" s="1" t="str">
        <f>"019283987X"</f>
        <v>019283987X</v>
      </c>
      <c r="G713" s="1" t="str">
        <f>"9780192839879"</f>
        <v>9780192839879</v>
      </c>
      <c r="H713" s="1">
        <v>0.0</v>
      </c>
      <c r="I713" s="1">
        <v>4.02</v>
      </c>
      <c r="J713" s="1" t="s">
        <v>181</v>
      </c>
      <c r="K713" s="1" t="s">
        <v>44</v>
      </c>
      <c r="L713" s="1">
        <v>224.0</v>
      </c>
      <c r="M713" s="1">
        <v>2001.0</v>
      </c>
      <c r="N713" s="1">
        <v>2001.0</v>
      </c>
      <c r="P713" s="2">
        <v>45111.0</v>
      </c>
      <c r="Q713" s="1" t="s">
        <v>3294</v>
      </c>
      <c r="R713" s="1" t="s">
        <v>3298</v>
      </c>
      <c r="S713" s="1" t="s">
        <v>32</v>
      </c>
      <c r="W713" s="1">
        <v>0.0</v>
      </c>
      <c r="X713" s="1">
        <v>0.0</v>
      </c>
    </row>
    <row r="714" spans="1:24" ht="15.75" customHeight="1">
      <c r="A714" s="1">
        <v>1171954.0</v>
      </c>
      <c r="B714" s="1" t="s">
        <v>3299</v>
      </c>
      <c r="C714" s="1" t="s">
        <v>3286</v>
      </c>
      <c r="D714" s="1" t="s">
        <v>3287</v>
      </c>
      <c r="E714" s="1" t="s">
        <v>3300</v>
      </c>
      <c r="F714" s="1" t="str">
        <f>"0195085760"</f>
        <v>0195085760</v>
      </c>
      <c r="G714" s="1" t="str">
        <f>"9780195085761"</f>
        <v>9780195085761</v>
      </c>
      <c r="H714" s="1">
        <v>0.0</v>
      </c>
      <c r="I714" s="1">
        <v>3.95</v>
      </c>
      <c r="J714" s="1" t="s">
        <v>181</v>
      </c>
      <c r="K714" s="1" t="s">
        <v>44</v>
      </c>
      <c r="L714" s="1">
        <v>112.0</v>
      </c>
      <c r="M714" s="1">
        <v>1994.0</v>
      </c>
      <c r="N714" s="1">
        <v>-420.0</v>
      </c>
      <c r="P714" s="2">
        <v>45111.0</v>
      </c>
      <c r="Q714" s="1" t="s">
        <v>3294</v>
      </c>
      <c r="R714" s="1" t="s">
        <v>3301</v>
      </c>
      <c r="S714" s="1" t="s">
        <v>32</v>
      </c>
      <c r="W714" s="1">
        <v>0.0</v>
      </c>
      <c r="X714" s="1">
        <v>0.0</v>
      </c>
    </row>
    <row r="715" spans="1:24" ht="15.75" customHeight="1">
      <c r="A715" s="1">
        <v>1350718.0</v>
      </c>
      <c r="B715" s="1" t="s">
        <v>3302</v>
      </c>
      <c r="C715" s="1" t="s">
        <v>3286</v>
      </c>
      <c r="D715" s="1" t="s">
        <v>3287</v>
      </c>
      <c r="F715" s="1" t="str">
        <f>"0865162662"</f>
        <v>0865162662</v>
      </c>
      <c r="G715" s="1" t="str">
        <f>"9780865162662"</f>
        <v>9780865162662</v>
      </c>
      <c r="H715" s="1">
        <v>0.0</v>
      </c>
      <c r="I715" s="1">
        <v>4.13</v>
      </c>
      <c r="J715" s="1" t="s">
        <v>3303</v>
      </c>
      <c r="K715" s="1" t="s">
        <v>37</v>
      </c>
      <c r="L715" s="1">
        <v>176.0</v>
      </c>
      <c r="M715" s="1">
        <v>1993.0</v>
      </c>
      <c r="N715" s="1">
        <v>-420.0</v>
      </c>
      <c r="P715" s="2">
        <v>45111.0</v>
      </c>
      <c r="Q715" s="1" t="s">
        <v>3294</v>
      </c>
      <c r="R715" s="1" t="s">
        <v>3304</v>
      </c>
      <c r="S715" s="1" t="s">
        <v>32</v>
      </c>
      <c r="W715" s="1">
        <v>0.0</v>
      </c>
      <c r="X715" s="1">
        <v>0.0</v>
      </c>
    </row>
    <row r="716" spans="1:24" ht="15.75" customHeight="1">
      <c r="A716" s="1">
        <v>1489.0</v>
      </c>
      <c r="B716" s="1" t="s">
        <v>3305</v>
      </c>
      <c r="C716" s="1" t="s">
        <v>3286</v>
      </c>
      <c r="D716" s="1" t="s">
        <v>3287</v>
      </c>
      <c r="E716" s="1" t="s">
        <v>3306</v>
      </c>
      <c r="F716" s="1" t="str">
        <f>"0192832603"</f>
        <v>0192832603</v>
      </c>
      <c r="G716" s="1" t="str">
        <f>"9780192832603"</f>
        <v>9780192832603</v>
      </c>
      <c r="H716" s="1">
        <v>0.0</v>
      </c>
      <c r="I716" s="1">
        <v>4.12</v>
      </c>
      <c r="J716" s="1" t="s">
        <v>181</v>
      </c>
      <c r="K716" s="1" t="s">
        <v>44</v>
      </c>
      <c r="L716" s="1">
        <v>282.0</v>
      </c>
      <c r="M716" s="1">
        <v>2001.0</v>
      </c>
      <c r="N716" s="1">
        <v>-408.0</v>
      </c>
      <c r="P716" s="2">
        <v>45111.0</v>
      </c>
      <c r="Q716" s="1" t="s">
        <v>3294</v>
      </c>
      <c r="R716" s="1" t="s">
        <v>3307</v>
      </c>
      <c r="S716" s="1" t="s">
        <v>32</v>
      </c>
      <c r="W716" s="1">
        <v>0.0</v>
      </c>
      <c r="X716" s="1">
        <v>0.0</v>
      </c>
    </row>
    <row r="717" spans="1:24" ht="15.75" customHeight="1">
      <c r="A717" s="1">
        <v>380609.0</v>
      </c>
      <c r="B717" s="1" t="s">
        <v>3308</v>
      </c>
      <c r="C717" s="1" t="s">
        <v>3286</v>
      </c>
      <c r="D717" s="1" t="s">
        <v>3287</v>
      </c>
      <c r="E717" s="1" t="s">
        <v>3309</v>
      </c>
      <c r="F717" s="1" t="str">
        <f>"1854594117"</f>
        <v>1854594117</v>
      </c>
      <c r="G717" s="1" t="str">
        <f>"9781854594112"</f>
        <v>9781854594112</v>
      </c>
      <c r="H717" s="1">
        <v>0.0</v>
      </c>
      <c r="I717" s="1">
        <v>3.91</v>
      </c>
      <c r="J717" s="1" t="s">
        <v>3275</v>
      </c>
      <c r="K717" s="1" t="s">
        <v>44</v>
      </c>
      <c r="L717" s="1">
        <v>96.0</v>
      </c>
      <c r="M717" s="1">
        <v>1999.0</v>
      </c>
      <c r="N717" s="1">
        <v>-405.0</v>
      </c>
      <c r="P717" s="2">
        <v>45036.0</v>
      </c>
      <c r="Q717" s="1" t="s">
        <v>3294</v>
      </c>
      <c r="R717" s="1" t="s">
        <v>3310</v>
      </c>
      <c r="S717" s="1" t="s">
        <v>32</v>
      </c>
      <c r="W717" s="1">
        <v>0.0</v>
      </c>
      <c r="X717" s="1">
        <v>0.0</v>
      </c>
    </row>
    <row r="718" spans="1:24" ht="15.75" customHeight="1">
      <c r="A718" s="1">
        <v>2.0694759E7</v>
      </c>
      <c r="B718" s="1" t="s">
        <v>3311</v>
      </c>
      <c r="C718" s="1" t="s">
        <v>3286</v>
      </c>
      <c r="D718" s="1" t="s">
        <v>3287</v>
      </c>
      <c r="E718" s="1" t="s">
        <v>3312</v>
      </c>
      <c r="F718" s="1" t="str">
        <f>"022620362X"</f>
        <v>022620362X</v>
      </c>
      <c r="G718" s="1" t="str">
        <f>"9780226203621"</f>
        <v>9780226203621</v>
      </c>
      <c r="H718" s="1">
        <v>0.0</v>
      </c>
      <c r="I718" s="1">
        <v>3.95</v>
      </c>
      <c r="J718" s="1" t="s">
        <v>78</v>
      </c>
      <c r="K718" s="1" t="s">
        <v>44</v>
      </c>
      <c r="L718" s="1">
        <v>74.0</v>
      </c>
      <c r="M718" s="1">
        <v>2014.0</v>
      </c>
      <c r="N718" s="1">
        <v>-414.0</v>
      </c>
      <c r="P718" s="2">
        <v>45102.0</v>
      </c>
      <c r="Q718" s="1" t="s">
        <v>855</v>
      </c>
      <c r="R718" s="1" t="s">
        <v>3313</v>
      </c>
      <c r="S718" s="1" t="s">
        <v>32</v>
      </c>
      <c r="W718" s="1">
        <v>0.0</v>
      </c>
      <c r="X718" s="1">
        <v>0.0</v>
      </c>
    </row>
    <row r="719" spans="1:24" ht="15.75" customHeight="1">
      <c r="A719" s="1">
        <v>5.5745602E7</v>
      </c>
      <c r="B719" s="1" t="s">
        <v>3314</v>
      </c>
      <c r="C719" s="1" t="s">
        <v>3286</v>
      </c>
      <c r="D719" s="1" t="s">
        <v>3287</v>
      </c>
      <c r="E719" s="1" t="s">
        <v>3315</v>
      </c>
      <c r="F719" s="1" t="str">
        <f>"0811230791"</f>
        <v>0811230791</v>
      </c>
      <c r="G719" s="1" t="str">
        <f>"9780811230797"</f>
        <v>9780811230797</v>
      </c>
      <c r="H719" s="1">
        <v>0.0</v>
      </c>
      <c r="I719" s="1">
        <v>3.9</v>
      </c>
      <c r="J719" s="1" t="s">
        <v>419</v>
      </c>
      <c r="K719" s="1" t="s">
        <v>37</v>
      </c>
      <c r="L719" s="1">
        <v>96.0</v>
      </c>
      <c r="M719" s="1">
        <v>2021.0</v>
      </c>
      <c r="P719" s="2">
        <v>45102.0</v>
      </c>
      <c r="Q719" s="1" t="s">
        <v>855</v>
      </c>
      <c r="R719" s="1" t="s">
        <v>3316</v>
      </c>
      <c r="S719" s="1" t="s">
        <v>32</v>
      </c>
      <c r="W719" s="1">
        <v>0.0</v>
      </c>
      <c r="X719" s="1">
        <v>0.0</v>
      </c>
    </row>
    <row r="720" spans="1:24" ht="15.75" customHeight="1">
      <c r="A720" s="1">
        <v>1291106.0</v>
      </c>
      <c r="B720" s="1" t="s">
        <v>3317</v>
      </c>
      <c r="C720" s="1" t="s">
        <v>3286</v>
      </c>
      <c r="D720" s="1" t="s">
        <v>3287</v>
      </c>
      <c r="E720" s="1" t="s">
        <v>3318</v>
      </c>
      <c r="F720" s="1" t="str">
        <f>"019507288X"</f>
        <v>019507288X</v>
      </c>
      <c r="G720" s="1" t="str">
        <f>"9780195072884"</f>
        <v>9780195072884</v>
      </c>
      <c r="H720" s="1">
        <v>0.0</v>
      </c>
      <c r="I720" s="1">
        <v>3.23</v>
      </c>
      <c r="J720" s="1" t="s">
        <v>990</v>
      </c>
      <c r="K720" s="1" t="s">
        <v>44</v>
      </c>
      <c r="L720" s="1">
        <v>85.0</v>
      </c>
      <c r="M720" s="1">
        <v>1991.0</v>
      </c>
      <c r="N720" s="1">
        <v>-430.0</v>
      </c>
      <c r="P720" s="2">
        <v>45111.0</v>
      </c>
      <c r="Q720" s="1" t="s">
        <v>855</v>
      </c>
      <c r="R720" s="1" t="s">
        <v>3319</v>
      </c>
      <c r="S720" s="1" t="s">
        <v>32</v>
      </c>
      <c r="W720" s="1">
        <v>0.0</v>
      </c>
      <c r="X720" s="1">
        <v>0.0</v>
      </c>
    </row>
    <row r="721" spans="1:24" ht="15.75" customHeight="1">
      <c r="A721" s="1">
        <v>205186.0</v>
      </c>
      <c r="B721" s="1" t="s">
        <v>3320</v>
      </c>
      <c r="C721" s="1" t="s">
        <v>3286</v>
      </c>
      <c r="D721" s="1" t="s">
        <v>3287</v>
      </c>
      <c r="E721" s="1" t="s">
        <v>3321</v>
      </c>
      <c r="F721" s="1" t="str">
        <f>"0195131169"</f>
        <v>0195131169</v>
      </c>
      <c r="G721" s="1" t="str">
        <f>"9780195131161"</f>
        <v>9780195131161</v>
      </c>
      <c r="H721" s="1">
        <v>0.0</v>
      </c>
      <c r="I721" s="1">
        <v>3.87</v>
      </c>
      <c r="J721" s="1" t="s">
        <v>181</v>
      </c>
      <c r="K721" s="1" t="s">
        <v>44</v>
      </c>
      <c r="L721" s="1">
        <v>112.0</v>
      </c>
      <c r="M721" s="1">
        <v>2001.0</v>
      </c>
      <c r="N721" s="1">
        <v>-416.0</v>
      </c>
      <c r="P721" s="2">
        <v>45120.0</v>
      </c>
      <c r="Q721" s="1" t="s">
        <v>725</v>
      </c>
      <c r="R721" s="1" t="s">
        <v>3322</v>
      </c>
      <c r="S721" s="1" t="s">
        <v>32</v>
      </c>
      <c r="W721" s="1">
        <v>0.0</v>
      </c>
      <c r="X721" s="1">
        <v>0.0</v>
      </c>
    </row>
    <row r="722" spans="1:24" ht="15.75" customHeight="1">
      <c r="A722" s="1">
        <v>993747.0</v>
      </c>
      <c r="B722" s="1" t="s">
        <v>3323</v>
      </c>
      <c r="C722" s="1" t="s">
        <v>3286</v>
      </c>
      <c r="D722" s="1" t="s">
        <v>3287</v>
      </c>
      <c r="E722" s="1" t="s">
        <v>3324</v>
      </c>
      <c r="F722" s="1" t="str">
        <f>"0195143035"</f>
        <v>0195143035</v>
      </c>
      <c r="G722" s="1" t="str">
        <f>"9780195143034"</f>
        <v>9780195143034</v>
      </c>
      <c r="H722" s="1">
        <v>0.0</v>
      </c>
      <c r="I722" s="1">
        <v>3.57</v>
      </c>
      <c r="J722" s="1" t="s">
        <v>181</v>
      </c>
      <c r="K722" s="1" t="s">
        <v>44</v>
      </c>
      <c r="L722" s="1">
        <v>96.0</v>
      </c>
      <c r="M722" s="1">
        <v>2001.0</v>
      </c>
      <c r="N722" s="1">
        <v>-420.0</v>
      </c>
      <c r="P722" s="2">
        <v>45111.0</v>
      </c>
      <c r="Q722" s="1" t="s">
        <v>725</v>
      </c>
      <c r="R722" s="1" t="s">
        <v>3325</v>
      </c>
      <c r="S722" s="1" t="s">
        <v>32</v>
      </c>
      <c r="W722" s="1">
        <v>0.0</v>
      </c>
      <c r="X722" s="1">
        <v>0.0</v>
      </c>
    </row>
    <row r="723" spans="1:24" ht="15.75" customHeight="1">
      <c r="A723" s="1">
        <v>2099275.0</v>
      </c>
      <c r="B723" s="1" t="s">
        <v>3326</v>
      </c>
      <c r="C723" s="1" t="s">
        <v>3286</v>
      </c>
      <c r="D723" s="1" t="s">
        <v>3287</v>
      </c>
      <c r="E723" s="1" t="s">
        <v>3327</v>
      </c>
      <c r="F723" s="1" t="str">
        <f>"0195020499"</f>
        <v>0195020499</v>
      </c>
      <c r="G723" s="1" t="str">
        <f>"9780195020496"</f>
        <v>9780195020496</v>
      </c>
      <c r="H723" s="1">
        <v>0.0</v>
      </c>
      <c r="I723" s="1">
        <v>3.29</v>
      </c>
      <c r="J723" s="1" t="s">
        <v>181</v>
      </c>
      <c r="K723" s="1" t="s">
        <v>37</v>
      </c>
      <c r="L723" s="1">
        <v>112.0</v>
      </c>
      <c r="M723" s="1">
        <v>1978.0</v>
      </c>
      <c r="N723" s="1">
        <v>-431.0</v>
      </c>
      <c r="P723" s="2">
        <v>45111.0</v>
      </c>
      <c r="Q723" s="1" t="s">
        <v>725</v>
      </c>
      <c r="R723" s="1" t="s">
        <v>3328</v>
      </c>
      <c r="S723" s="1" t="s">
        <v>32</v>
      </c>
      <c r="W723" s="1">
        <v>0.0</v>
      </c>
      <c r="X723" s="1">
        <v>0.0</v>
      </c>
    </row>
    <row r="724" spans="1:24" ht="15.75" customHeight="1">
      <c r="A724" s="1">
        <v>1233242.0</v>
      </c>
      <c r="B724" s="1" t="s">
        <v>3329</v>
      </c>
      <c r="C724" s="1" t="s">
        <v>3286</v>
      </c>
      <c r="D724" s="1" t="s">
        <v>3287</v>
      </c>
      <c r="E724" s="1" t="s">
        <v>846</v>
      </c>
      <c r="F724" s="1" t="str">
        <f>"1590172531"</f>
        <v>1590172531</v>
      </c>
      <c r="G724" s="1" t="str">
        <f>"9781590172537"</f>
        <v>9781590172537</v>
      </c>
      <c r="H724" s="1">
        <v>5.0</v>
      </c>
      <c r="I724" s="1">
        <v>4.38</v>
      </c>
      <c r="J724" s="1" t="s">
        <v>204</v>
      </c>
      <c r="K724" s="1" t="s">
        <v>44</v>
      </c>
      <c r="L724" s="1">
        <v>312.0</v>
      </c>
      <c r="M724" s="1">
        <v>2008.0</v>
      </c>
      <c r="N724" s="1">
        <v>-416.0</v>
      </c>
      <c r="O724" s="2">
        <v>45046.0</v>
      </c>
      <c r="P724" s="2">
        <v>44227.0</v>
      </c>
      <c r="Q724" s="1" t="s">
        <v>3330</v>
      </c>
      <c r="R724" s="1" t="s">
        <v>3331</v>
      </c>
      <c r="S724" s="1" t="s">
        <v>271</v>
      </c>
      <c r="W724" s="1">
        <v>1.0</v>
      </c>
      <c r="X724" s="1">
        <v>1.0</v>
      </c>
    </row>
    <row r="725" spans="1:24" ht="15.75" customHeight="1">
      <c r="A725" s="1">
        <v>483110.0</v>
      </c>
      <c r="B725" s="1" t="s">
        <v>3332</v>
      </c>
      <c r="C725" s="1" t="s">
        <v>3333</v>
      </c>
      <c r="D725" s="1" t="s">
        <v>3334</v>
      </c>
      <c r="E725" s="1" t="s">
        <v>3335</v>
      </c>
      <c r="F725" s="1" t="str">
        <f>"1590170946"</f>
        <v>1590170946</v>
      </c>
      <c r="G725" s="1" t="str">
        <f>"9781590170946"</f>
        <v>9781590170946</v>
      </c>
      <c r="H725" s="1">
        <v>0.0</v>
      </c>
      <c r="I725" s="1">
        <v>3.39</v>
      </c>
      <c r="J725" s="1" t="s">
        <v>204</v>
      </c>
      <c r="K725" s="1" t="s">
        <v>44</v>
      </c>
      <c r="L725" s="1">
        <v>272.0</v>
      </c>
      <c r="M725" s="1">
        <v>2004.0</v>
      </c>
      <c r="N725" s="1">
        <v>1966.0</v>
      </c>
      <c r="P725" s="2">
        <v>45137.0</v>
      </c>
      <c r="Q725" s="1" t="s">
        <v>32</v>
      </c>
      <c r="R725" s="1" t="s">
        <v>3336</v>
      </c>
      <c r="S725" s="1" t="s">
        <v>32</v>
      </c>
      <c r="W725" s="1">
        <v>0.0</v>
      </c>
      <c r="X725" s="1">
        <v>0.0</v>
      </c>
    </row>
    <row r="726" spans="1:24" ht="15.75" customHeight="1">
      <c r="A726" s="65">
        <v>85766.0</v>
      </c>
      <c r="B726" s="65" t="s">
        <v>3337</v>
      </c>
      <c r="C726" s="65" t="s">
        <v>3338</v>
      </c>
      <c r="D726" s="65" t="s">
        <v>3339</v>
      </c>
      <c r="E726" s="66"/>
      <c r="F726" s="65" t="str">
        <f>"0520078748"</f>
        <v>0520078748</v>
      </c>
      <c r="G726" s="65" t="str">
        <f>"9780520078741"</f>
        <v>9780520078741</v>
      </c>
      <c r="H726" s="65">
        <v>0.0</v>
      </c>
      <c r="I726" s="65">
        <v>4.12</v>
      </c>
      <c r="J726" s="65" t="s">
        <v>552</v>
      </c>
      <c r="K726" s="65" t="s">
        <v>44</v>
      </c>
      <c r="L726" s="65">
        <v>258.0</v>
      </c>
      <c r="M726" s="65">
        <v>1990.0</v>
      </c>
      <c r="N726" s="65">
        <v>1990.0</v>
      </c>
      <c r="O726" s="66"/>
      <c r="P726" s="67">
        <v>45157.0</v>
      </c>
      <c r="Q726" s="68" t="s">
        <v>871</v>
      </c>
      <c r="R726" s="65" t="s">
        <v>3340</v>
      </c>
      <c r="S726" s="65" t="s">
        <v>32</v>
      </c>
      <c r="T726" s="66"/>
      <c r="U726" s="66"/>
      <c r="V726" s="66"/>
      <c r="W726" s="65">
        <v>0.0</v>
      </c>
      <c r="X726" s="65">
        <v>0.0</v>
      </c>
    </row>
    <row r="727" spans="1:24" ht="15.75" customHeight="1">
      <c r="A727" s="65">
        <v>239690.0</v>
      </c>
      <c r="B727" s="65" t="s">
        <v>3341</v>
      </c>
      <c r="C727" s="65" t="s">
        <v>3338</v>
      </c>
      <c r="D727" s="65" t="s">
        <v>3339</v>
      </c>
      <c r="E727" s="66"/>
      <c r="F727" s="65" t="str">
        <f>"0822314215"</f>
        <v>0822314215</v>
      </c>
      <c r="G727" s="65" t="str">
        <f>"9780822314219"</f>
        <v>9780822314219</v>
      </c>
      <c r="H727" s="65">
        <v>0.0</v>
      </c>
      <c r="I727" s="65">
        <v>4.26</v>
      </c>
      <c r="J727" s="65" t="s">
        <v>1341</v>
      </c>
      <c r="K727" s="65" t="s">
        <v>44</v>
      </c>
      <c r="L727" s="65">
        <v>304.0</v>
      </c>
      <c r="M727" s="65">
        <v>1993.0</v>
      </c>
      <c r="N727" s="65">
        <v>1993.0</v>
      </c>
      <c r="O727" s="66"/>
      <c r="P727" s="67">
        <v>44214.0</v>
      </c>
      <c r="Q727" s="68" t="s">
        <v>871</v>
      </c>
      <c r="R727" s="65" t="s">
        <v>3342</v>
      </c>
      <c r="S727" s="65" t="s">
        <v>32</v>
      </c>
      <c r="T727" s="66"/>
      <c r="U727" s="66"/>
      <c r="V727" s="66"/>
      <c r="W727" s="65">
        <v>0.0</v>
      </c>
      <c r="X727" s="65">
        <v>0.0</v>
      </c>
    </row>
    <row r="728" spans="1:24" ht="15.75" customHeight="1">
      <c r="A728" s="65">
        <v>306965.0</v>
      </c>
      <c r="B728" s="65" t="s">
        <v>3343</v>
      </c>
      <c r="C728" s="65" t="s">
        <v>3338</v>
      </c>
      <c r="D728" s="65" t="s">
        <v>3339</v>
      </c>
      <c r="E728" s="66"/>
      <c r="F728" s="65" t="str">
        <f>"0807029238"</f>
        <v>0807029238</v>
      </c>
      <c r="G728" s="65" t="str">
        <f>"9780807029237"</f>
        <v>9780807029237</v>
      </c>
      <c r="H728" s="65">
        <v>0.0</v>
      </c>
      <c r="I728" s="65">
        <v>4.1</v>
      </c>
      <c r="J728" s="65" t="s">
        <v>758</v>
      </c>
      <c r="K728" s="65" t="s">
        <v>44</v>
      </c>
      <c r="L728" s="65">
        <v>240.0</v>
      </c>
      <c r="M728" s="65">
        <v>2000.0</v>
      </c>
      <c r="N728" s="65">
        <v>1999.0</v>
      </c>
      <c r="O728" s="66"/>
      <c r="P728" s="67">
        <v>43949.0</v>
      </c>
      <c r="Q728" s="68" t="s">
        <v>871</v>
      </c>
      <c r="R728" s="65" t="s">
        <v>3344</v>
      </c>
      <c r="S728" s="65" t="s">
        <v>32</v>
      </c>
      <c r="T728" s="66"/>
      <c r="U728" s="66"/>
      <c r="V728" s="66"/>
      <c r="W728" s="65">
        <v>0.0</v>
      </c>
      <c r="X728" s="65">
        <v>0.0</v>
      </c>
    </row>
    <row r="729" spans="1:24" ht="15.75" customHeight="1">
      <c r="A729" s="1">
        <v>1896706.0</v>
      </c>
      <c r="B729" s="1" t="s">
        <v>3345</v>
      </c>
      <c r="C729" s="1" t="s">
        <v>3346</v>
      </c>
      <c r="D729" s="1" t="s">
        <v>3347</v>
      </c>
      <c r="F729" s="1" t="str">
        <f>"8483103915"</f>
        <v>8483103915</v>
      </c>
      <c r="G729" s="1" t="str">
        <f>"9788483103913"</f>
        <v>9788483103913</v>
      </c>
      <c r="H729" s="1">
        <v>0.0</v>
      </c>
      <c r="I729" s="1">
        <v>4.1</v>
      </c>
      <c r="J729" s="1" t="s">
        <v>1647</v>
      </c>
      <c r="K729" s="1" t="s">
        <v>44</v>
      </c>
      <c r="L729" s="1">
        <v>208.0</v>
      </c>
      <c r="M729" s="1">
        <v>2007.0</v>
      </c>
      <c r="N729" s="1">
        <v>2007.0</v>
      </c>
      <c r="P729" s="3">
        <v>45228.0</v>
      </c>
      <c r="Q729" s="1" t="s">
        <v>145</v>
      </c>
      <c r="R729" s="1" t="s">
        <v>3348</v>
      </c>
      <c r="S729" s="1" t="s">
        <v>32</v>
      </c>
      <c r="W729" s="1">
        <v>0.0</v>
      </c>
      <c r="X729" s="1">
        <v>0.0</v>
      </c>
    </row>
    <row r="730" spans="1:24" ht="15.75" customHeight="1">
      <c r="A730" s="1">
        <v>5.6760361E7</v>
      </c>
      <c r="B730" s="1" t="s">
        <v>3349</v>
      </c>
      <c r="C730" s="1" t="s">
        <v>3346</v>
      </c>
      <c r="D730" s="1" t="s">
        <v>3347</v>
      </c>
      <c r="E730" s="1" t="s">
        <v>3350</v>
      </c>
      <c r="F730" s="1" t="str">
        <f>"0811228622"</f>
        <v>0811228622</v>
      </c>
      <c r="G730" s="1" t="str">
        <f>"9780811228626"</f>
        <v>9780811228626</v>
      </c>
      <c r="H730" s="1">
        <v>0.0</v>
      </c>
      <c r="I730" s="1">
        <v>3.7</v>
      </c>
      <c r="J730" s="1" t="s">
        <v>419</v>
      </c>
      <c r="K730" s="1" t="s">
        <v>44</v>
      </c>
      <c r="L730" s="1">
        <v>87.0</v>
      </c>
      <c r="M730" s="1">
        <v>2021.0</v>
      </c>
      <c r="N730" s="1">
        <v>1988.0</v>
      </c>
      <c r="P730" s="2">
        <v>45173.0</v>
      </c>
      <c r="Q730" s="1" t="s">
        <v>32</v>
      </c>
      <c r="R730" s="1" t="s">
        <v>3351</v>
      </c>
      <c r="S730" s="1" t="s">
        <v>32</v>
      </c>
      <c r="W730" s="1">
        <v>0.0</v>
      </c>
      <c r="X730" s="1">
        <v>0.0</v>
      </c>
    </row>
    <row r="731" spans="1:24" ht="15.75" customHeight="1">
      <c r="A731" s="1">
        <v>5.5608272E7</v>
      </c>
      <c r="B731" s="1" t="s">
        <v>3352</v>
      </c>
      <c r="C731" s="1" t="s">
        <v>3353</v>
      </c>
      <c r="D731" s="1" t="s">
        <v>3354</v>
      </c>
      <c r="F731" s="1" t="str">
        <f>"9874479337"</f>
        <v>9874479337</v>
      </c>
      <c r="G731" s="1" t="str">
        <f>"9789874479334"</f>
        <v>9789874479334</v>
      </c>
      <c r="H731" s="1">
        <v>0.0</v>
      </c>
      <c r="I731" s="1">
        <v>4.27</v>
      </c>
      <c r="J731" s="1" t="s">
        <v>3355</v>
      </c>
      <c r="K731" s="1" t="s">
        <v>44</v>
      </c>
      <c r="L731" s="1">
        <v>388.0</v>
      </c>
      <c r="M731" s="1">
        <v>2020.0</v>
      </c>
      <c r="P731" s="3">
        <v>45260.0</v>
      </c>
      <c r="Q731" s="1" t="s">
        <v>3356</v>
      </c>
      <c r="R731" s="1" t="s">
        <v>3357</v>
      </c>
      <c r="S731" s="1" t="s">
        <v>32</v>
      </c>
      <c r="W731" s="1">
        <v>0.0</v>
      </c>
      <c r="X731" s="1">
        <v>0.0</v>
      </c>
    </row>
    <row r="732" spans="1:24" ht="15.75" customHeight="1">
      <c r="A732" s="1">
        <v>6830389.0</v>
      </c>
      <c r="B732" s="1" t="s">
        <v>3358</v>
      </c>
      <c r="C732" s="1" t="s">
        <v>3359</v>
      </c>
      <c r="D732" s="1" t="s">
        <v>3360</v>
      </c>
      <c r="F732" s="1" t="str">
        <f>"0292795009"</f>
        <v>0292795009</v>
      </c>
      <c r="G732" s="1" t="str">
        <f>"9780292795006"</f>
        <v>9780292795006</v>
      </c>
      <c r="H732" s="1">
        <v>0.0</v>
      </c>
      <c r="I732" s="1">
        <v>3.96</v>
      </c>
      <c r="J732" s="1" t="s">
        <v>1473</v>
      </c>
      <c r="K732" s="1" t="s">
        <v>44</v>
      </c>
      <c r="L732" s="1">
        <v>430.0</v>
      </c>
      <c r="M732" s="1">
        <v>1971.0</v>
      </c>
      <c r="N732" s="1">
        <v>1933.0</v>
      </c>
      <c r="P732" s="3">
        <v>45260.0</v>
      </c>
      <c r="Q732" s="1" t="s">
        <v>3356</v>
      </c>
      <c r="R732" s="1" t="s">
        <v>3361</v>
      </c>
      <c r="S732" s="1" t="s">
        <v>32</v>
      </c>
      <c r="W732" s="1">
        <v>0.0</v>
      </c>
      <c r="X732" s="1">
        <v>0.0</v>
      </c>
    </row>
    <row r="733" spans="1:24" ht="15.75" customHeight="1">
      <c r="A733" s="1">
        <v>5.0283147E7</v>
      </c>
      <c r="B733" s="1" t="s">
        <v>3362</v>
      </c>
      <c r="C733" s="1" t="s">
        <v>3363</v>
      </c>
      <c r="D733" s="1" t="s">
        <v>3364</v>
      </c>
      <c r="E733" s="1" t="s">
        <v>3365</v>
      </c>
      <c r="F733" s="1" t="str">
        <f>""</f>
        <v/>
      </c>
      <c r="G733" s="1" t="str">
        <f>"9789874422026"</f>
        <v>9789874422026</v>
      </c>
      <c r="H733" s="1">
        <v>0.0</v>
      </c>
      <c r="I733" s="1">
        <v>3.8</v>
      </c>
      <c r="J733" s="1" t="s">
        <v>413</v>
      </c>
      <c r="K733" s="1" t="s">
        <v>44</v>
      </c>
      <c r="L733" s="1">
        <v>46.0</v>
      </c>
      <c r="M733" s="1">
        <v>2017.0</v>
      </c>
      <c r="N733" s="1">
        <v>2017.0</v>
      </c>
      <c r="P733" s="2">
        <v>43968.0</v>
      </c>
      <c r="Q733" s="1" t="s">
        <v>32</v>
      </c>
      <c r="R733" s="1" t="s">
        <v>3366</v>
      </c>
      <c r="S733" s="1" t="s">
        <v>32</v>
      </c>
      <c r="W733" s="1">
        <v>0.0</v>
      </c>
      <c r="X733" s="1">
        <v>0.0</v>
      </c>
    </row>
    <row r="734" spans="1:24" ht="15.75" customHeight="1">
      <c r="A734" s="1">
        <v>16893.0</v>
      </c>
      <c r="B734" s="1" t="s">
        <v>3367</v>
      </c>
      <c r="C734" s="1" t="s">
        <v>3368</v>
      </c>
      <c r="D734" s="1" t="s">
        <v>3369</v>
      </c>
      <c r="E734" s="1" t="s">
        <v>3370</v>
      </c>
      <c r="F734" s="1" t="str">
        <f>"0811212475"</f>
        <v>0811212475</v>
      </c>
      <c r="G734" s="1" t="str">
        <f>"9780811212472"</f>
        <v>9780811212472</v>
      </c>
      <c r="H734" s="1">
        <v>0.0</v>
      </c>
      <c r="I734" s="1">
        <v>3.9</v>
      </c>
      <c r="J734" s="1" t="s">
        <v>419</v>
      </c>
      <c r="K734" s="1" t="s">
        <v>44</v>
      </c>
      <c r="L734" s="1">
        <v>347.0</v>
      </c>
      <c r="M734" s="1">
        <v>2003.0</v>
      </c>
      <c r="N734" s="1">
        <v>1936.0</v>
      </c>
      <c r="P734" s="2">
        <v>45187.0</v>
      </c>
      <c r="Q734" s="1" t="s">
        <v>249</v>
      </c>
      <c r="R734" s="1" t="s">
        <v>3371</v>
      </c>
      <c r="S734" s="1" t="s">
        <v>32</v>
      </c>
      <c r="W734" s="1">
        <v>0.0</v>
      </c>
      <c r="X734" s="1">
        <v>0.0</v>
      </c>
    </row>
    <row r="735" spans="1:24" ht="15.75" customHeight="1">
      <c r="A735" s="1">
        <v>4.1733839E7</v>
      </c>
      <c r="B735" s="1" t="s">
        <v>3372</v>
      </c>
      <c r="C735" s="1" t="s">
        <v>3368</v>
      </c>
      <c r="D735" s="1" t="s">
        <v>3369</v>
      </c>
      <c r="E735" s="1" t="s">
        <v>3373</v>
      </c>
      <c r="F735" s="1" t="str">
        <f>"0743273567"</f>
        <v>0743273567</v>
      </c>
      <c r="G735" s="1" t="str">
        <f>"9780743273565"</f>
        <v>9780743273565</v>
      </c>
      <c r="H735" s="1">
        <v>0.0</v>
      </c>
      <c r="I735" s="1">
        <v>3.93</v>
      </c>
      <c r="J735" s="1" t="s">
        <v>88</v>
      </c>
      <c r="K735" s="1" t="s">
        <v>44</v>
      </c>
      <c r="L735" s="1">
        <v>180.0</v>
      </c>
      <c r="M735" s="1">
        <v>2018.0</v>
      </c>
      <c r="N735" s="1">
        <v>1925.0</v>
      </c>
      <c r="O735" s="3">
        <v>41266.0</v>
      </c>
      <c r="P735" s="3">
        <v>41242.0</v>
      </c>
      <c r="Q735" s="1" t="s">
        <v>3374</v>
      </c>
      <c r="R735" s="1" t="s">
        <v>3375</v>
      </c>
      <c r="S735" s="1" t="s">
        <v>271</v>
      </c>
      <c r="W735" s="1">
        <v>1.0</v>
      </c>
      <c r="X735" s="1">
        <v>1.0</v>
      </c>
    </row>
    <row r="736" spans="1:24" ht="15.75" customHeight="1">
      <c r="A736" s="1">
        <v>108314.0</v>
      </c>
      <c r="B736" s="1" t="s">
        <v>3376</v>
      </c>
      <c r="C736" s="1" t="s">
        <v>3377</v>
      </c>
      <c r="D736" s="1" t="s">
        <v>3378</v>
      </c>
      <c r="E736" s="1" t="s">
        <v>3379</v>
      </c>
      <c r="F736" s="1" t="str">
        <f>"0914918109"</f>
        <v>0914918109</v>
      </c>
      <c r="G736" s="1" t="str">
        <f>"9780914918103"</f>
        <v>9780914918103</v>
      </c>
      <c r="H736" s="1">
        <v>0.0</v>
      </c>
      <c r="I736" s="1">
        <v>4.26</v>
      </c>
      <c r="J736" s="1" t="s">
        <v>3380</v>
      </c>
      <c r="K736" s="1" t="s">
        <v>44</v>
      </c>
      <c r="L736" s="1">
        <v>266.0</v>
      </c>
      <c r="M736" s="1">
        <v>1979.0</v>
      </c>
      <c r="N736" s="1">
        <v>1979.0</v>
      </c>
      <c r="P736" s="2">
        <v>45122.0</v>
      </c>
      <c r="Q736" s="1" t="s">
        <v>32</v>
      </c>
      <c r="R736" s="1" t="s">
        <v>3381</v>
      </c>
      <c r="S736" s="1" t="s">
        <v>32</v>
      </c>
      <c r="W736" s="1">
        <v>0.0</v>
      </c>
      <c r="X736" s="1">
        <v>0.0</v>
      </c>
    </row>
    <row r="737" spans="1:24" ht="15.75" customHeight="1">
      <c r="A737" s="1">
        <v>1.8813872E7</v>
      </c>
      <c r="B737" s="1" t="s">
        <v>3382</v>
      </c>
      <c r="C737" s="1" t="s">
        <v>3383</v>
      </c>
      <c r="D737" s="1" t="s">
        <v>3384</v>
      </c>
      <c r="F737" s="1" t="str">
        <f>"0199930244"</f>
        <v>0199930244</v>
      </c>
      <c r="G737" s="1" t="str">
        <f>"9780199930241"</f>
        <v>9780199930241</v>
      </c>
      <c r="H737" s="1">
        <v>0.0</v>
      </c>
      <c r="I737" s="1">
        <v>3.68</v>
      </c>
      <c r="J737" s="1" t="s">
        <v>181</v>
      </c>
      <c r="K737" s="1" t="s">
        <v>37</v>
      </c>
      <c r="L737" s="1">
        <v>232.0</v>
      </c>
      <c r="M737" s="1">
        <v>2014.0</v>
      </c>
      <c r="N737" s="1">
        <v>2014.0</v>
      </c>
      <c r="P737" s="3">
        <v>45214.0</v>
      </c>
      <c r="Q737" s="1" t="s">
        <v>32</v>
      </c>
      <c r="R737" s="1" t="s">
        <v>3385</v>
      </c>
      <c r="S737" s="1" t="s">
        <v>32</v>
      </c>
      <c r="W737" s="1">
        <v>0.0</v>
      </c>
      <c r="X737" s="1">
        <v>0.0</v>
      </c>
    </row>
    <row r="738" spans="1:24" ht="15.75" customHeight="1">
      <c r="A738" s="1">
        <v>1117971.0</v>
      </c>
      <c r="B738" s="1" t="s">
        <v>3386</v>
      </c>
      <c r="C738" s="1" t="s">
        <v>3387</v>
      </c>
      <c r="D738" s="1" t="s">
        <v>3388</v>
      </c>
      <c r="F738" s="1" t="str">
        <f>"1597524328"</f>
        <v>1597524328</v>
      </c>
      <c r="G738" s="1" t="str">
        <f>"9781597524322"</f>
        <v>9781597524322</v>
      </c>
      <c r="H738" s="1">
        <v>0.0</v>
      </c>
      <c r="I738" s="1">
        <v>3.8</v>
      </c>
      <c r="J738" s="1" t="s">
        <v>3389</v>
      </c>
      <c r="K738" s="1" t="s">
        <v>44</v>
      </c>
      <c r="L738" s="1">
        <v>282.0</v>
      </c>
      <c r="M738" s="1">
        <v>2005.0</v>
      </c>
      <c r="N738" s="1">
        <v>1981.0</v>
      </c>
      <c r="P738" s="3">
        <v>45260.0</v>
      </c>
      <c r="Q738" s="1" t="s">
        <v>55</v>
      </c>
      <c r="R738" s="1" t="s">
        <v>3390</v>
      </c>
      <c r="S738" s="1" t="s">
        <v>32</v>
      </c>
      <c r="W738" s="1">
        <v>0.0</v>
      </c>
      <c r="X738" s="1">
        <v>0.0</v>
      </c>
    </row>
    <row r="739" spans="1:24" ht="15.75" customHeight="1">
      <c r="A739" s="1">
        <v>6.0356023E7</v>
      </c>
      <c r="B739" s="1" t="s">
        <v>3391</v>
      </c>
      <c r="C739" s="1" t="s">
        <v>3392</v>
      </c>
      <c r="D739" s="1" t="s">
        <v>3393</v>
      </c>
      <c r="F739" s="1" t="str">
        <f>"9501204197"</f>
        <v>9501204197</v>
      </c>
      <c r="G739" s="1" t="str">
        <f>"9789501204193"</f>
        <v>9789501204193</v>
      </c>
      <c r="H739" s="1">
        <v>0.0</v>
      </c>
      <c r="I739" s="1">
        <v>4.35</v>
      </c>
      <c r="J739" s="1" t="s">
        <v>3394</v>
      </c>
      <c r="K739" s="1" t="s">
        <v>29</v>
      </c>
      <c r="L739" s="1">
        <v>217.0</v>
      </c>
      <c r="M739" s="1">
        <v>2022.0</v>
      </c>
      <c r="P739" s="2">
        <v>45338.0</v>
      </c>
      <c r="Q739" s="1" t="s">
        <v>3395</v>
      </c>
      <c r="R739" s="1" t="s">
        <v>3396</v>
      </c>
      <c r="S739" s="1" t="s">
        <v>32</v>
      </c>
      <c r="W739" s="1">
        <v>0.0</v>
      </c>
      <c r="X739" s="1">
        <v>0.0</v>
      </c>
    </row>
    <row r="740" spans="1:24" ht="15.75" customHeight="1">
      <c r="A740" s="1">
        <v>3.4847511E7</v>
      </c>
      <c r="B740" s="1" t="s">
        <v>3397</v>
      </c>
      <c r="C740" s="1" t="s">
        <v>3398</v>
      </c>
      <c r="D740" s="1" t="s">
        <v>3399</v>
      </c>
      <c r="F740" s="1" t="str">
        <f>"6073152736"</f>
        <v>6073152736</v>
      </c>
      <c r="G740" s="1" t="str">
        <f>"9786073152730"</f>
        <v>9786073152730</v>
      </c>
      <c r="H740" s="1">
        <v>0.0</v>
      </c>
      <c r="I740" s="1">
        <v>4.07</v>
      </c>
      <c r="J740" s="1" t="s">
        <v>3400</v>
      </c>
      <c r="K740" s="1" t="s">
        <v>44</v>
      </c>
      <c r="L740" s="1">
        <v>224.0</v>
      </c>
      <c r="M740" s="1">
        <v>2017.0</v>
      </c>
      <c r="N740" s="1">
        <v>2017.0</v>
      </c>
      <c r="P740" s="2">
        <v>44212.0</v>
      </c>
      <c r="Q740" s="1" t="s">
        <v>1315</v>
      </c>
      <c r="R740" s="1" t="s">
        <v>3401</v>
      </c>
      <c r="S740" s="1" t="s">
        <v>32</v>
      </c>
      <c r="W740" s="1">
        <v>0.0</v>
      </c>
      <c r="X740" s="1">
        <v>0.0</v>
      </c>
    </row>
    <row r="741" spans="1:24" ht="15.75" customHeight="1">
      <c r="A741" s="1">
        <v>5.8730652E7</v>
      </c>
      <c r="B741" s="1" t="s">
        <v>3402</v>
      </c>
      <c r="C741" s="1" t="s">
        <v>3398</v>
      </c>
      <c r="D741" s="1" t="s">
        <v>3399</v>
      </c>
      <c r="E741" s="1" t="s">
        <v>3403</v>
      </c>
      <c r="F741" s="1" t="str">
        <f>"1913097870"</f>
        <v>1913097870</v>
      </c>
      <c r="G741" s="1" t="str">
        <f>"9781913097875"</f>
        <v>9781913097875</v>
      </c>
      <c r="H741" s="1">
        <v>0.0</v>
      </c>
      <c r="I741" s="1">
        <v>3.65</v>
      </c>
      <c r="J741" s="1" t="s">
        <v>144</v>
      </c>
      <c r="K741" s="1" t="s">
        <v>44</v>
      </c>
      <c r="L741" s="1">
        <v>118.0</v>
      </c>
      <c r="M741" s="1">
        <v>2022.0</v>
      </c>
      <c r="N741" s="1">
        <v>2021.0</v>
      </c>
      <c r="P741" s="2">
        <v>45163.0</v>
      </c>
      <c r="Q741" s="1" t="s">
        <v>32</v>
      </c>
      <c r="R741" s="1" t="s">
        <v>3404</v>
      </c>
      <c r="S741" s="1" t="s">
        <v>32</v>
      </c>
      <c r="W741" s="1">
        <v>0.0</v>
      </c>
      <c r="X741" s="1">
        <v>0.0</v>
      </c>
    </row>
    <row r="742" spans="1:24" ht="15.75" customHeight="1">
      <c r="A742" s="1">
        <v>1.5826957E7</v>
      </c>
      <c r="B742" s="1" t="s">
        <v>3405</v>
      </c>
      <c r="C742" s="1" t="s">
        <v>3406</v>
      </c>
      <c r="D742" s="1" t="s">
        <v>3407</v>
      </c>
      <c r="F742" s="1" t="str">
        <f>"0262018047"</f>
        <v>0262018047</v>
      </c>
      <c r="G742" s="1" t="str">
        <f>"9780262018043"</f>
        <v>9780262018043</v>
      </c>
      <c r="H742" s="1">
        <v>0.0</v>
      </c>
      <c r="I742" s="1">
        <v>3.89</v>
      </c>
      <c r="J742" s="1" t="s">
        <v>1353</v>
      </c>
      <c r="K742" s="1" t="s">
        <v>37</v>
      </c>
      <c r="L742" s="1">
        <v>168.0</v>
      </c>
      <c r="M742" s="1">
        <v>2012.0</v>
      </c>
      <c r="N742" s="1">
        <v>2012.0</v>
      </c>
      <c r="P742" s="2">
        <v>45129.0</v>
      </c>
      <c r="Q742" s="1" t="s">
        <v>711</v>
      </c>
      <c r="R742" s="1" t="s">
        <v>3408</v>
      </c>
      <c r="S742" s="1" t="s">
        <v>32</v>
      </c>
      <c r="W742" s="1">
        <v>0.0</v>
      </c>
      <c r="X742" s="1">
        <v>0.0</v>
      </c>
    </row>
    <row r="743" spans="1:24" ht="15.75" customHeight="1">
      <c r="A743" s="1">
        <v>311642.0</v>
      </c>
      <c r="B743" s="1" t="s">
        <v>3409</v>
      </c>
      <c r="C743" s="1" t="s">
        <v>3410</v>
      </c>
      <c r="D743" s="1" t="s">
        <v>3411</v>
      </c>
      <c r="E743" s="1" t="s">
        <v>3412</v>
      </c>
      <c r="F743" s="1" t="str">
        <f>"1564780953"</f>
        <v>1564780953</v>
      </c>
      <c r="G743" s="1" t="str">
        <f>"9781564780959"</f>
        <v>9781564780959</v>
      </c>
      <c r="H743" s="1">
        <v>0.0</v>
      </c>
      <c r="I743" s="1">
        <v>4.34</v>
      </c>
      <c r="J743" s="1" t="s">
        <v>2337</v>
      </c>
      <c r="K743" s="1" t="s">
        <v>44</v>
      </c>
      <c r="L743" s="1">
        <v>557.0</v>
      </c>
      <c r="M743" s="1">
        <v>1996.0</v>
      </c>
      <c r="N743" s="1">
        <v>1977.0</v>
      </c>
      <c r="P743" s="2">
        <v>45094.0</v>
      </c>
      <c r="Q743" s="1" t="s">
        <v>502</v>
      </c>
      <c r="R743" s="1" t="s">
        <v>3413</v>
      </c>
      <c r="S743" s="1" t="s">
        <v>32</v>
      </c>
      <c r="W743" s="1">
        <v>0.0</v>
      </c>
      <c r="X743" s="1">
        <v>0.0</v>
      </c>
    </row>
    <row r="744" spans="1:24" ht="15.75" customHeight="1">
      <c r="A744" s="1">
        <v>74073.0</v>
      </c>
      <c r="B744" s="1" t="s">
        <v>3414</v>
      </c>
      <c r="C744" s="1" t="s">
        <v>3415</v>
      </c>
      <c r="D744" s="1" t="s">
        <v>3416</v>
      </c>
      <c r="E744" s="1" t="s">
        <v>3417</v>
      </c>
      <c r="F744" s="1" t="str">
        <f>"0520035275"</f>
        <v>0520035275</v>
      </c>
      <c r="G744" s="1" t="str">
        <f>"9780520035270"</f>
        <v>9780520035270</v>
      </c>
      <c r="H744" s="1">
        <v>0.0</v>
      </c>
      <c r="I744" s="1">
        <v>3.55</v>
      </c>
      <c r="J744" s="1" t="s">
        <v>552</v>
      </c>
      <c r="K744" s="1" t="s">
        <v>44</v>
      </c>
      <c r="L744" s="1">
        <v>256.0</v>
      </c>
      <c r="M744" s="1">
        <v>1979.0</v>
      </c>
      <c r="N744" s="1">
        <v>1970.0</v>
      </c>
      <c r="P744" s="2">
        <v>44166.0</v>
      </c>
      <c r="Q744" s="1" t="s">
        <v>32</v>
      </c>
      <c r="R744" s="1" t="s">
        <v>3418</v>
      </c>
      <c r="S744" s="1" t="s">
        <v>32</v>
      </c>
      <c r="W744" s="1">
        <v>0.0</v>
      </c>
      <c r="X744" s="1">
        <v>0.0</v>
      </c>
    </row>
    <row r="745" spans="1:24" ht="15.75" customHeight="1">
      <c r="A745" s="1">
        <v>1.4735332E7</v>
      </c>
      <c r="B745" s="1" t="s">
        <v>3419</v>
      </c>
      <c r="C745" s="1" t="s">
        <v>3420</v>
      </c>
      <c r="D745" s="1" t="s">
        <v>3421</v>
      </c>
      <c r="F745" s="1" t="str">
        <f>"9681670221"</f>
        <v>9681670221</v>
      </c>
      <c r="G745" s="1" t="str">
        <f>"9789681670221"</f>
        <v>9789681670221</v>
      </c>
      <c r="H745" s="1">
        <v>0.0</v>
      </c>
      <c r="I745" s="1">
        <v>0.0</v>
      </c>
      <c r="J745" s="1" t="s">
        <v>1783</v>
      </c>
      <c r="K745" s="1" t="s">
        <v>44</v>
      </c>
      <c r="L745" s="1">
        <v>533.0</v>
      </c>
      <c r="M745" s="1">
        <v>2005.0</v>
      </c>
      <c r="N745" s="1">
        <v>1947.0</v>
      </c>
      <c r="P745" s="2">
        <v>44959.0</v>
      </c>
      <c r="Q745" s="1" t="s">
        <v>32</v>
      </c>
      <c r="R745" s="1" t="s">
        <v>3422</v>
      </c>
      <c r="S745" s="1" t="s">
        <v>32</v>
      </c>
      <c r="W745" s="1">
        <v>0.0</v>
      </c>
      <c r="X745" s="1">
        <v>0.0</v>
      </c>
    </row>
    <row r="746" spans="1:24" ht="15.75" customHeight="1">
      <c r="A746" s="1">
        <v>3212085.0</v>
      </c>
      <c r="B746" s="1" t="s">
        <v>3423</v>
      </c>
      <c r="C746" s="1" t="s">
        <v>3424</v>
      </c>
      <c r="D746" s="1" t="s">
        <v>3425</v>
      </c>
      <c r="E746" s="1" t="s">
        <v>3426</v>
      </c>
      <c r="F746" s="1" t="str">
        <f>"8415689489"</f>
        <v>8415689489</v>
      </c>
      <c r="G746" s="1" t="str">
        <f>"9788415689485"</f>
        <v>9788415689485</v>
      </c>
      <c r="H746" s="1">
        <v>0.0</v>
      </c>
      <c r="I746" s="1">
        <v>4.41</v>
      </c>
      <c r="J746" s="1" t="s">
        <v>3427</v>
      </c>
      <c r="K746" s="1" t="s">
        <v>44</v>
      </c>
      <c r="L746" s="1">
        <v>608.0</v>
      </c>
      <c r="M746" s="1">
        <v>2013.0</v>
      </c>
      <c r="N746" s="1">
        <v>1982.0</v>
      </c>
      <c r="P746" s="2">
        <v>44423.0</v>
      </c>
      <c r="Q746" s="1" t="s">
        <v>32</v>
      </c>
      <c r="R746" s="1" t="s">
        <v>3428</v>
      </c>
      <c r="S746" s="1" t="s">
        <v>32</v>
      </c>
      <c r="W746" s="1">
        <v>0.0</v>
      </c>
      <c r="X746" s="1">
        <v>0.0</v>
      </c>
    </row>
    <row r="747" spans="1:24" ht="15.75" customHeight="1">
      <c r="A747" s="1">
        <v>3804239.0</v>
      </c>
      <c r="B747" s="1" t="s">
        <v>3429</v>
      </c>
      <c r="C747" s="1" t="s">
        <v>3430</v>
      </c>
      <c r="D747" s="1" t="s">
        <v>3431</v>
      </c>
      <c r="F747" s="1" t="str">
        <f>"9509122432"</f>
        <v>9509122432</v>
      </c>
      <c r="G747" s="1" t="str">
        <f>"9789509122437"</f>
        <v>9789509122437</v>
      </c>
      <c r="H747" s="1">
        <v>0.0</v>
      </c>
      <c r="I747" s="1">
        <v>3.64</v>
      </c>
      <c r="J747" s="1" t="s">
        <v>3432</v>
      </c>
      <c r="K747" s="1" t="s">
        <v>44</v>
      </c>
      <c r="L747" s="1">
        <v>144.0</v>
      </c>
      <c r="M747" s="1">
        <v>2008.0</v>
      </c>
      <c r="N747" s="1">
        <v>1991.0</v>
      </c>
      <c r="P747" s="2">
        <v>45113.0</v>
      </c>
      <c r="Q747" s="1" t="s">
        <v>115</v>
      </c>
      <c r="R747" s="1" t="s">
        <v>3433</v>
      </c>
      <c r="S747" s="1" t="s">
        <v>32</v>
      </c>
      <c r="W747" s="1">
        <v>0.0</v>
      </c>
      <c r="X747" s="1">
        <v>1.0</v>
      </c>
    </row>
    <row r="748" spans="1:24" ht="15.75" customHeight="1">
      <c r="A748" s="1">
        <v>48467.0</v>
      </c>
      <c r="B748" s="1" t="s">
        <v>3434</v>
      </c>
      <c r="C748" s="1" t="s">
        <v>3435</v>
      </c>
      <c r="D748" s="1" t="s">
        <v>3436</v>
      </c>
      <c r="F748" s="1" t="str">
        <f>"0374530637"</f>
        <v>0374530637</v>
      </c>
      <c r="G748" s="1" t="str">
        <f>"9780374530631"</f>
        <v>9780374530631</v>
      </c>
      <c r="H748" s="1">
        <v>0.0</v>
      </c>
      <c r="I748" s="1">
        <v>3.83</v>
      </c>
      <c r="J748" s="1" t="s">
        <v>3437</v>
      </c>
      <c r="K748" s="1" t="s">
        <v>44</v>
      </c>
      <c r="L748" s="1">
        <v>256.0</v>
      </c>
      <c r="M748" s="1">
        <v>2007.0</v>
      </c>
      <c r="N748" s="1">
        <v>1952.0</v>
      </c>
      <c r="P748" s="3">
        <v>44484.0</v>
      </c>
      <c r="Q748" s="1" t="s">
        <v>32</v>
      </c>
      <c r="R748" s="1" t="s">
        <v>3438</v>
      </c>
      <c r="S748" s="1" t="s">
        <v>32</v>
      </c>
      <c r="W748" s="1">
        <v>0.0</v>
      </c>
      <c r="X748" s="1">
        <v>0.0</v>
      </c>
    </row>
    <row r="749" spans="1:24" ht="15.75" customHeight="1">
      <c r="A749" s="1">
        <v>1440460.0</v>
      </c>
      <c r="B749" s="1" t="s">
        <v>3439</v>
      </c>
      <c r="C749" s="1" t="s">
        <v>3440</v>
      </c>
      <c r="D749" s="1" t="s">
        <v>3441</v>
      </c>
      <c r="E749" s="1" t="s">
        <v>3442</v>
      </c>
      <c r="F749" s="1" t="str">
        <f>"0811212351"</f>
        <v>0811212351</v>
      </c>
      <c r="G749" s="1" t="str">
        <f>"9780811212359"</f>
        <v>9780811212359</v>
      </c>
      <c r="H749" s="1">
        <v>0.0</v>
      </c>
      <c r="I749" s="1">
        <v>3.66</v>
      </c>
      <c r="J749" s="1" t="s">
        <v>419</v>
      </c>
      <c r="K749" s="1" t="s">
        <v>44</v>
      </c>
      <c r="L749" s="1">
        <v>101.0</v>
      </c>
      <c r="M749" s="1">
        <v>1993.0</v>
      </c>
      <c r="N749" s="1">
        <v>1989.0</v>
      </c>
      <c r="P749" s="2">
        <v>45239.0</v>
      </c>
      <c r="Q749" s="1" t="s">
        <v>145</v>
      </c>
      <c r="R749" s="1" t="s">
        <v>3443</v>
      </c>
      <c r="S749" s="1" t="s">
        <v>32</v>
      </c>
      <c r="W749" s="1">
        <v>0.0</v>
      </c>
      <c r="X749" s="1">
        <v>0.0</v>
      </c>
    </row>
    <row r="750" spans="1:24" ht="15.75" customHeight="1">
      <c r="A750" s="1">
        <v>3.4847126E7</v>
      </c>
      <c r="B750" s="1" t="s">
        <v>3444</v>
      </c>
      <c r="C750" s="1" t="s">
        <v>3440</v>
      </c>
      <c r="D750" s="1" t="s">
        <v>3441</v>
      </c>
      <c r="E750" s="1" t="s">
        <v>3445</v>
      </c>
      <c r="F750" s="1" t="str">
        <f>"0811225992"</f>
        <v>0811225992</v>
      </c>
      <c r="G750" s="1" t="str">
        <f>"9780811225991"</f>
        <v>9780811225991</v>
      </c>
      <c r="H750" s="1">
        <v>0.0</v>
      </c>
      <c r="I750" s="1">
        <v>3.62</v>
      </c>
      <c r="J750" s="1" t="s">
        <v>419</v>
      </c>
      <c r="K750" s="1" t="s">
        <v>420</v>
      </c>
      <c r="L750" s="1">
        <v>128.0</v>
      </c>
      <c r="M750" s="1">
        <v>2017.0</v>
      </c>
      <c r="N750" s="1">
        <v>2014.0</v>
      </c>
      <c r="P750" s="2">
        <v>45110.0</v>
      </c>
      <c r="Q750" s="1" t="s">
        <v>32</v>
      </c>
      <c r="R750" s="1" t="s">
        <v>3446</v>
      </c>
      <c r="S750" s="1" t="s">
        <v>32</v>
      </c>
      <c r="W750" s="1">
        <v>0.0</v>
      </c>
      <c r="X750" s="1">
        <v>0.0</v>
      </c>
    </row>
    <row r="751" spans="1:24" ht="15.75" customHeight="1">
      <c r="A751" s="1">
        <v>3.6690608E7</v>
      </c>
      <c r="B751" s="1" t="s">
        <v>3447</v>
      </c>
      <c r="C751" s="1" t="s">
        <v>3448</v>
      </c>
      <c r="D751" s="1" t="s">
        <v>3449</v>
      </c>
      <c r="F751" s="1" t="str">
        <f>"0241347939"</f>
        <v>0241347939</v>
      </c>
      <c r="G751" s="1" t="str">
        <f>"9780241347935"</f>
        <v>9780241347935</v>
      </c>
      <c r="H751" s="1">
        <v>0.0</v>
      </c>
      <c r="I751" s="1">
        <v>4.3</v>
      </c>
      <c r="J751" s="1" t="s">
        <v>3450</v>
      </c>
      <c r="K751" s="1" t="s">
        <v>37</v>
      </c>
      <c r="L751" s="1">
        <v>288.0</v>
      </c>
      <c r="M751" s="1">
        <v>2018.0</v>
      </c>
      <c r="N751" s="1">
        <v>2018.0</v>
      </c>
      <c r="P751" s="2">
        <v>43953.0</v>
      </c>
      <c r="Q751" s="1" t="s">
        <v>421</v>
      </c>
      <c r="R751" s="1" t="s">
        <v>3451</v>
      </c>
      <c r="S751" s="1" t="s">
        <v>32</v>
      </c>
      <c r="W751" s="1">
        <v>0.0</v>
      </c>
      <c r="X751" s="1">
        <v>0.0</v>
      </c>
    </row>
    <row r="752" spans="1:24" ht="15.75" customHeight="1">
      <c r="A752" s="1">
        <v>3816454.0</v>
      </c>
      <c r="B752" s="1" t="s">
        <v>3452</v>
      </c>
      <c r="C752" s="1" t="s">
        <v>3453</v>
      </c>
      <c r="D752" s="1" t="s">
        <v>3454</v>
      </c>
      <c r="F752" s="1" t="str">
        <f>"0811217450"</f>
        <v>0811217450</v>
      </c>
      <c r="G752" s="1" t="str">
        <f>"9780811217453"</f>
        <v>9780811217453</v>
      </c>
      <c r="H752" s="1">
        <v>0.0</v>
      </c>
      <c r="I752" s="1">
        <v>3.8</v>
      </c>
      <c r="J752" s="1" t="s">
        <v>419</v>
      </c>
      <c r="K752" s="1" t="s">
        <v>44</v>
      </c>
      <c r="L752" s="1">
        <v>106.0</v>
      </c>
      <c r="M752" s="1">
        <v>2008.0</v>
      </c>
      <c r="N752" s="1">
        <v>2008.0</v>
      </c>
      <c r="P752" s="2">
        <v>44252.0</v>
      </c>
      <c r="Q752" s="1" t="s">
        <v>502</v>
      </c>
      <c r="R752" s="1" t="s">
        <v>3455</v>
      </c>
      <c r="S752" s="1" t="s">
        <v>32</v>
      </c>
      <c r="W752" s="1">
        <v>0.0</v>
      </c>
      <c r="X752" s="1">
        <v>0.0</v>
      </c>
    </row>
    <row r="753" spans="1:24" ht="15.75" customHeight="1">
      <c r="A753" s="1">
        <v>245831.0</v>
      </c>
      <c r="B753" s="1" t="s">
        <v>3456</v>
      </c>
      <c r="C753" s="1" t="s">
        <v>3457</v>
      </c>
      <c r="D753" s="1" t="s">
        <v>3458</v>
      </c>
      <c r="F753" s="1" t="str">
        <f>"0226950018"</f>
        <v>0226950018</v>
      </c>
      <c r="G753" s="1" t="str">
        <f>"9780226950013"</f>
        <v>9780226950013</v>
      </c>
      <c r="H753" s="1">
        <v>0.0</v>
      </c>
      <c r="I753" s="1">
        <v>4.16</v>
      </c>
      <c r="J753" s="1" t="s">
        <v>78</v>
      </c>
      <c r="K753" s="1" t="s">
        <v>44</v>
      </c>
      <c r="L753" s="1">
        <v>400.0</v>
      </c>
      <c r="M753" s="1">
        <v>2001.0</v>
      </c>
      <c r="N753" s="1">
        <v>1966.0</v>
      </c>
      <c r="P753" s="2">
        <v>45115.0</v>
      </c>
      <c r="Q753" s="1" t="s">
        <v>32</v>
      </c>
      <c r="R753" s="1" t="s">
        <v>3459</v>
      </c>
      <c r="S753" s="1" t="s">
        <v>32</v>
      </c>
      <c r="W753" s="1">
        <v>0.0</v>
      </c>
      <c r="X753" s="1">
        <v>0.0</v>
      </c>
    </row>
    <row r="754" spans="1:24" ht="15.75" customHeight="1">
      <c r="A754" s="1">
        <v>89522.0</v>
      </c>
      <c r="B754" s="1" t="s">
        <v>3460</v>
      </c>
      <c r="C754" s="1" t="s">
        <v>3461</v>
      </c>
      <c r="D754" s="1" t="s">
        <v>3462</v>
      </c>
      <c r="E754" s="1" t="s">
        <v>3463</v>
      </c>
      <c r="F754" s="1" t="str">
        <f>"0306811596"</f>
        <v>0306811596</v>
      </c>
      <c r="G754" s="1" t="str">
        <f>"9780306811593"</f>
        <v>9780306811593</v>
      </c>
      <c r="H754" s="1">
        <v>0.0</v>
      </c>
      <c r="I754" s="1">
        <v>3.72</v>
      </c>
      <c r="J754" s="1" t="s">
        <v>564</v>
      </c>
      <c r="K754" s="1" t="s">
        <v>44</v>
      </c>
      <c r="L754" s="1">
        <v>269.0</v>
      </c>
      <c r="M754" s="1">
        <v>2002.0</v>
      </c>
      <c r="N754" s="1">
        <v>1995.0</v>
      </c>
      <c r="P754" s="2">
        <v>45113.0</v>
      </c>
      <c r="Q754" s="1" t="s">
        <v>788</v>
      </c>
      <c r="R754" s="1" t="s">
        <v>3464</v>
      </c>
      <c r="S754" s="1" t="s">
        <v>32</v>
      </c>
      <c r="W754" s="1">
        <v>0.0</v>
      </c>
      <c r="X754" s="1">
        <v>1.0</v>
      </c>
    </row>
    <row r="755" spans="1:24" ht="15.75" customHeight="1">
      <c r="A755" s="1">
        <v>1224206.0</v>
      </c>
      <c r="B755" s="1" t="s">
        <v>3465</v>
      </c>
      <c r="C755" s="1" t="s">
        <v>3466</v>
      </c>
      <c r="D755" s="1" t="s">
        <v>3467</v>
      </c>
      <c r="F755" s="1" t="str">
        <f>"156584596X"</f>
        <v>156584596X</v>
      </c>
      <c r="G755" s="1" t="str">
        <f>"9781565845961"</f>
        <v>9781565845961</v>
      </c>
      <c r="H755" s="1">
        <v>0.0</v>
      </c>
      <c r="I755" s="1">
        <v>3.97</v>
      </c>
      <c r="J755" s="1" t="s">
        <v>1104</v>
      </c>
      <c r="K755" s="1" t="s">
        <v>37</v>
      </c>
      <c r="L755" s="1">
        <v>528.0</v>
      </c>
      <c r="M755" s="1">
        <v>2000.0</v>
      </c>
      <c r="N755" s="1">
        <v>1999.0</v>
      </c>
      <c r="P755" s="3">
        <v>45270.0</v>
      </c>
      <c r="Q755" s="1" t="s">
        <v>479</v>
      </c>
      <c r="R755" s="1" t="s">
        <v>3468</v>
      </c>
      <c r="S755" s="1" t="s">
        <v>32</v>
      </c>
      <c r="W755" s="1">
        <v>0.0</v>
      </c>
      <c r="X755" s="1">
        <v>0.0</v>
      </c>
    </row>
    <row r="756" spans="1:24" ht="15.75" customHeight="1">
      <c r="A756" s="1">
        <v>922024.0</v>
      </c>
      <c r="B756" s="1" t="s">
        <v>3469</v>
      </c>
      <c r="C756" s="1" t="s">
        <v>3470</v>
      </c>
      <c r="D756" s="1" t="s">
        <v>3471</v>
      </c>
      <c r="E756" s="1" t="s">
        <v>3472</v>
      </c>
      <c r="F756" s="1" t="str">
        <f>"0764572032"</f>
        <v>0764572032</v>
      </c>
      <c r="G756" s="1" t="str">
        <f>"9780764572036"</f>
        <v>9780764572036</v>
      </c>
      <c r="H756" s="1">
        <v>0.0</v>
      </c>
      <c r="I756" s="1">
        <v>3.66</v>
      </c>
      <c r="J756" s="1" t="s">
        <v>3473</v>
      </c>
      <c r="K756" s="1" t="s">
        <v>44</v>
      </c>
      <c r="L756" s="1">
        <v>224.0</v>
      </c>
      <c r="M756" s="1">
        <v>2004.0</v>
      </c>
      <c r="N756" s="1">
        <v>2004.0</v>
      </c>
      <c r="P756" s="2">
        <v>45113.0</v>
      </c>
      <c r="Q756" s="1" t="s">
        <v>32</v>
      </c>
      <c r="R756" s="1" t="s">
        <v>3474</v>
      </c>
      <c r="S756" s="1" t="s">
        <v>32</v>
      </c>
      <c r="W756" s="1">
        <v>0.0</v>
      </c>
      <c r="X756" s="1">
        <v>0.0</v>
      </c>
    </row>
    <row r="757" spans="1:24" ht="15.75" customHeight="1">
      <c r="A757" s="1">
        <v>5.7282028E7</v>
      </c>
      <c r="B757" s="1" t="s">
        <v>3475</v>
      </c>
      <c r="C757" s="1" t="s">
        <v>3476</v>
      </c>
      <c r="D757" s="1" t="s">
        <v>3477</v>
      </c>
      <c r="F757" s="1" t="str">
        <f>"0525520457"</f>
        <v>0525520457</v>
      </c>
      <c r="G757" s="1" t="str">
        <f>"9780525520450"</f>
        <v>9780525520450</v>
      </c>
      <c r="H757" s="1">
        <v>0.0</v>
      </c>
      <c r="I757" s="1">
        <v>4.23</v>
      </c>
      <c r="J757" s="1" t="s">
        <v>1397</v>
      </c>
      <c r="K757" s="1" t="s">
        <v>37</v>
      </c>
      <c r="L757" s="1">
        <v>608.0</v>
      </c>
      <c r="M757" s="1">
        <v>2022.0</v>
      </c>
      <c r="N757" s="1">
        <v>2021.0</v>
      </c>
      <c r="P757" s="2">
        <v>45108.0</v>
      </c>
      <c r="Q757" s="1" t="s">
        <v>138</v>
      </c>
      <c r="R757" s="1" t="s">
        <v>3478</v>
      </c>
      <c r="S757" s="1" t="s">
        <v>32</v>
      </c>
      <c r="W757" s="1">
        <v>0.0</v>
      </c>
      <c r="X757" s="1">
        <v>0.0</v>
      </c>
    </row>
    <row r="758" spans="1:24" ht="15.75" customHeight="1">
      <c r="A758" s="1">
        <v>5.0775914E7</v>
      </c>
      <c r="B758" s="1" t="s">
        <v>3479</v>
      </c>
      <c r="C758" s="1" t="s">
        <v>3480</v>
      </c>
      <c r="D758" s="1" t="s">
        <v>3481</v>
      </c>
      <c r="E758" s="1" t="s">
        <v>3482</v>
      </c>
      <c r="F758" s="1" t="str">
        <f>"0198812795"</f>
        <v>0198812795</v>
      </c>
      <c r="G758" s="1" t="str">
        <f>"9780198812791"</f>
        <v>9780198812791</v>
      </c>
      <c r="H758" s="1">
        <v>0.0</v>
      </c>
      <c r="I758" s="1">
        <v>4.0</v>
      </c>
      <c r="J758" s="1" t="s">
        <v>181</v>
      </c>
      <c r="K758" s="1" t="s">
        <v>37</v>
      </c>
      <c r="L758" s="1">
        <v>323.0</v>
      </c>
      <c r="M758" s="1">
        <v>2019.0</v>
      </c>
      <c r="P758" s="2">
        <v>44808.0</v>
      </c>
      <c r="Q758" s="1" t="s">
        <v>32</v>
      </c>
      <c r="R758" s="1" t="s">
        <v>3483</v>
      </c>
      <c r="S758" s="1" t="s">
        <v>32</v>
      </c>
      <c r="W758" s="1">
        <v>0.0</v>
      </c>
      <c r="X758" s="1">
        <v>0.0</v>
      </c>
    </row>
    <row r="759" spans="1:24" ht="15.75" customHeight="1">
      <c r="A759" s="1">
        <v>7502821.0</v>
      </c>
      <c r="B759" s="1" t="s">
        <v>3484</v>
      </c>
      <c r="C759" s="1" t="s">
        <v>3485</v>
      </c>
      <c r="D759" s="1" t="s">
        <v>3486</v>
      </c>
      <c r="F759" s="1" t="str">
        <f>"0641509022"</f>
        <v>0641509022</v>
      </c>
      <c r="G759" s="1" t="str">
        <f>"9780641509025"</f>
        <v>9780641509025</v>
      </c>
      <c r="H759" s="1">
        <v>0.0</v>
      </c>
      <c r="I759" s="1">
        <v>3.0</v>
      </c>
      <c r="K759" s="1" t="s">
        <v>37</v>
      </c>
      <c r="L759" s="1">
        <v>246.0</v>
      </c>
      <c r="M759" s="1">
        <v>2003.0</v>
      </c>
      <c r="N759" s="1">
        <v>2003.0</v>
      </c>
      <c r="P759" s="2">
        <v>44242.0</v>
      </c>
      <c r="Q759" s="1" t="s">
        <v>32</v>
      </c>
      <c r="R759" s="1" t="s">
        <v>3487</v>
      </c>
      <c r="S759" s="1" t="s">
        <v>32</v>
      </c>
      <c r="W759" s="1">
        <v>0.0</v>
      </c>
      <c r="X759" s="1">
        <v>0.0</v>
      </c>
    </row>
    <row r="760" spans="1:24" ht="15.75" customHeight="1">
      <c r="A760" s="1">
        <v>39934.0</v>
      </c>
      <c r="B760" s="1" t="s">
        <v>3488</v>
      </c>
      <c r="C760" s="1" t="s">
        <v>3489</v>
      </c>
      <c r="D760" s="1" t="s">
        <v>3490</v>
      </c>
      <c r="F760" s="1" t="str">
        <f>"0060777052"</f>
        <v>0060777052</v>
      </c>
      <c r="G760" s="1" t="str">
        <f>"9780060777050"</f>
        <v>9780060777050</v>
      </c>
      <c r="H760" s="1">
        <v>0.0</v>
      </c>
      <c r="I760" s="1">
        <v>3.77</v>
      </c>
      <c r="J760" s="1" t="s">
        <v>917</v>
      </c>
      <c r="K760" s="1" t="s">
        <v>44</v>
      </c>
      <c r="L760" s="1">
        <v>302.0</v>
      </c>
      <c r="M760" s="1">
        <v>2007.0</v>
      </c>
      <c r="N760" s="1">
        <v>2006.0</v>
      </c>
      <c r="P760" s="2">
        <v>45157.0</v>
      </c>
      <c r="Q760" s="1" t="s">
        <v>32</v>
      </c>
      <c r="R760" s="1" t="s">
        <v>3491</v>
      </c>
      <c r="S760" s="1" t="s">
        <v>32</v>
      </c>
      <c r="W760" s="1">
        <v>0.0</v>
      </c>
      <c r="X760" s="1">
        <v>0.0</v>
      </c>
    </row>
    <row r="761" spans="1:24" ht="15.75" customHeight="1">
      <c r="A761" s="17">
        <v>766938.0</v>
      </c>
      <c r="B761" s="17" t="s">
        <v>3492</v>
      </c>
      <c r="C761" s="17" t="s">
        <v>3493</v>
      </c>
      <c r="D761" s="17" t="s">
        <v>3494</v>
      </c>
      <c r="E761" s="18"/>
      <c r="F761" s="17" t="str">
        <f>"0877289425"</f>
        <v>0877289425</v>
      </c>
      <c r="G761" s="17" t="str">
        <f>"9780877289425"</f>
        <v>9780877289425</v>
      </c>
      <c r="H761" s="17">
        <v>0.0</v>
      </c>
      <c r="I761" s="17">
        <v>3.86</v>
      </c>
      <c r="J761" s="17" t="s">
        <v>405</v>
      </c>
      <c r="K761" s="17" t="s">
        <v>44</v>
      </c>
      <c r="L761" s="17">
        <v>434.0</v>
      </c>
      <c r="M761" s="17">
        <v>2000.0</v>
      </c>
      <c r="N761" s="17">
        <v>1801.0</v>
      </c>
      <c r="O761" s="18"/>
      <c r="P761" s="19">
        <v>44960.0</v>
      </c>
      <c r="Q761" s="20" t="s">
        <v>3168</v>
      </c>
      <c r="R761" s="17" t="s">
        <v>3496</v>
      </c>
      <c r="S761" s="17" t="s">
        <v>32</v>
      </c>
      <c r="T761" s="18"/>
      <c r="U761" s="18"/>
      <c r="V761" s="18"/>
      <c r="W761" s="17">
        <v>0.0</v>
      </c>
      <c r="X761" s="17">
        <v>0.0</v>
      </c>
    </row>
    <row r="762" spans="1:24" ht="15.75" customHeight="1">
      <c r="A762" s="17">
        <v>3.2627627E7</v>
      </c>
      <c r="B762" s="17" t="s">
        <v>3497</v>
      </c>
      <c r="C762" s="17" t="s">
        <v>3493</v>
      </c>
      <c r="D762" s="17" t="s">
        <v>3494</v>
      </c>
      <c r="E762" s="18"/>
      <c r="F762" s="17" t="str">
        <f>"1333947984"</f>
        <v>1333947984</v>
      </c>
      <c r="G762" s="17" t="str">
        <f>"9781333947989"</f>
        <v>9781333947989</v>
      </c>
      <c r="H762" s="17">
        <v>0.0</v>
      </c>
      <c r="I762" s="17">
        <v>5.0</v>
      </c>
      <c r="J762" s="17" t="s">
        <v>1131</v>
      </c>
      <c r="K762" s="17" t="s">
        <v>44</v>
      </c>
      <c r="L762" s="17">
        <v>398.0</v>
      </c>
      <c r="M762" s="17">
        <v>2018.0</v>
      </c>
      <c r="N762" s="17">
        <v>2015.0</v>
      </c>
      <c r="O762" s="18"/>
      <c r="P762" s="19">
        <v>44960.0</v>
      </c>
      <c r="Q762" s="20" t="s">
        <v>3168</v>
      </c>
      <c r="R762" s="17" t="s">
        <v>3498</v>
      </c>
      <c r="S762" s="17" t="s">
        <v>32</v>
      </c>
      <c r="T762" s="18"/>
      <c r="U762" s="18"/>
      <c r="V762" s="18"/>
      <c r="W762" s="17">
        <v>0.0</v>
      </c>
      <c r="X762" s="17">
        <v>0.0</v>
      </c>
    </row>
    <row r="763" spans="1:24" ht="15.75" customHeight="1">
      <c r="A763" s="1">
        <v>1015870.0</v>
      </c>
      <c r="B763" s="1" t="s">
        <v>3499</v>
      </c>
      <c r="C763" s="1" t="s">
        <v>3500</v>
      </c>
      <c r="D763" s="1" t="s">
        <v>3501</v>
      </c>
      <c r="F763" s="1" t="str">
        <f>"0471288217"</f>
        <v>0471288217</v>
      </c>
      <c r="G763" s="1" t="str">
        <f>"9780471288213"</f>
        <v>9780471288213</v>
      </c>
      <c r="H763" s="1">
        <v>0.0</v>
      </c>
      <c r="I763" s="1">
        <v>4.29</v>
      </c>
      <c r="J763" s="1" t="s">
        <v>93</v>
      </c>
      <c r="K763" s="1" t="s">
        <v>44</v>
      </c>
      <c r="L763" s="1">
        <v>320.0</v>
      </c>
      <c r="M763" s="1">
        <v>1996.0</v>
      </c>
      <c r="N763" s="1">
        <v>1995.0</v>
      </c>
      <c r="P763" s="2">
        <v>43906.0</v>
      </c>
      <c r="Q763" s="1" t="s">
        <v>32</v>
      </c>
      <c r="R763" s="1" t="s">
        <v>3502</v>
      </c>
      <c r="S763" s="1" t="s">
        <v>32</v>
      </c>
      <c r="W763" s="1">
        <v>0.0</v>
      </c>
      <c r="X763" s="1">
        <v>0.0</v>
      </c>
    </row>
    <row r="764" spans="1:24" ht="15.75" customHeight="1">
      <c r="A764" s="1">
        <v>2544307.0</v>
      </c>
      <c r="B764" s="1" t="s">
        <v>3503</v>
      </c>
      <c r="C764" s="1" t="s">
        <v>3504</v>
      </c>
      <c r="D764" s="1" t="s">
        <v>3505</v>
      </c>
      <c r="F764" s="1" t="str">
        <f>"0801884519"</f>
        <v>0801884519</v>
      </c>
      <c r="G764" s="1" t="str">
        <f>"9780801884511"</f>
        <v>9780801884511</v>
      </c>
      <c r="H764" s="1">
        <v>0.0</v>
      </c>
      <c r="I764" s="1">
        <v>3.53</v>
      </c>
      <c r="J764" s="1" t="s">
        <v>3116</v>
      </c>
      <c r="K764" s="1" t="s">
        <v>44</v>
      </c>
      <c r="L764" s="1">
        <v>205.0</v>
      </c>
      <c r="M764" s="1">
        <v>2006.0</v>
      </c>
      <c r="N764" s="1">
        <v>1989.0</v>
      </c>
      <c r="P764" s="2">
        <v>45166.0</v>
      </c>
      <c r="Q764" s="1" t="s">
        <v>249</v>
      </c>
      <c r="R764" s="1" t="s">
        <v>3506</v>
      </c>
      <c r="S764" s="1" t="s">
        <v>32</v>
      </c>
      <c r="W764" s="1">
        <v>0.0</v>
      </c>
      <c r="X764" s="1">
        <v>0.0</v>
      </c>
    </row>
    <row r="765" spans="1:24" ht="15.75" customHeight="1">
      <c r="A765" s="1">
        <v>4244302.0</v>
      </c>
      <c r="B765" s="1" t="s">
        <v>3507</v>
      </c>
      <c r="C765" s="1" t="s">
        <v>3508</v>
      </c>
      <c r="D765" s="1" t="s">
        <v>3509</v>
      </c>
      <c r="F765" s="1" t="str">
        <f>"9507864644"</f>
        <v>9507864644</v>
      </c>
      <c r="G765" s="1" t="str">
        <f>"9789507864643"</f>
        <v>9789507864643</v>
      </c>
      <c r="H765" s="1">
        <v>0.0</v>
      </c>
      <c r="I765" s="1">
        <v>3.83</v>
      </c>
      <c r="J765" s="1" t="s">
        <v>3510</v>
      </c>
      <c r="K765" s="1" t="s">
        <v>44</v>
      </c>
      <c r="L765" s="1">
        <v>194.0</v>
      </c>
      <c r="M765" s="1">
        <v>2005.0</v>
      </c>
      <c r="N765" s="1">
        <v>1996.0</v>
      </c>
      <c r="P765" s="2">
        <v>43976.0</v>
      </c>
      <c r="Q765" s="1" t="s">
        <v>32</v>
      </c>
      <c r="R765" s="1" t="s">
        <v>3511</v>
      </c>
      <c r="S765" s="1" t="s">
        <v>32</v>
      </c>
      <c r="W765" s="1">
        <v>0.0</v>
      </c>
      <c r="X765" s="1">
        <v>0.0</v>
      </c>
    </row>
    <row r="766" spans="1:24" ht="15.75" customHeight="1">
      <c r="A766" s="1">
        <v>264730.0</v>
      </c>
      <c r="B766" s="1" t="s">
        <v>3512</v>
      </c>
      <c r="C766" s="1" t="s">
        <v>3513</v>
      </c>
      <c r="D766" s="1" t="s">
        <v>3514</v>
      </c>
      <c r="E766" s="1" t="s">
        <v>3515</v>
      </c>
      <c r="F766" s="1" t="str">
        <f>"0030403065"</f>
        <v>0030403065</v>
      </c>
      <c r="G766" s="1" t="str">
        <f>"9780030403064"</f>
        <v>9780030403064</v>
      </c>
      <c r="H766" s="1">
        <v>0.0</v>
      </c>
      <c r="I766" s="1">
        <v>3.73</v>
      </c>
      <c r="J766" s="1" t="s">
        <v>3167</v>
      </c>
      <c r="K766" s="1" t="s">
        <v>37</v>
      </c>
      <c r="L766" s="1">
        <v>212.0</v>
      </c>
      <c r="M766" s="1">
        <v>1978.0</v>
      </c>
      <c r="N766" s="1">
        <v>1977.0</v>
      </c>
      <c r="P766" s="3">
        <v>45272.0</v>
      </c>
      <c r="Q766" s="1" t="s">
        <v>479</v>
      </c>
      <c r="R766" s="1" t="s">
        <v>3516</v>
      </c>
      <c r="S766" s="1" t="s">
        <v>32</v>
      </c>
      <c r="W766" s="1">
        <v>0.0</v>
      </c>
      <c r="X766" s="1">
        <v>0.0</v>
      </c>
    </row>
    <row r="767" spans="1:24" ht="15.75" customHeight="1">
      <c r="A767" s="1">
        <v>1.64910053E8</v>
      </c>
      <c r="B767" s="1" t="s">
        <v>3517</v>
      </c>
      <c r="C767" s="1" t="s">
        <v>3518</v>
      </c>
      <c r="D767" s="1" t="s">
        <v>3519</v>
      </c>
      <c r="F767" s="1" t="str">
        <f t="shared" si="48" ref="F767:G767">""</f>
        <v/>
      </c>
      <c r="G767" s="1" t="str">
        <f t="shared" si="48"/>
        <v/>
      </c>
      <c r="H767" s="1">
        <v>0.0</v>
      </c>
      <c r="I767" s="1">
        <v>4.09</v>
      </c>
      <c r="J767" s="1" t="s">
        <v>1137</v>
      </c>
      <c r="K767" s="1" t="s">
        <v>37</v>
      </c>
      <c r="L767" s="1">
        <v>0.0</v>
      </c>
      <c r="N767" s="1">
        <v>1975.0</v>
      </c>
      <c r="P767" s="3">
        <v>45255.0</v>
      </c>
      <c r="Q767" s="1" t="s">
        <v>145</v>
      </c>
      <c r="R767" s="1" t="s">
        <v>3520</v>
      </c>
      <c r="S767" s="1" t="s">
        <v>32</v>
      </c>
      <c r="W767" s="1">
        <v>0.0</v>
      </c>
      <c r="X767" s="1">
        <v>0.0</v>
      </c>
    </row>
    <row r="768" spans="1:24" ht="15.75" customHeight="1">
      <c r="A768" s="1">
        <v>2.6114357E7</v>
      </c>
      <c r="B768" s="1" t="s">
        <v>3521</v>
      </c>
      <c r="C768" s="1" t="s">
        <v>3522</v>
      </c>
      <c r="D768" s="1" t="s">
        <v>3523</v>
      </c>
      <c r="F768" s="1" t="str">
        <f>"0374125953"</f>
        <v>0374125953</v>
      </c>
      <c r="G768" s="1" t="str">
        <f>"9780374125950"</f>
        <v>9780374125950</v>
      </c>
      <c r="H768" s="1">
        <v>0.0</v>
      </c>
      <c r="I768" s="1">
        <v>4.11</v>
      </c>
      <c r="J768" s="1" t="s">
        <v>438</v>
      </c>
      <c r="K768" s="1" t="s">
        <v>37</v>
      </c>
      <c r="L768" s="1">
        <v>736.0</v>
      </c>
      <c r="M768" s="1">
        <v>2017.0</v>
      </c>
      <c r="N768" s="1">
        <v>2017.0</v>
      </c>
      <c r="P768" s="3">
        <v>44153.0</v>
      </c>
      <c r="Q768" s="1" t="s">
        <v>421</v>
      </c>
      <c r="R768" s="1" t="s">
        <v>3524</v>
      </c>
      <c r="S768" s="1" t="s">
        <v>32</v>
      </c>
      <c r="W768" s="1">
        <v>0.0</v>
      </c>
      <c r="X768" s="1">
        <v>0.0</v>
      </c>
    </row>
    <row r="769" spans="1:24" ht="15.75" customHeight="1">
      <c r="A769" s="1">
        <v>1.27908043E8</v>
      </c>
      <c r="B769" s="1" t="s">
        <v>3525</v>
      </c>
      <c r="C769" s="1" t="s">
        <v>3526</v>
      </c>
      <c r="D769" s="1" t="s">
        <v>3527</v>
      </c>
      <c r="F769" s="1" t="str">
        <f t="shared" si="49" ref="F769:G769">""</f>
        <v/>
      </c>
      <c r="G769" s="1" t="str">
        <f t="shared" si="49"/>
        <v/>
      </c>
      <c r="H769" s="1">
        <v>0.0</v>
      </c>
      <c r="I769" s="1">
        <v>3.62</v>
      </c>
      <c r="J769" s="1" t="s">
        <v>3528</v>
      </c>
      <c r="K769" s="1" t="s">
        <v>44</v>
      </c>
      <c r="L769" s="1">
        <v>0.0</v>
      </c>
      <c r="M769" s="1">
        <v>1975.0</v>
      </c>
      <c r="N769" s="1">
        <v>1975.0</v>
      </c>
      <c r="P769" s="2">
        <v>45136.0</v>
      </c>
      <c r="Q769" s="1" t="s">
        <v>115</v>
      </c>
      <c r="R769" s="1" t="s">
        <v>3529</v>
      </c>
      <c r="S769" s="1" t="s">
        <v>32</v>
      </c>
      <c r="W769" s="1">
        <v>0.0</v>
      </c>
      <c r="X769" s="1">
        <v>1.0</v>
      </c>
    </row>
    <row r="770" spans="1:24" ht="15.75" customHeight="1">
      <c r="A770" s="1">
        <v>3.791934E7</v>
      </c>
      <c r="B770" s="1" t="s">
        <v>3530</v>
      </c>
      <c r="C770" s="1" t="s">
        <v>3526</v>
      </c>
      <c r="D770" s="1" t="s">
        <v>3527</v>
      </c>
      <c r="E770" s="1" t="s">
        <v>3531</v>
      </c>
      <c r="F770" s="1" t="str">
        <f>"0709158246"</f>
        <v>0709158246</v>
      </c>
      <c r="G770" s="1" t="str">
        <f>"9780709158240"</f>
        <v>9780709158240</v>
      </c>
      <c r="H770" s="1">
        <v>0.0</v>
      </c>
      <c r="I770" s="1">
        <v>0.0</v>
      </c>
      <c r="J770" s="1" t="s">
        <v>3532</v>
      </c>
      <c r="K770" s="1" t="s">
        <v>37</v>
      </c>
      <c r="L770" s="1">
        <v>192.0</v>
      </c>
      <c r="M770" s="1">
        <v>1976.0</v>
      </c>
      <c r="P770" s="2">
        <v>44814.0</v>
      </c>
      <c r="Q770" s="1" t="s">
        <v>32</v>
      </c>
      <c r="R770" s="1" t="s">
        <v>3533</v>
      </c>
      <c r="S770" s="1" t="s">
        <v>32</v>
      </c>
      <c r="W770" s="1">
        <v>0.0</v>
      </c>
      <c r="X770" s="1">
        <v>0.0</v>
      </c>
    </row>
    <row r="771" spans="1:24" ht="15.75" customHeight="1">
      <c r="A771" s="1">
        <v>926155.0</v>
      </c>
      <c r="B771" s="1" t="s">
        <v>3534</v>
      </c>
      <c r="C771" s="1" t="s">
        <v>3535</v>
      </c>
      <c r="D771" s="1" t="s">
        <v>3536</v>
      </c>
      <c r="F771" s="1" t="str">
        <f>"0700612130"</f>
        <v>0700612130</v>
      </c>
      <c r="G771" s="1" t="str">
        <f>"9780700612130"</f>
        <v>9780700612130</v>
      </c>
      <c r="H771" s="1">
        <v>0.0</v>
      </c>
      <c r="I771" s="1">
        <v>4.38</v>
      </c>
      <c r="J771" s="1" t="s">
        <v>3537</v>
      </c>
      <c r="K771" s="1" t="s">
        <v>44</v>
      </c>
      <c r="L771" s="1">
        <v>616.0</v>
      </c>
      <c r="M771" s="1">
        <v>2002.0</v>
      </c>
      <c r="N771" s="1">
        <v>1977.0</v>
      </c>
      <c r="P771" s="2">
        <v>45303.0</v>
      </c>
      <c r="Q771" s="1" t="s">
        <v>30</v>
      </c>
      <c r="R771" s="1" t="s">
        <v>3538</v>
      </c>
      <c r="S771" s="1" t="s">
        <v>32</v>
      </c>
      <c r="W771" s="1">
        <v>0.0</v>
      </c>
      <c r="X771" s="1">
        <v>0.0</v>
      </c>
    </row>
    <row r="772" spans="1:24" ht="15.75" customHeight="1">
      <c r="A772" s="1">
        <v>2.6530322E7</v>
      </c>
      <c r="B772" s="1" t="s">
        <v>3539</v>
      </c>
      <c r="C772" s="1" t="s">
        <v>3540</v>
      </c>
      <c r="D772" s="1" t="s">
        <v>3541</v>
      </c>
      <c r="F772" s="1" t="str">
        <f>"0393246183"</f>
        <v>0393246183</v>
      </c>
      <c r="G772" s="1" t="str">
        <f>"9780393246186"</f>
        <v>9780393246186</v>
      </c>
      <c r="H772" s="1">
        <v>0.0</v>
      </c>
      <c r="I772" s="1">
        <v>3.96</v>
      </c>
      <c r="J772" s="1" t="s">
        <v>248</v>
      </c>
      <c r="K772" s="1" t="s">
        <v>37</v>
      </c>
      <c r="L772" s="1">
        <v>340.0</v>
      </c>
      <c r="M772" s="1">
        <v>2016.0</v>
      </c>
      <c r="N772" s="1">
        <v>2016.0</v>
      </c>
      <c r="P772" s="2">
        <v>45137.0</v>
      </c>
      <c r="Q772" s="1" t="s">
        <v>32</v>
      </c>
      <c r="R772" s="1" t="s">
        <v>3542</v>
      </c>
      <c r="S772" s="1" t="s">
        <v>32</v>
      </c>
      <c r="W772" s="1">
        <v>0.0</v>
      </c>
      <c r="X772" s="1">
        <v>0.0</v>
      </c>
    </row>
    <row r="773" spans="1:24" ht="15.75" customHeight="1">
      <c r="A773" s="1">
        <v>66933.0</v>
      </c>
      <c r="B773" s="1" t="s">
        <v>3543</v>
      </c>
      <c r="C773" s="1" t="s">
        <v>3544</v>
      </c>
      <c r="D773" s="1" t="s">
        <v>3545</v>
      </c>
      <c r="E773" s="1" t="s">
        <v>3546</v>
      </c>
      <c r="F773" s="1" t="str">
        <f>"0802141323"</f>
        <v>0802141323</v>
      </c>
      <c r="G773" s="1" t="str">
        <f>"9780802141323"</f>
        <v>9780802141323</v>
      </c>
      <c r="H773" s="1">
        <v>0.0</v>
      </c>
      <c r="I773" s="1">
        <v>4.31</v>
      </c>
      <c r="J773" s="1" t="s">
        <v>663</v>
      </c>
      <c r="K773" s="1" t="s">
        <v>44</v>
      </c>
      <c r="L773" s="1">
        <v>251.0</v>
      </c>
      <c r="M773" s="1">
        <v>2005.0</v>
      </c>
      <c r="N773" s="1">
        <v>1961.0</v>
      </c>
      <c r="P773" s="3">
        <v>45274.0</v>
      </c>
      <c r="Q773" s="1" t="s">
        <v>145</v>
      </c>
      <c r="R773" s="1" t="s">
        <v>3547</v>
      </c>
      <c r="S773" s="1" t="s">
        <v>32</v>
      </c>
      <c r="W773" s="1">
        <v>0.0</v>
      </c>
      <c r="X773" s="1">
        <v>0.0</v>
      </c>
    </row>
    <row r="774" spans="1:24" ht="15.75" customHeight="1">
      <c r="A774" s="1">
        <v>66935.0</v>
      </c>
      <c r="B774" s="1" t="s">
        <v>3548</v>
      </c>
      <c r="C774" s="1" t="s">
        <v>3544</v>
      </c>
      <c r="D774" s="1" t="s">
        <v>3545</v>
      </c>
      <c r="E774" s="1" t="s">
        <v>3549</v>
      </c>
      <c r="F774" s="1" t="str">
        <f>"0802150276"</f>
        <v>0802150276</v>
      </c>
      <c r="G774" s="1" t="str">
        <f>"9780802150271"</f>
        <v>9780802150271</v>
      </c>
      <c r="H774" s="1">
        <v>0.0</v>
      </c>
      <c r="I774" s="1">
        <v>4.21</v>
      </c>
      <c r="J774" s="1" t="s">
        <v>3550</v>
      </c>
      <c r="K774" s="1" t="s">
        <v>44</v>
      </c>
      <c r="L774" s="1">
        <v>181.0</v>
      </c>
      <c r="M774" s="1">
        <v>1994.0</v>
      </c>
      <c r="N774" s="1">
        <v>1959.0</v>
      </c>
      <c r="P774" s="3">
        <v>45271.0</v>
      </c>
      <c r="Q774" s="1" t="s">
        <v>479</v>
      </c>
      <c r="R774" s="1" t="s">
        <v>3551</v>
      </c>
      <c r="S774" s="1" t="s">
        <v>32</v>
      </c>
      <c r="W774" s="1">
        <v>0.0</v>
      </c>
      <c r="X774" s="1">
        <v>0.0</v>
      </c>
    </row>
    <row r="775" spans="1:24" ht="15.75" customHeight="1">
      <c r="A775" s="1">
        <v>17686.0</v>
      </c>
      <c r="B775" s="1" t="s">
        <v>3552</v>
      </c>
      <c r="C775" s="1" t="s">
        <v>3553</v>
      </c>
      <c r="D775" s="1" t="s">
        <v>3554</v>
      </c>
      <c r="F775" s="1" t="str">
        <f>"0805209069"</f>
        <v>0805209069</v>
      </c>
      <c r="G775" s="1" t="str">
        <f>"9780805209068"</f>
        <v>9780805209068</v>
      </c>
      <c r="H775" s="1">
        <v>0.0</v>
      </c>
      <c r="I775" s="1">
        <v>4.22</v>
      </c>
      <c r="J775" s="1" t="s">
        <v>3555</v>
      </c>
      <c r="K775" s="1" t="s">
        <v>44</v>
      </c>
      <c r="L775" s="1">
        <v>521.0</v>
      </c>
      <c r="M775" s="1">
        <v>1988.0</v>
      </c>
      <c r="N775" s="1">
        <v>1949.0</v>
      </c>
      <c r="P775" s="2">
        <v>45154.0</v>
      </c>
      <c r="Q775" s="1" t="s">
        <v>1739</v>
      </c>
      <c r="R775" s="1" t="s">
        <v>3556</v>
      </c>
      <c r="S775" s="1" t="s">
        <v>32</v>
      </c>
      <c r="W775" s="1">
        <v>0.0</v>
      </c>
      <c r="X775" s="1">
        <v>0.0</v>
      </c>
    </row>
    <row r="776" spans="1:24" ht="15.75" customHeight="1">
      <c r="A776" s="1">
        <v>7723.0</v>
      </c>
      <c r="B776" s="1" t="s">
        <v>3557</v>
      </c>
      <c r="C776" s="1" t="s">
        <v>3553</v>
      </c>
      <c r="D776" s="1" t="s">
        <v>3554</v>
      </c>
      <c r="E776" s="1" t="s">
        <v>3558</v>
      </c>
      <c r="F776" s="1" t="str">
        <f>"1593080298"</f>
        <v>1593080298</v>
      </c>
      <c r="G776" s="1" t="str">
        <f>"9781593080297"</f>
        <v>9781593080297</v>
      </c>
      <c r="H776" s="1">
        <v>0.0</v>
      </c>
      <c r="I776" s="1">
        <v>4.04</v>
      </c>
      <c r="J776" s="1" t="s">
        <v>3559</v>
      </c>
      <c r="K776" s="1" t="s">
        <v>44</v>
      </c>
      <c r="L776" s="1">
        <v>224.0</v>
      </c>
      <c r="M776" s="1">
        <v>2003.0</v>
      </c>
      <c r="N776" s="1">
        <v>1915.0</v>
      </c>
      <c r="P776" s="2">
        <v>45114.0</v>
      </c>
      <c r="Q776" s="1" t="s">
        <v>383</v>
      </c>
      <c r="R776" s="1" t="s">
        <v>3560</v>
      </c>
      <c r="S776" s="1" t="s">
        <v>32</v>
      </c>
      <c r="W776" s="1">
        <v>0.0</v>
      </c>
      <c r="X776" s="1">
        <v>1.0</v>
      </c>
    </row>
    <row r="777" spans="1:24" ht="15.75" customHeight="1">
      <c r="A777" s="1">
        <v>4.0623521E7</v>
      </c>
      <c r="B777" s="1" t="s">
        <v>3561</v>
      </c>
      <c r="C777" s="1" t="s">
        <v>3553</v>
      </c>
      <c r="D777" s="1" t="s">
        <v>3554</v>
      </c>
      <c r="F777" s="1" t="str">
        <f>"8467033592"</f>
        <v>8467033592</v>
      </c>
      <c r="G777" s="1" t="str">
        <f>"9788467033595"</f>
        <v>9788467033595</v>
      </c>
      <c r="H777" s="1">
        <v>0.0</v>
      </c>
      <c r="I777" s="1">
        <v>3.86</v>
      </c>
      <c r="J777" s="1" t="s">
        <v>3562</v>
      </c>
      <c r="K777" s="1" t="s">
        <v>44</v>
      </c>
      <c r="L777" s="1">
        <v>256.0</v>
      </c>
      <c r="M777" s="1">
        <v>2000.0</v>
      </c>
      <c r="N777" s="1">
        <v>1915.0</v>
      </c>
      <c r="P777" s="2">
        <v>45152.0</v>
      </c>
      <c r="Q777" s="1" t="s">
        <v>383</v>
      </c>
      <c r="R777" s="1" t="s">
        <v>3563</v>
      </c>
      <c r="S777" s="1" t="s">
        <v>32</v>
      </c>
      <c r="W777" s="1">
        <v>0.0</v>
      </c>
      <c r="X777" s="1">
        <v>1.0</v>
      </c>
    </row>
    <row r="778" spans="1:24" ht="15.75" customHeight="1">
      <c r="A778" s="1">
        <v>32560.0</v>
      </c>
      <c r="B778" s="1" t="s">
        <v>3564</v>
      </c>
      <c r="C778" s="1" t="s">
        <v>3553</v>
      </c>
      <c r="D778" s="1" t="s">
        <v>3554</v>
      </c>
      <c r="E778" s="1" t="s">
        <v>3565</v>
      </c>
      <c r="F778" s="1" t="str">
        <f>"0805208739"</f>
        <v>0805208739</v>
      </c>
      <c r="G778" s="1" t="str">
        <f>"9780805208733"</f>
        <v>9780805208733</v>
      </c>
      <c r="H778" s="1">
        <v>0.0</v>
      </c>
      <c r="I778" s="1">
        <v>4.34</v>
      </c>
      <c r="J778" s="1" t="s">
        <v>3566</v>
      </c>
      <c r="K778" s="1" t="s">
        <v>44</v>
      </c>
      <c r="L778" s="1">
        <v>488.0</v>
      </c>
      <c r="M778" s="1">
        <v>1988.0</v>
      </c>
      <c r="N778" s="1">
        <v>1946.0</v>
      </c>
      <c r="P778" s="2">
        <v>45114.0</v>
      </c>
      <c r="Q778" s="1" t="s">
        <v>383</v>
      </c>
      <c r="R778" s="1" t="s">
        <v>3567</v>
      </c>
      <c r="S778" s="1" t="s">
        <v>32</v>
      </c>
      <c r="W778" s="1">
        <v>0.0</v>
      </c>
      <c r="X778" s="1">
        <v>1.0</v>
      </c>
    </row>
    <row r="779" spans="1:24" ht="15.75" customHeight="1">
      <c r="A779" s="1">
        <v>17694.0</v>
      </c>
      <c r="B779" s="1" t="s">
        <v>3568</v>
      </c>
      <c r="C779" s="1" t="s">
        <v>3553</v>
      </c>
      <c r="D779" s="1" t="s">
        <v>3554</v>
      </c>
      <c r="E779" s="1" t="s">
        <v>3569</v>
      </c>
      <c r="F779" s="1" t="str">
        <f>"0805212078"</f>
        <v>0805212078</v>
      </c>
      <c r="G779" s="1" t="str">
        <f>"9780805212075"</f>
        <v>9780805212075</v>
      </c>
      <c r="H779" s="1">
        <v>0.0</v>
      </c>
      <c r="I779" s="1">
        <v>3.68</v>
      </c>
      <c r="J779" s="1" t="s">
        <v>3555</v>
      </c>
      <c r="K779" s="1" t="s">
        <v>44</v>
      </c>
      <c r="L779" s="1">
        <v>160.0</v>
      </c>
      <c r="M779" s="1">
        <v>2006.0</v>
      </c>
      <c r="N779" s="1">
        <v>1931.0</v>
      </c>
      <c r="P779" s="2">
        <v>45101.0</v>
      </c>
      <c r="Q779" s="1" t="s">
        <v>32</v>
      </c>
      <c r="R779" s="1" t="s">
        <v>3570</v>
      </c>
      <c r="S779" s="1" t="s">
        <v>32</v>
      </c>
      <c r="W779" s="1">
        <v>0.0</v>
      </c>
      <c r="X779" s="1">
        <v>0.0</v>
      </c>
    </row>
    <row r="780" spans="1:24" ht="15.75" customHeight="1">
      <c r="A780" s="1">
        <v>879273.0</v>
      </c>
      <c r="B780" s="1" t="s">
        <v>3571</v>
      </c>
      <c r="C780" s="1" t="s">
        <v>3572</v>
      </c>
      <c r="D780" s="1" t="s">
        <v>3573</v>
      </c>
      <c r="F780" s="1" t="str">
        <f>"0268010919"</f>
        <v>0268010919</v>
      </c>
      <c r="G780" s="1" t="str">
        <f>"9780268010911"</f>
        <v>9780268010911</v>
      </c>
      <c r="H780" s="1">
        <v>0.0</v>
      </c>
      <c r="I780" s="1">
        <v>3.87</v>
      </c>
      <c r="J780" s="1" t="s">
        <v>3574</v>
      </c>
      <c r="K780" s="1" t="s">
        <v>44</v>
      </c>
      <c r="L780" s="1">
        <v>410.0</v>
      </c>
      <c r="M780" s="1">
        <v>1990.0</v>
      </c>
      <c r="N780" s="1">
        <v>1952.0</v>
      </c>
      <c r="P780" s="3">
        <v>44128.0</v>
      </c>
      <c r="Q780" s="1" t="s">
        <v>2213</v>
      </c>
      <c r="R780" s="1" t="s">
        <v>3575</v>
      </c>
      <c r="S780" s="1" t="s">
        <v>32</v>
      </c>
      <c r="W780" s="1">
        <v>0.0</v>
      </c>
      <c r="X780" s="1">
        <v>0.0</v>
      </c>
    </row>
    <row r="781" spans="1:24" ht="15.75" customHeight="1">
      <c r="A781" s="1">
        <v>36438.0</v>
      </c>
      <c r="B781" s="1" t="s">
        <v>3576</v>
      </c>
      <c r="C781" s="1" t="s">
        <v>3577</v>
      </c>
      <c r="D781" s="1" t="s">
        <v>3578</v>
      </c>
      <c r="E781" s="1" t="s">
        <v>3579</v>
      </c>
      <c r="F781" s="1" t="str">
        <f>"0195135792"</f>
        <v>0195135792</v>
      </c>
      <c r="G781" s="1" t="str">
        <f>"9780195135794"</f>
        <v>9780195135794</v>
      </c>
      <c r="H781" s="1">
        <v>0.0</v>
      </c>
      <c r="I781" s="1">
        <v>4.38</v>
      </c>
      <c r="J781" s="1" t="s">
        <v>181</v>
      </c>
      <c r="K781" s="1" t="s">
        <v>37</v>
      </c>
      <c r="L781" s="1">
        <v>1262.0</v>
      </c>
      <c r="M781" s="1">
        <v>2007.0</v>
      </c>
      <c r="N781" s="1">
        <v>1990.0</v>
      </c>
      <c r="P781" s="2">
        <v>45173.0</v>
      </c>
      <c r="Q781" s="1" t="s">
        <v>249</v>
      </c>
      <c r="R781" s="1" t="s">
        <v>3580</v>
      </c>
      <c r="S781" s="1" t="s">
        <v>32</v>
      </c>
      <c r="W781" s="1">
        <v>0.0</v>
      </c>
      <c r="X781" s="1">
        <v>0.0</v>
      </c>
    </row>
    <row r="782" spans="1:24" ht="15.75" customHeight="1">
      <c r="A782" s="1">
        <v>204011.0</v>
      </c>
      <c r="B782" s="1" t="s">
        <v>3581</v>
      </c>
      <c r="C782" s="1" t="s">
        <v>3582</v>
      </c>
      <c r="D782" s="1" t="s">
        <v>3583</v>
      </c>
      <c r="E782" s="1" t="s">
        <v>3584</v>
      </c>
      <c r="F782" s="1" t="str">
        <f>"0822310902"</f>
        <v>0822310902</v>
      </c>
      <c r="G782" s="1" t="str">
        <f>"9780822310907"</f>
        <v>9780822310907</v>
      </c>
      <c r="H782" s="1">
        <v>0.0</v>
      </c>
      <c r="I782" s="1">
        <v>4.0</v>
      </c>
      <c r="J782" s="1" t="s">
        <v>224</v>
      </c>
      <c r="K782" s="1" t="s">
        <v>44</v>
      </c>
      <c r="L782" s="1">
        <v>438.0</v>
      </c>
      <c r="M782" s="1">
        <v>1992.0</v>
      </c>
      <c r="N782" s="1">
        <v>1991.0</v>
      </c>
      <c r="P782" s="2">
        <v>45129.0</v>
      </c>
      <c r="Q782" s="1" t="s">
        <v>32</v>
      </c>
      <c r="R782" s="1" t="s">
        <v>3585</v>
      </c>
      <c r="S782" s="1" t="s">
        <v>32</v>
      </c>
      <c r="W782" s="1">
        <v>0.0</v>
      </c>
      <c r="X782" s="1">
        <v>0.0</v>
      </c>
    </row>
    <row r="783" spans="1:24" ht="15.75" customHeight="1">
      <c r="A783" s="1">
        <v>451565.0</v>
      </c>
      <c r="B783" s="1" t="s">
        <v>3586</v>
      </c>
      <c r="C783" s="1" t="s">
        <v>2174</v>
      </c>
      <c r="D783" s="1" t="s">
        <v>3587</v>
      </c>
      <c r="E783" s="1" t="s">
        <v>3588</v>
      </c>
      <c r="F783" s="1" t="str">
        <f>"0521567041"</f>
        <v>0521567041</v>
      </c>
      <c r="G783" s="1" t="str">
        <f>"9780521567046"</f>
        <v>9780521567046</v>
      </c>
      <c r="H783" s="1">
        <v>0.0</v>
      </c>
      <c r="I783" s="1">
        <v>4.19</v>
      </c>
      <c r="J783" s="1" t="s">
        <v>388</v>
      </c>
      <c r="K783" s="1" t="s">
        <v>44</v>
      </c>
      <c r="L783" s="1">
        <v>428.0</v>
      </c>
      <c r="M783" s="1">
        <v>1996.0</v>
      </c>
      <c r="N783" s="1">
        <v>1878.0</v>
      </c>
      <c r="P783" s="2">
        <v>41020.0</v>
      </c>
      <c r="Q783" s="1" t="s">
        <v>32</v>
      </c>
      <c r="R783" s="1" t="s">
        <v>3589</v>
      </c>
      <c r="S783" s="1" t="s">
        <v>32</v>
      </c>
      <c r="W783" s="1">
        <v>0.0</v>
      </c>
      <c r="X783" s="1">
        <v>0.0</v>
      </c>
    </row>
    <row r="784" spans="1:24" ht="15.75" customHeight="1">
      <c r="A784" s="1">
        <v>438025.0</v>
      </c>
      <c r="B784" s="1" t="s">
        <v>3590</v>
      </c>
      <c r="C784" s="1" t="s">
        <v>3591</v>
      </c>
      <c r="D784" s="1" t="s">
        <v>3592</v>
      </c>
      <c r="E784" s="1" t="s">
        <v>3593</v>
      </c>
      <c r="F784" s="1" t="str">
        <f>"0715630008"</f>
        <v>0715630008</v>
      </c>
      <c r="G784" s="1" t="str">
        <f>"9780715630006"</f>
        <v>9780715630006</v>
      </c>
      <c r="H784" s="1">
        <v>0.0</v>
      </c>
      <c r="I784" s="1">
        <v>4.18</v>
      </c>
      <c r="J784" s="1" t="s">
        <v>3594</v>
      </c>
      <c r="K784" s="1" t="s">
        <v>44</v>
      </c>
      <c r="L784" s="1">
        <v>240.0</v>
      </c>
      <c r="M784" s="1">
        <v>2000.0</v>
      </c>
      <c r="N784" s="1">
        <v>1947.0</v>
      </c>
      <c r="P784" s="2">
        <v>45059.0</v>
      </c>
      <c r="Q784" s="1" t="s">
        <v>32</v>
      </c>
      <c r="R784" s="1" t="s">
        <v>3595</v>
      </c>
      <c r="S784" s="1" t="s">
        <v>32</v>
      </c>
      <c r="W784" s="1">
        <v>0.0</v>
      </c>
      <c r="X784" s="1">
        <v>0.0</v>
      </c>
    </row>
    <row r="785" spans="1:24" ht="15.75" customHeight="1">
      <c r="A785" s="1">
        <v>1657001.0</v>
      </c>
      <c r="B785" s="1" t="s">
        <v>3596</v>
      </c>
      <c r="C785" s="1" t="s">
        <v>3597</v>
      </c>
      <c r="D785" s="1" t="s">
        <v>3598</v>
      </c>
      <c r="E785" s="1" t="s">
        <v>3599</v>
      </c>
      <c r="F785" s="1" t="str">
        <f>"1590172582"</f>
        <v>1590172582</v>
      </c>
      <c r="G785" s="1" t="str">
        <f>"9781590172582"</f>
        <v>9781590172582</v>
      </c>
      <c r="H785" s="1">
        <v>0.0</v>
      </c>
      <c r="I785" s="1">
        <v>4.14</v>
      </c>
      <c r="J785" s="1" t="s">
        <v>204</v>
      </c>
      <c r="K785" s="1" t="s">
        <v>44</v>
      </c>
      <c r="L785" s="1">
        <v>312.0</v>
      </c>
      <c r="M785" s="1">
        <v>2008.0</v>
      </c>
      <c r="N785" s="1">
        <v>1936.0</v>
      </c>
      <c r="P785" s="2">
        <v>45102.0</v>
      </c>
      <c r="Q785" s="1" t="s">
        <v>55</v>
      </c>
      <c r="R785" s="1" t="s">
        <v>3600</v>
      </c>
      <c r="S785" s="1" t="s">
        <v>32</v>
      </c>
      <c r="W785" s="1">
        <v>0.0</v>
      </c>
      <c r="X785" s="1">
        <v>0.0</v>
      </c>
    </row>
    <row r="786" spans="1:24" ht="15.75" customHeight="1">
      <c r="A786" s="1">
        <v>8559454.0</v>
      </c>
      <c r="B786" s="1" t="s">
        <v>3601</v>
      </c>
      <c r="C786" s="1" t="s">
        <v>3602</v>
      </c>
      <c r="D786" s="1" t="s">
        <v>3603</v>
      </c>
      <c r="E786" s="1" t="s">
        <v>3604</v>
      </c>
      <c r="F786" s="1" t="str">
        <f t="shared" si="50" ref="F786:G786">""</f>
        <v/>
      </c>
      <c r="G786" s="1" t="str">
        <f t="shared" si="50"/>
        <v/>
      </c>
      <c r="H786" s="1">
        <v>0.0</v>
      </c>
      <c r="I786" s="1">
        <v>4.3</v>
      </c>
      <c r="J786" s="1" t="s">
        <v>69</v>
      </c>
      <c r="K786" s="1" t="s">
        <v>29</v>
      </c>
      <c r="L786" s="1">
        <v>768.0</v>
      </c>
      <c r="M786" s="1">
        <v>2010.0</v>
      </c>
      <c r="N786" s="1">
        <v>1872.0</v>
      </c>
      <c r="P786" s="2">
        <v>45189.0</v>
      </c>
      <c r="Q786" s="1" t="s">
        <v>1873</v>
      </c>
      <c r="R786" s="1" t="s">
        <v>3605</v>
      </c>
      <c r="S786" s="1" t="s">
        <v>32</v>
      </c>
      <c r="W786" s="1">
        <v>0.0</v>
      </c>
      <c r="X786" s="1">
        <v>0.0</v>
      </c>
    </row>
    <row r="787" spans="1:24" ht="15.75" customHeight="1">
      <c r="A787" s="1">
        <v>49455.0</v>
      </c>
      <c r="B787" s="1" t="s">
        <v>3606</v>
      </c>
      <c r="C787" s="1" t="s">
        <v>3602</v>
      </c>
      <c r="D787" s="1" t="s">
        <v>3603</v>
      </c>
      <c r="E787" s="1" t="s">
        <v>3607</v>
      </c>
      <c r="F787" s="1" t="str">
        <f>"067973452X"</f>
        <v>067973452X</v>
      </c>
      <c r="G787" s="1" t="str">
        <f>"9780679734529"</f>
        <v>9780679734529</v>
      </c>
      <c r="H787" s="1">
        <v>0.0</v>
      </c>
      <c r="I787" s="1">
        <v>4.18</v>
      </c>
      <c r="J787" s="1" t="s">
        <v>393</v>
      </c>
      <c r="K787" s="1" t="s">
        <v>44</v>
      </c>
      <c r="L787" s="1">
        <v>136.0</v>
      </c>
      <c r="M787" s="1">
        <v>1994.0</v>
      </c>
      <c r="N787" s="1">
        <v>1864.0</v>
      </c>
      <c r="P787" s="2">
        <v>45189.0</v>
      </c>
      <c r="Q787" s="1" t="s">
        <v>1873</v>
      </c>
      <c r="R787" s="1" t="s">
        <v>3608</v>
      </c>
      <c r="S787" s="1" t="s">
        <v>32</v>
      </c>
      <c r="W787" s="1">
        <v>0.0</v>
      </c>
      <c r="X787" s="1">
        <v>0.0</v>
      </c>
    </row>
    <row r="788" spans="1:24" ht="15.75" customHeight="1">
      <c r="A788" s="1">
        <v>12505.0</v>
      </c>
      <c r="B788" s="1" t="s">
        <v>3609</v>
      </c>
      <c r="C788" s="1" t="s">
        <v>3602</v>
      </c>
      <c r="D788" s="1" t="s">
        <v>3603</v>
      </c>
      <c r="E788" s="1" t="s">
        <v>3610</v>
      </c>
      <c r="F788" s="1" t="str">
        <f>"0679642420"</f>
        <v>0679642420</v>
      </c>
      <c r="G788" s="1" t="str">
        <f>"9780679642428"</f>
        <v>9780679642428</v>
      </c>
      <c r="H788" s="1">
        <v>0.0</v>
      </c>
      <c r="I788" s="1">
        <v>4.21</v>
      </c>
      <c r="J788" s="1" t="s">
        <v>3611</v>
      </c>
      <c r="K788" s="1" t="s">
        <v>44</v>
      </c>
      <c r="L788" s="1">
        <v>667.0</v>
      </c>
      <c r="M788" s="1">
        <v>2003.0</v>
      </c>
      <c r="N788" s="1">
        <v>1869.0</v>
      </c>
      <c r="P788" s="2">
        <v>45189.0</v>
      </c>
      <c r="Q788" s="1" t="s">
        <v>1873</v>
      </c>
      <c r="R788" s="1" t="s">
        <v>3612</v>
      </c>
      <c r="S788" s="1" t="s">
        <v>32</v>
      </c>
      <c r="W788" s="1">
        <v>0.0</v>
      </c>
      <c r="X788" s="1">
        <v>0.0</v>
      </c>
    </row>
    <row r="789" spans="1:24" ht="15.75" customHeight="1">
      <c r="A789" s="1">
        <v>17877.0</v>
      </c>
      <c r="B789" s="1" t="s">
        <v>3613</v>
      </c>
      <c r="C789" s="1" t="s">
        <v>3602</v>
      </c>
      <c r="D789" s="1" t="s">
        <v>3603</v>
      </c>
      <c r="F789" s="1" t="str">
        <f>"0486434095"</f>
        <v>0486434095</v>
      </c>
      <c r="G789" s="1" t="str">
        <f>"9780486434094"</f>
        <v>9780486434094</v>
      </c>
      <c r="H789" s="1">
        <v>0.0</v>
      </c>
      <c r="I789" s="1">
        <v>4.06</v>
      </c>
      <c r="J789" s="1" t="s">
        <v>910</v>
      </c>
      <c r="K789" s="1" t="s">
        <v>44</v>
      </c>
      <c r="L789" s="1">
        <v>247.0</v>
      </c>
      <c r="M789" s="1">
        <v>2004.0</v>
      </c>
      <c r="N789" s="1">
        <v>1861.0</v>
      </c>
      <c r="P789" s="2">
        <v>45189.0</v>
      </c>
      <c r="Q789" s="1" t="s">
        <v>1873</v>
      </c>
      <c r="R789" s="1" t="s">
        <v>3614</v>
      </c>
      <c r="S789" s="1" t="s">
        <v>32</v>
      </c>
      <c r="W789" s="1">
        <v>0.0</v>
      </c>
      <c r="X789" s="1">
        <v>0.0</v>
      </c>
    </row>
    <row r="790" spans="1:24" ht="15.75" customHeight="1">
      <c r="A790" s="1">
        <v>7144.0</v>
      </c>
      <c r="B790" s="1" t="s">
        <v>3615</v>
      </c>
      <c r="C790" s="1" t="s">
        <v>3616</v>
      </c>
      <c r="D790" s="1" t="s">
        <v>3617</v>
      </c>
      <c r="E790" s="1" t="s">
        <v>3618</v>
      </c>
      <c r="F790" s="1" t="str">
        <f t="shared" si="51" ref="F790:G790">""</f>
        <v/>
      </c>
      <c r="G790" s="1" t="str">
        <f t="shared" si="51"/>
        <v/>
      </c>
      <c r="H790" s="1">
        <v>0.0</v>
      </c>
      <c r="I790" s="1">
        <v>4.27</v>
      </c>
      <c r="J790" s="1" t="s">
        <v>61</v>
      </c>
      <c r="K790" s="1" t="s">
        <v>44</v>
      </c>
      <c r="L790" s="1">
        <v>671.0</v>
      </c>
      <c r="M790" s="1">
        <v>2002.0</v>
      </c>
      <c r="N790" s="1">
        <v>1866.0</v>
      </c>
      <c r="P790" s="2">
        <v>44814.0</v>
      </c>
      <c r="Q790" s="1" t="s">
        <v>502</v>
      </c>
      <c r="R790" s="1" t="s">
        <v>3619</v>
      </c>
      <c r="S790" s="1" t="s">
        <v>32</v>
      </c>
      <c r="V790" s="1" t="s">
        <v>3620</v>
      </c>
      <c r="W790" s="1">
        <v>0.0</v>
      </c>
      <c r="X790" s="1">
        <v>0.0</v>
      </c>
    </row>
    <row r="791" spans="1:24" ht="15.75" customHeight="1">
      <c r="A791" s="1">
        <v>1.5018308E7</v>
      </c>
      <c r="B791" s="1" t="s">
        <v>3621</v>
      </c>
      <c r="C791" s="1" t="s">
        <v>3622</v>
      </c>
      <c r="D791" s="1" t="s">
        <v>3623</v>
      </c>
      <c r="F791" s="1" t="str">
        <f>"0982848935"</f>
        <v>0982848935</v>
      </c>
      <c r="G791" s="1" t="str">
        <f>"9780982848937"</f>
        <v>9780982848937</v>
      </c>
      <c r="H791" s="1">
        <v>0.0</v>
      </c>
      <c r="I791" s="1">
        <v>3.0</v>
      </c>
      <c r="J791" s="1" t="s">
        <v>3624</v>
      </c>
      <c r="K791" s="1" t="s">
        <v>44</v>
      </c>
      <c r="L791" s="1">
        <v>510.0</v>
      </c>
      <c r="M791" s="1">
        <v>2012.0</v>
      </c>
      <c r="N791" s="1">
        <v>2012.0</v>
      </c>
      <c r="P791" s="2">
        <v>41515.0</v>
      </c>
      <c r="Q791" s="1" t="s">
        <v>32</v>
      </c>
      <c r="R791" s="1" t="s">
        <v>3625</v>
      </c>
      <c r="S791" s="1" t="s">
        <v>32</v>
      </c>
      <c r="W791" s="1">
        <v>0.0</v>
      </c>
      <c r="X791" s="1">
        <v>0.0</v>
      </c>
    </row>
    <row r="792" spans="1:24" ht="15.75" customHeight="1">
      <c r="A792" s="1">
        <v>5215.0</v>
      </c>
      <c r="B792" s="1" t="s">
        <v>3626</v>
      </c>
      <c r="C792" s="1" t="s">
        <v>3627</v>
      </c>
      <c r="D792" s="1" t="s">
        <v>3628</v>
      </c>
      <c r="E792" s="1" t="s">
        <v>3629</v>
      </c>
      <c r="F792" s="1" t="str">
        <f>"0060740450"</f>
        <v>0060740450</v>
      </c>
      <c r="G792" s="1" t="str">
        <f>"9780060740450"</f>
        <v>9780060740450</v>
      </c>
      <c r="H792" s="1">
        <v>5.0</v>
      </c>
      <c r="I792" s="1">
        <v>4.11</v>
      </c>
      <c r="J792" s="1" t="s">
        <v>917</v>
      </c>
      <c r="K792" s="1" t="s">
        <v>44</v>
      </c>
      <c r="L792" s="1">
        <v>464.0</v>
      </c>
      <c r="M792" s="1">
        <v>2004.0</v>
      </c>
      <c r="N792" s="1">
        <v>1967.0</v>
      </c>
      <c r="O792" s="2">
        <v>41658.0</v>
      </c>
      <c r="P792" s="3">
        <v>41620.0</v>
      </c>
      <c r="Q792" s="1" t="s">
        <v>3630</v>
      </c>
      <c r="R792" s="1" t="s">
        <v>3631</v>
      </c>
      <c r="S792" s="1" t="s">
        <v>271</v>
      </c>
      <c r="W792" s="1">
        <v>1.0</v>
      </c>
      <c r="X792" s="1">
        <v>1.0</v>
      </c>
    </row>
    <row r="793" spans="1:24" ht="15.75" customHeight="1">
      <c r="A793" s="1">
        <v>5.976704E7</v>
      </c>
      <c r="B793" s="1" t="s">
        <v>3632</v>
      </c>
      <c r="C793" s="1" t="s">
        <v>3627</v>
      </c>
      <c r="D793" s="1" t="s">
        <v>3628</v>
      </c>
      <c r="F793" s="1" t="str">
        <f t="shared" si="52" ref="F793:G793">""</f>
        <v/>
      </c>
      <c r="G793" s="1" t="str">
        <f t="shared" si="52"/>
        <v/>
      </c>
      <c r="H793" s="1">
        <v>0.0</v>
      </c>
      <c r="I793" s="1">
        <v>4.24</v>
      </c>
      <c r="J793" s="1" t="s">
        <v>3633</v>
      </c>
      <c r="K793" s="1" t="s">
        <v>37</v>
      </c>
      <c r="L793" s="1">
        <v>312.0</v>
      </c>
      <c r="M793" s="1">
        <v>1983.0</v>
      </c>
      <c r="N793" s="1">
        <v>2007.0</v>
      </c>
      <c r="P793" s="2">
        <v>45159.0</v>
      </c>
      <c r="Q793" s="1" t="s">
        <v>115</v>
      </c>
      <c r="R793" s="1" t="s">
        <v>3634</v>
      </c>
      <c r="S793" s="1" t="s">
        <v>32</v>
      </c>
      <c r="V793" s="1" t="s">
        <v>3620</v>
      </c>
      <c r="W793" s="1">
        <v>0.0</v>
      </c>
      <c r="X793" s="1">
        <v>1.0</v>
      </c>
    </row>
    <row r="794" spans="1:24" ht="15.75" customHeight="1">
      <c r="A794" s="1">
        <v>2.0007152E7</v>
      </c>
      <c r="B794" s="1" t="s">
        <v>3635</v>
      </c>
      <c r="C794" s="1" t="s">
        <v>3627</v>
      </c>
      <c r="D794" s="1" t="s">
        <v>3628</v>
      </c>
      <c r="F794" s="1" t="str">
        <f t="shared" si="53" ref="F794:G794">""</f>
        <v/>
      </c>
      <c r="G794" s="1" t="str">
        <f t="shared" si="53"/>
        <v/>
      </c>
      <c r="H794" s="1">
        <v>0.0</v>
      </c>
      <c r="I794" s="1">
        <v>4.0</v>
      </c>
      <c r="J794" s="1" t="s">
        <v>397</v>
      </c>
      <c r="K794" s="1" t="s">
        <v>44</v>
      </c>
      <c r="L794" s="1">
        <v>288.0</v>
      </c>
      <c r="M794" s="1">
        <v>2008.0</v>
      </c>
      <c r="N794" s="1">
        <v>1990.0</v>
      </c>
      <c r="P794" s="2">
        <v>44814.0</v>
      </c>
      <c r="Q794" s="1" t="s">
        <v>383</v>
      </c>
      <c r="R794" s="1" t="s">
        <v>3636</v>
      </c>
      <c r="S794" s="1" t="s">
        <v>32</v>
      </c>
      <c r="W794" s="1">
        <v>0.0</v>
      </c>
      <c r="X794" s="1">
        <v>1.0</v>
      </c>
    </row>
    <row r="795" spans="1:24" ht="15.75" customHeight="1">
      <c r="A795" s="1">
        <v>849345.0</v>
      </c>
      <c r="B795" s="1" t="s">
        <v>3637</v>
      </c>
      <c r="C795" s="1" t="s">
        <v>3627</v>
      </c>
      <c r="D795" s="1" t="s">
        <v>3628</v>
      </c>
      <c r="F795" s="1" t="str">
        <f>"9500705516"</f>
        <v>9500705516</v>
      </c>
      <c r="G795" s="1" t="str">
        <f>"9789500705516"</f>
        <v>9789500705516</v>
      </c>
      <c r="H795" s="1">
        <v>0.0</v>
      </c>
      <c r="I795" s="1">
        <v>3.69</v>
      </c>
      <c r="J795" s="1" t="s">
        <v>1219</v>
      </c>
      <c r="K795" s="1" t="s">
        <v>44</v>
      </c>
      <c r="L795" s="1">
        <v>288.0</v>
      </c>
      <c r="M795" s="1">
        <v>1989.0</v>
      </c>
      <c r="N795" s="1">
        <v>1989.0</v>
      </c>
      <c r="P795" s="2">
        <v>45116.0</v>
      </c>
      <c r="Q795" s="1" t="s">
        <v>818</v>
      </c>
      <c r="R795" s="1" t="s">
        <v>3638</v>
      </c>
      <c r="S795" s="1" t="s">
        <v>32</v>
      </c>
      <c r="W795" s="1">
        <v>0.0</v>
      </c>
      <c r="X795" s="1">
        <v>1.0</v>
      </c>
    </row>
    <row r="796" spans="1:24" ht="15.75" customHeight="1">
      <c r="A796" s="1">
        <v>9712.0</v>
      </c>
      <c r="B796" s="1" t="s">
        <v>3639</v>
      </c>
      <c r="C796" s="1" t="s">
        <v>3627</v>
      </c>
      <c r="D796" s="1" t="s">
        <v>3628</v>
      </c>
      <c r="E796" s="1" t="s">
        <v>3640</v>
      </c>
      <c r="F796" s="1" t="str">
        <f>"140003468X"</f>
        <v>140003468X</v>
      </c>
      <c r="G796" s="1" t="str">
        <f>"9781400034680"</f>
        <v>9781400034680</v>
      </c>
      <c r="H796" s="1">
        <v>0.0</v>
      </c>
      <c r="I796" s="1">
        <v>3.94</v>
      </c>
      <c r="J796" s="1" t="s">
        <v>317</v>
      </c>
      <c r="K796" s="1" t="s">
        <v>44</v>
      </c>
      <c r="L796" s="1">
        <v>348.0</v>
      </c>
      <c r="M796" s="1">
        <v>2003.0</v>
      </c>
      <c r="N796" s="1">
        <v>1985.0</v>
      </c>
      <c r="O796" s="3">
        <v>42321.0</v>
      </c>
      <c r="P796" s="2">
        <v>42258.0</v>
      </c>
      <c r="Q796" s="1" t="s">
        <v>594</v>
      </c>
      <c r="R796" s="1" t="s">
        <v>3641</v>
      </c>
      <c r="S796" s="1" t="s">
        <v>271</v>
      </c>
      <c r="W796" s="1">
        <v>1.0</v>
      </c>
      <c r="X796" s="1">
        <v>1.0</v>
      </c>
    </row>
    <row r="797" spans="1:24" ht="15.75" customHeight="1">
      <c r="A797" s="69">
        <v>8687417.0</v>
      </c>
      <c r="B797" s="69" t="s">
        <v>3642</v>
      </c>
      <c r="C797" s="69" t="s">
        <v>3627</v>
      </c>
      <c r="D797" s="69" t="s">
        <v>3628</v>
      </c>
      <c r="E797" s="70"/>
      <c r="F797" s="69" t="str">
        <f>"030747576X"</f>
        <v>030747576X</v>
      </c>
      <c r="G797" s="69" t="str">
        <f>"9780307475763"</f>
        <v>9780307475763</v>
      </c>
      <c r="H797" s="69">
        <v>0.0</v>
      </c>
      <c r="I797" s="69">
        <v>3.87</v>
      </c>
      <c r="J797" s="69" t="s">
        <v>3134</v>
      </c>
      <c r="K797" s="69" t="s">
        <v>44</v>
      </c>
      <c r="L797" s="69">
        <v>304.0</v>
      </c>
      <c r="M797" s="69">
        <v>2010.0</v>
      </c>
      <c r="N797" s="69">
        <v>1975.0</v>
      </c>
      <c r="O797" s="70"/>
      <c r="P797" s="71">
        <v>41533.0</v>
      </c>
      <c r="Q797" s="72" t="s">
        <v>3495</v>
      </c>
      <c r="R797" s="69" t="s">
        <v>3644</v>
      </c>
      <c r="S797" s="69" t="s">
        <v>32</v>
      </c>
      <c r="T797" s="70"/>
      <c r="U797" s="70"/>
      <c r="V797" s="70"/>
      <c r="W797" s="69">
        <v>0.0</v>
      </c>
      <c r="X797" s="69">
        <v>0.0</v>
      </c>
    </row>
    <row r="798" spans="1:24" ht="15.75" customHeight="1">
      <c r="A798" s="69">
        <v>23887.0</v>
      </c>
      <c r="B798" s="69" t="s">
        <v>3645</v>
      </c>
      <c r="C798" s="69" t="s">
        <v>3627</v>
      </c>
      <c r="D798" s="69" t="s">
        <v>3628</v>
      </c>
      <c r="E798" s="69" t="s">
        <v>3629</v>
      </c>
      <c r="F798" s="69" t="str">
        <f>"0060882867"</f>
        <v>0060882867</v>
      </c>
      <c r="G798" s="69" t="str">
        <f>"9780060882860"</f>
        <v>9780060882860</v>
      </c>
      <c r="H798" s="69">
        <v>0.0</v>
      </c>
      <c r="I798" s="69">
        <v>3.87</v>
      </c>
      <c r="J798" s="69" t="s">
        <v>397</v>
      </c>
      <c r="K798" s="69" t="s">
        <v>44</v>
      </c>
      <c r="L798" s="69">
        <v>255.0</v>
      </c>
      <c r="M798" s="69">
        <v>2006.0</v>
      </c>
      <c r="N798" s="69">
        <v>1975.0</v>
      </c>
      <c r="O798" s="70"/>
      <c r="P798" s="71">
        <v>45105.0</v>
      </c>
      <c r="Q798" s="72" t="s">
        <v>3495</v>
      </c>
      <c r="R798" s="69" t="s">
        <v>3646</v>
      </c>
      <c r="S798" s="69" t="s">
        <v>32</v>
      </c>
      <c r="T798" s="70"/>
      <c r="U798" s="70"/>
      <c r="V798" s="70"/>
      <c r="W798" s="69">
        <v>0.0</v>
      </c>
      <c r="X798" s="69">
        <v>0.0</v>
      </c>
    </row>
    <row r="799" spans="1:24" ht="15.75" customHeight="1">
      <c r="A799" s="1">
        <v>692827.0</v>
      </c>
      <c r="B799" s="1" t="s">
        <v>3647</v>
      </c>
      <c r="C799" s="1" t="s">
        <v>3648</v>
      </c>
      <c r="D799" s="1" t="s">
        <v>3649</v>
      </c>
      <c r="E799" s="1" t="s">
        <v>3650</v>
      </c>
      <c r="F799" s="1" t="str">
        <f>"082232914X"</f>
        <v>082232914X</v>
      </c>
      <c r="G799" s="1" t="str">
        <f>"9780822329145"</f>
        <v>9780822329145</v>
      </c>
      <c r="H799" s="1">
        <v>0.0</v>
      </c>
      <c r="I799" s="1">
        <v>3.91</v>
      </c>
      <c r="J799" s="1" t="s">
        <v>1341</v>
      </c>
      <c r="K799" s="1" t="s">
        <v>44</v>
      </c>
      <c r="L799" s="1">
        <v>600.0</v>
      </c>
      <c r="M799" s="1">
        <v>2002.0</v>
      </c>
      <c r="N799" s="1">
        <v>2002.0</v>
      </c>
      <c r="P799" s="3">
        <v>43022.0</v>
      </c>
      <c r="Q799" s="1" t="s">
        <v>55</v>
      </c>
      <c r="R799" s="1" t="s">
        <v>3651</v>
      </c>
      <c r="S799" s="1" t="s">
        <v>32</v>
      </c>
      <c r="W799" s="1">
        <v>0.0</v>
      </c>
      <c r="X799" s="1">
        <v>0.0</v>
      </c>
    </row>
    <row r="800" spans="1:24" ht="15.75" customHeight="1">
      <c r="A800" s="1">
        <v>5.9612919E7</v>
      </c>
      <c r="B800" s="1" t="s">
        <v>3652</v>
      </c>
      <c r="C800" s="1" t="s">
        <v>3653</v>
      </c>
      <c r="D800" s="1" t="s">
        <v>3654</v>
      </c>
      <c r="F800" s="1" t="str">
        <f t="shared" si="54" ref="F800:F801">""</f>
        <v/>
      </c>
      <c r="G800" s="1" t="str">
        <f>"9789874803528"</f>
        <v>9789874803528</v>
      </c>
      <c r="H800" s="1">
        <v>0.0</v>
      </c>
      <c r="I800" s="1">
        <v>3.81</v>
      </c>
      <c r="J800" s="1" t="s">
        <v>3655</v>
      </c>
      <c r="K800" s="1" t="s">
        <v>44</v>
      </c>
      <c r="L800" s="1">
        <v>182.0</v>
      </c>
      <c r="M800" s="1">
        <v>2021.0</v>
      </c>
      <c r="N800" s="1">
        <v>2021.0</v>
      </c>
      <c r="P800" s="2">
        <v>45114.0</v>
      </c>
      <c r="Q800" s="1" t="s">
        <v>818</v>
      </c>
      <c r="R800" s="1" t="s">
        <v>3656</v>
      </c>
      <c r="S800" s="1" t="s">
        <v>32</v>
      </c>
      <c r="W800" s="1">
        <v>0.0</v>
      </c>
      <c r="X800" s="1">
        <v>1.0</v>
      </c>
    </row>
    <row r="801" spans="1:24" ht="15.75" customHeight="1">
      <c r="A801" s="1">
        <v>2.118126E7</v>
      </c>
      <c r="B801" s="1" t="s">
        <v>3657</v>
      </c>
      <c r="C801" s="1" t="s">
        <v>3658</v>
      </c>
      <c r="D801" s="1" t="s">
        <v>3659</v>
      </c>
      <c r="F801" s="1" t="str">
        <f t="shared" si="54"/>
        <v/>
      </c>
      <c r="G801" s="1" t="str">
        <f>""</f>
        <v/>
      </c>
      <c r="H801" s="1">
        <v>0.0</v>
      </c>
      <c r="I801" s="1">
        <v>5.0</v>
      </c>
      <c r="J801" s="1" t="s">
        <v>3660</v>
      </c>
      <c r="K801" s="1" t="s">
        <v>29</v>
      </c>
      <c r="L801" s="1">
        <v>160.0</v>
      </c>
      <c r="M801" s="1">
        <v>1987.0</v>
      </c>
      <c r="N801" s="1">
        <v>1987.0</v>
      </c>
      <c r="P801" s="2">
        <v>45145.0</v>
      </c>
      <c r="Q801" s="1" t="s">
        <v>3661</v>
      </c>
      <c r="R801" s="1" t="s">
        <v>3662</v>
      </c>
      <c r="S801" s="1" t="s">
        <v>32</v>
      </c>
      <c r="W801" s="1">
        <v>0.0</v>
      </c>
      <c r="X801" s="1">
        <v>0.0</v>
      </c>
    </row>
    <row r="802" spans="1:24" ht="15.75" customHeight="1">
      <c r="A802" s="1">
        <v>547121.0</v>
      </c>
      <c r="B802" s="1" t="s">
        <v>3663</v>
      </c>
      <c r="C802" s="1" t="s">
        <v>3664</v>
      </c>
      <c r="D802" s="1" t="s">
        <v>3665</v>
      </c>
      <c r="F802" s="1" t="str">
        <f>"0140296077"</f>
        <v>0140296077</v>
      </c>
      <c r="G802" s="1" t="str">
        <f>"9780140296075"</f>
        <v>9780140296075</v>
      </c>
      <c r="H802" s="1">
        <v>0.0</v>
      </c>
      <c r="I802" s="1">
        <v>3.81</v>
      </c>
      <c r="J802" s="1" t="s">
        <v>309</v>
      </c>
      <c r="K802" s="1" t="s">
        <v>44</v>
      </c>
      <c r="L802" s="1">
        <v>592.0</v>
      </c>
      <c r="M802" s="1">
        <v>2000.0</v>
      </c>
      <c r="N802" s="1">
        <v>1986.0</v>
      </c>
      <c r="P802" s="3">
        <v>45271.0</v>
      </c>
      <c r="Q802" s="1" t="s">
        <v>479</v>
      </c>
      <c r="R802" s="1" t="s">
        <v>3666</v>
      </c>
      <c r="S802" s="1" t="s">
        <v>32</v>
      </c>
      <c r="W802" s="1">
        <v>0.0</v>
      </c>
      <c r="X802" s="1">
        <v>0.0</v>
      </c>
    </row>
    <row r="803" spans="1:24" ht="15.75" customHeight="1">
      <c r="A803" s="1">
        <v>2.2929602E7</v>
      </c>
      <c r="B803" s="1" t="s">
        <v>3667</v>
      </c>
      <c r="C803" s="1" t="s">
        <v>3668</v>
      </c>
      <c r="D803" s="1" t="s">
        <v>3669</v>
      </c>
      <c r="F803" s="1" t="str">
        <f>"0374288224"</f>
        <v>0374288224</v>
      </c>
      <c r="G803" s="1" t="str">
        <f>"9780374288228"</f>
        <v>9780374288228</v>
      </c>
      <c r="H803" s="1">
        <v>3.0</v>
      </c>
      <c r="I803" s="1">
        <v>3.77</v>
      </c>
      <c r="J803" s="1" t="s">
        <v>438</v>
      </c>
      <c r="K803" s="1" t="s">
        <v>37</v>
      </c>
      <c r="L803" s="1">
        <v>195.0</v>
      </c>
      <c r="M803" s="1">
        <v>2016.0</v>
      </c>
      <c r="N803" s="1">
        <v>2016.0</v>
      </c>
      <c r="O803" s="2">
        <v>42676.0</v>
      </c>
      <c r="P803" s="3">
        <v>42659.0</v>
      </c>
      <c r="Q803" s="1" t="s">
        <v>818</v>
      </c>
      <c r="R803" s="1" t="s">
        <v>3670</v>
      </c>
      <c r="S803" s="1" t="s">
        <v>32</v>
      </c>
      <c r="W803" s="1">
        <v>1.0</v>
      </c>
      <c r="X803" s="1">
        <v>1.0</v>
      </c>
    </row>
    <row r="804" spans="1:24" ht="15.75" customHeight="1">
      <c r="A804" s="1">
        <v>584019.0</v>
      </c>
      <c r="B804" s="1" t="s">
        <v>3671</v>
      </c>
      <c r="C804" s="1" t="s">
        <v>3672</v>
      </c>
      <c r="D804" s="1" t="s">
        <v>3673</v>
      </c>
      <c r="E804" s="1" t="s">
        <v>3674</v>
      </c>
      <c r="F804" s="1" t="str">
        <f>"0670875279"</f>
        <v>0670875279</v>
      </c>
      <c r="G804" s="1" t="str">
        <f>"9780670875276"</f>
        <v>9780670875276</v>
      </c>
      <c r="H804" s="1">
        <v>0.0</v>
      </c>
      <c r="I804" s="1">
        <v>4.24</v>
      </c>
      <c r="J804" s="1" t="s">
        <v>3675</v>
      </c>
      <c r="K804" s="1" t="s">
        <v>37</v>
      </c>
      <c r="L804" s="1">
        <v>819.0</v>
      </c>
      <c r="M804" s="1">
        <v>1997.0</v>
      </c>
      <c r="N804" s="1">
        <v>1997.0</v>
      </c>
      <c r="P804" s="2">
        <v>44814.0</v>
      </c>
      <c r="Q804" s="1" t="s">
        <v>115</v>
      </c>
      <c r="R804" s="1" t="s">
        <v>3676</v>
      </c>
      <c r="S804" s="1" t="s">
        <v>32</v>
      </c>
      <c r="W804" s="1">
        <v>0.0</v>
      </c>
      <c r="X804" s="1">
        <v>1.0</v>
      </c>
    </row>
    <row r="805" spans="1:24" ht="15.75" customHeight="1">
      <c r="A805" s="1">
        <v>126811.0</v>
      </c>
      <c r="B805" s="1" t="s">
        <v>3677</v>
      </c>
      <c r="C805" s="1" t="s">
        <v>3672</v>
      </c>
      <c r="D805" s="1" t="s">
        <v>3673</v>
      </c>
      <c r="E805" s="1" t="s">
        <v>3678</v>
      </c>
      <c r="F805" s="1" t="str">
        <f>"0670858579"</f>
        <v>0670858579</v>
      </c>
      <c r="G805" s="1" t="str">
        <f>"9780670858576"</f>
        <v>9780670858576</v>
      </c>
      <c r="H805" s="1">
        <v>0.0</v>
      </c>
      <c r="I805" s="1">
        <v>4.24</v>
      </c>
      <c r="J805" s="1" t="s">
        <v>3679</v>
      </c>
      <c r="K805" s="1" t="s">
        <v>37</v>
      </c>
      <c r="L805" s="1">
        <v>832.0</v>
      </c>
      <c r="M805" s="1">
        <v>1994.0</v>
      </c>
      <c r="N805" s="1">
        <v>1994.0</v>
      </c>
      <c r="P805" s="2">
        <v>44814.0</v>
      </c>
      <c r="Q805" s="1" t="s">
        <v>115</v>
      </c>
      <c r="R805" s="1" t="s">
        <v>3680</v>
      </c>
      <c r="S805" s="1" t="s">
        <v>32</v>
      </c>
      <c r="W805" s="1">
        <v>0.0</v>
      </c>
      <c r="X805" s="1">
        <v>1.0</v>
      </c>
    </row>
    <row r="806" spans="1:24" ht="15.75" customHeight="1">
      <c r="A806" s="1">
        <v>80382.0</v>
      </c>
      <c r="B806" s="1" t="s">
        <v>3681</v>
      </c>
      <c r="C806" s="1" t="s">
        <v>3682</v>
      </c>
      <c r="D806" s="1" t="s">
        <v>3683</v>
      </c>
      <c r="F806" s="1" t="str">
        <f>"0521600537"</f>
        <v>0521600537</v>
      </c>
      <c r="G806" s="1" t="str">
        <f>"9780521600538"</f>
        <v>9780521600538</v>
      </c>
      <c r="H806" s="1">
        <v>0.0</v>
      </c>
      <c r="I806" s="1">
        <v>3.67</v>
      </c>
      <c r="J806" s="1" t="s">
        <v>388</v>
      </c>
      <c r="K806" s="1" t="s">
        <v>44</v>
      </c>
      <c r="L806" s="1">
        <v>486.0</v>
      </c>
      <c r="M806" s="1">
        <v>2005.0</v>
      </c>
      <c r="N806" s="1">
        <v>1994.0</v>
      </c>
      <c r="P806" s="3">
        <v>43094.0</v>
      </c>
      <c r="Q806" s="1" t="s">
        <v>3684</v>
      </c>
      <c r="R806" s="1" t="s">
        <v>3685</v>
      </c>
      <c r="S806" s="1" t="s">
        <v>32</v>
      </c>
      <c r="W806" s="1">
        <v>0.0</v>
      </c>
      <c r="X806" s="1">
        <v>0.0</v>
      </c>
    </row>
    <row r="807" spans="1:24" ht="15.75" customHeight="1">
      <c r="A807" s="1">
        <v>74640.0</v>
      </c>
      <c r="B807" s="1" t="s">
        <v>3686</v>
      </c>
      <c r="C807" s="1" t="s">
        <v>3682</v>
      </c>
      <c r="D807" s="1" t="s">
        <v>3683</v>
      </c>
      <c r="F807" s="1" t="str">
        <f>"0192805576"</f>
        <v>0192805576</v>
      </c>
      <c r="G807" s="1" t="str">
        <f>"9780192805577"</f>
        <v>9780192805577</v>
      </c>
      <c r="H807" s="1">
        <v>0.0</v>
      </c>
      <c r="I807" s="1">
        <v>3.72</v>
      </c>
      <c r="J807" s="1" t="s">
        <v>181</v>
      </c>
      <c r="K807" s="1" t="s">
        <v>44</v>
      </c>
      <c r="L807" s="1">
        <v>135.0</v>
      </c>
      <c r="M807" s="1">
        <v>2005.0</v>
      </c>
      <c r="N807" s="1">
        <v>2005.0</v>
      </c>
      <c r="P807" s="2">
        <v>45129.0</v>
      </c>
      <c r="Q807" s="1" t="s">
        <v>2497</v>
      </c>
      <c r="R807" s="1" t="s">
        <v>3687</v>
      </c>
      <c r="S807" s="1" t="s">
        <v>32</v>
      </c>
      <c r="W807" s="1">
        <v>0.0</v>
      </c>
      <c r="X807" s="1">
        <v>1.0</v>
      </c>
    </row>
    <row r="808" spans="1:24" ht="15.75" customHeight="1">
      <c r="A808" s="1">
        <v>3128872.0</v>
      </c>
      <c r="B808" s="1" t="s">
        <v>3688</v>
      </c>
      <c r="C808" s="1" t="s">
        <v>3689</v>
      </c>
      <c r="D808" s="1" t="s">
        <v>3690</v>
      </c>
      <c r="F808" s="1" t="str">
        <f>"0704300338"</f>
        <v>0704300338</v>
      </c>
      <c r="G808" s="1" t="str">
        <f>"9780704300330"</f>
        <v>9780704300330</v>
      </c>
      <c r="H808" s="1">
        <v>0.0</v>
      </c>
      <c r="I808" s="1">
        <v>3.94</v>
      </c>
      <c r="J808" s="1" t="s">
        <v>3691</v>
      </c>
      <c r="K808" s="1" t="s">
        <v>44</v>
      </c>
      <c r="L808" s="1">
        <v>116.0</v>
      </c>
      <c r="M808" s="1">
        <v>1987.0</v>
      </c>
      <c r="N808" s="1">
        <v>1938.0</v>
      </c>
      <c r="P808" s="2">
        <v>45185.0</v>
      </c>
      <c r="Q808" s="1" t="s">
        <v>3692</v>
      </c>
      <c r="R808" s="1" t="s">
        <v>3693</v>
      </c>
      <c r="S808" s="1" t="s">
        <v>271</v>
      </c>
      <c r="W808" s="1">
        <v>0.0</v>
      </c>
      <c r="X808" s="1">
        <v>0.0</v>
      </c>
    </row>
    <row r="809" spans="1:24" ht="15.75" customHeight="1">
      <c r="A809" s="1">
        <v>297266.0</v>
      </c>
      <c r="B809" s="1" t="s">
        <v>3688</v>
      </c>
      <c r="C809" s="1" t="s">
        <v>3689</v>
      </c>
      <c r="D809" s="1" t="s">
        <v>3690</v>
      </c>
      <c r="E809" s="1" t="s">
        <v>3694</v>
      </c>
      <c r="F809" s="1" t="str">
        <f>""</f>
        <v/>
      </c>
      <c r="G809" s="1" t="str">
        <f>"9780807064610"</f>
        <v>9780807064610</v>
      </c>
      <c r="H809" s="1">
        <v>0.0</v>
      </c>
      <c r="I809" s="1">
        <v>3.94</v>
      </c>
      <c r="J809" s="1" t="s">
        <v>758</v>
      </c>
      <c r="K809" s="1" t="s">
        <v>44</v>
      </c>
      <c r="L809" s="1">
        <v>132.0</v>
      </c>
      <c r="M809" s="1">
        <v>1987.0</v>
      </c>
      <c r="N809" s="1">
        <v>1938.0</v>
      </c>
      <c r="P809" s="2">
        <v>45150.0</v>
      </c>
      <c r="Q809" s="1" t="s">
        <v>32</v>
      </c>
      <c r="R809" s="1" t="s">
        <v>3695</v>
      </c>
      <c r="S809" s="1" t="s">
        <v>32</v>
      </c>
      <c r="W809" s="1">
        <v>0.0</v>
      </c>
      <c r="X809" s="1">
        <v>0.0</v>
      </c>
    </row>
    <row r="810" spans="1:24" ht="15.75" customHeight="1">
      <c r="A810" s="1">
        <v>2.5707092E7</v>
      </c>
      <c r="B810" s="1" t="s">
        <v>3696</v>
      </c>
      <c r="C810" s="1" t="s">
        <v>3697</v>
      </c>
      <c r="D810" s="1" t="s">
        <v>3698</v>
      </c>
      <c r="F810" s="1" t="str">
        <f>"0984782850"</f>
        <v>0984782850</v>
      </c>
      <c r="G810" s="1" t="str">
        <f>"9780984782857"</f>
        <v>9780984782857</v>
      </c>
      <c r="H810" s="1">
        <v>0.0</v>
      </c>
      <c r="I810" s="1">
        <v>4.34</v>
      </c>
      <c r="J810" s="1" t="s">
        <v>3699</v>
      </c>
      <c r="K810" s="1" t="s">
        <v>44</v>
      </c>
      <c r="L810" s="1">
        <v>687.0</v>
      </c>
      <c r="M810" s="1">
        <v>2015.0</v>
      </c>
      <c r="N810" s="1">
        <v>2008.0</v>
      </c>
      <c r="P810" s="2">
        <v>45132.0</v>
      </c>
      <c r="Q810" s="1" t="s">
        <v>1017</v>
      </c>
      <c r="R810" s="1" t="s">
        <v>3700</v>
      </c>
      <c r="S810" s="1" t="s">
        <v>32</v>
      </c>
      <c r="W810" s="1">
        <v>0.0</v>
      </c>
      <c r="X810" s="1">
        <v>1.0</v>
      </c>
    </row>
    <row r="811" spans="1:24" ht="15.75" customHeight="1">
      <c r="A811" s="1">
        <v>3.6747923E7</v>
      </c>
      <c r="B811" s="1" t="s">
        <v>3701</v>
      </c>
      <c r="C811" s="1" t="s">
        <v>3702</v>
      </c>
      <c r="D811" s="1" t="s">
        <v>3703</v>
      </c>
      <c r="F811" s="1" t="str">
        <f>"1479892521"</f>
        <v>1479892521</v>
      </c>
      <c r="G811" s="1" t="str">
        <f>"9781479892525"</f>
        <v>9781479892525</v>
      </c>
      <c r="H811" s="1">
        <v>0.0</v>
      </c>
      <c r="I811" s="1">
        <v>4.3</v>
      </c>
      <c r="J811" s="1" t="s">
        <v>1719</v>
      </c>
      <c r="K811" s="1" t="s">
        <v>44</v>
      </c>
      <c r="L811" s="1">
        <v>192.0</v>
      </c>
      <c r="M811" s="1">
        <v>2018.0</v>
      </c>
      <c r="P811" s="2">
        <v>43984.0</v>
      </c>
      <c r="Q811" s="1" t="s">
        <v>32</v>
      </c>
      <c r="R811" s="1" t="s">
        <v>3704</v>
      </c>
      <c r="S811" s="1" t="s">
        <v>32</v>
      </c>
      <c r="W811" s="1">
        <v>0.0</v>
      </c>
      <c r="X811" s="1">
        <v>0.0</v>
      </c>
    </row>
    <row r="812" spans="1:24" ht="15.75" customHeight="1">
      <c r="A812" s="1">
        <v>60213.0</v>
      </c>
      <c r="B812" s="1" t="s">
        <v>3705</v>
      </c>
      <c r="C812" s="1" t="s">
        <v>3706</v>
      </c>
      <c r="D812" s="1" t="s">
        <v>3707</v>
      </c>
      <c r="F812" s="1" t="str">
        <f>"0312890338"</f>
        <v>0312890338</v>
      </c>
      <c r="G812" s="1" t="str">
        <f>"9780312890339"</f>
        <v>9780312890339</v>
      </c>
      <c r="H812" s="1">
        <v>0.0</v>
      </c>
      <c r="I812" s="1">
        <v>4.11</v>
      </c>
      <c r="J812" s="1" t="s">
        <v>3708</v>
      </c>
      <c r="K812" s="1" t="s">
        <v>44</v>
      </c>
      <c r="L812" s="1">
        <v>272.0</v>
      </c>
      <c r="M812" s="1">
        <v>1995.0</v>
      </c>
      <c r="N812" s="1">
        <v>1975.0</v>
      </c>
      <c r="P812" s="2">
        <v>45157.0</v>
      </c>
      <c r="Q812" s="1" t="s">
        <v>32</v>
      </c>
      <c r="R812" s="1" t="s">
        <v>3709</v>
      </c>
      <c r="S812" s="1" t="s">
        <v>32</v>
      </c>
      <c r="W812" s="1">
        <v>0.0</v>
      </c>
      <c r="X812" s="1">
        <v>0.0</v>
      </c>
    </row>
    <row r="813" spans="1:24" ht="15.75" customHeight="1">
      <c r="A813" s="1">
        <v>1262916.0</v>
      </c>
      <c r="B813" s="1" t="s">
        <v>3710</v>
      </c>
      <c r="C813" s="1" t="s">
        <v>3711</v>
      </c>
      <c r="D813" s="1" t="s">
        <v>3712</v>
      </c>
      <c r="F813" s="1" t="str">
        <f>"0671727699"</f>
        <v>0671727699</v>
      </c>
      <c r="G813" s="1" t="str">
        <f>"9780671727697"</f>
        <v>9780671727697</v>
      </c>
      <c r="H813" s="1">
        <v>0.0</v>
      </c>
      <c r="I813" s="1">
        <v>3.52</v>
      </c>
      <c r="J813" s="1" t="s">
        <v>622</v>
      </c>
      <c r="K813" s="1" t="s">
        <v>1225</v>
      </c>
      <c r="L813" s="1">
        <v>480.0</v>
      </c>
      <c r="M813" s="1">
        <v>1990.0</v>
      </c>
      <c r="N813" s="1">
        <v>1400.0</v>
      </c>
      <c r="P813" s="2">
        <v>44814.0</v>
      </c>
      <c r="Q813" s="1" t="s">
        <v>502</v>
      </c>
      <c r="R813" s="1" t="s">
        <v>3713</v>
      </c>
      <c r="S813" s="1" t="s">
        <v>32</v>
      </c>
      <c r="V813" s="1" t="s">
        <v>3620</v>
      </c>
      <c r="W813" s="1">
        <v>0.0</v>
      </c>
      <c r="X813" s="1">
        <v>0.0</v>
      </c>
    </row>
    <row r="814" spans="1:24" ht="15.75" customHeight="1">
      <c r="A814" s="1">
        <v>6.1822625E7</v>
      </c>
      <c r="B814" s="1" t="s">
        <v>3714</v>
      </c>
      <c r="C814" s="1" t="s">
        <v>3715</v>
      </c>
      <c r="D814" s="1" t="s">
        <v>3716</v>
      </c>
      <c r="F814" s="1" t="str">
        <f>"1770567291"</f>
        <v>1770567291</v>
      </c>
      <c r="G814" s="1" t="str">
        <f>"9781770567290"</f>
        <v>9781770567290</v>
      </c>
      <c r="H814" s="1">
        <v>0.0</v>
      </c>
      <c r="I814" s="1">
        <v>4.19</v>
      </c>
      <c r="J814" s="1" t="s">
        <v>3717</v>
      </c>
      <c r="K814" s="1" t="s">
        <v>29</v>
      </c>
      <c r="L814" s="1">
        <v>224.0</v>
      </c>
      <c r="M814" s="1">
        <v>2023.0</v>
      </c>
      <c r="P814" s="3">
        <v>45273.0</v>
      </c>
      <c r="Q814" s="1" t="s">
        <v>145</v>
      </c>
      <c r="R814" s="1" t="s">
        <v>3718</v>
      </c>
      <c r="S814" s="1" t="s">
        <v>32</v>
      </c>
      <c r="W814" s="1">
        <v>0.0</v>
      </c>
      <c r="X814" s="1">
        <v>0.0</v>
      </c>
    </row>
    <row r="815" spans="1:24" ht="15.75" customHeight="1">
      <c r="A815" s="1">
        <v>836345.0</v>
      </c>
      <c r="B815" s="1" t="s">
        <v>3719</v>
      </c>
      <c r="C815" s="1" t="s">
        <v>3720</v>
      </c>
      <c r="D815" s="1" t="s">
        <v>3721</v>
      </c>
      <c r="F815" s="1" t="str">
        <f>"0415147557"</f>
        <v>0415147557</v>
      </c>
      <c r="G815" s="1" t="str">
        <f>"9780415147552"</f>
        <v>9780415147552</v>
      </c>
      <c r="H815" s="1">
        <v>0.0</v>
      </c>
      <c r="I815" s="1">
        <v>4.12</v>
      </c>
      <c r="J815" s="1" t="s">
        <v>280</v>
      </c>
      <c r="K815" s="1" t="s">
        <v>44</v>
      </c>
      <c r="L815" s="1">
        <v>472.0</v>
      </c>
      <c r="M815" s="1">
        <v>1999.0</v>
      </c>
      <c r="N815" s="1">
        <v>1999.0</v>
      </c>
      <c r="P815" s="2">
        <v>45120.0</v>
      </c>
      <c r="Q815" s="1" t="s">
        <v>3722</v>
      </c>
      <c r="R815" s="1" t="s">
        <v>3723</v>
      </c>
      <c r="S815" s="1" t="s">
        <v>32</v>
      </c>
      <c r="W815" s="1">
        <v>0.0</v>
      </c>
      <c r="X815" s="1">
        <v>0.0</v>
      </c>
    </row>
    <row r="816" spans="1:24" ht="15.75" customHeight="1">
      <c r="A816" s="1">
        <v>984015.0</v>
      </c>
      <c r="B816" s="1" t="s">
        <v>3724</v>
      </c>
      <c r="C816" s="1" t="s">
        <v>3725</v>
      </c>
      <c r="D816" s="1" t="s">
        <v>3726</v>
      </c>
      <c r="E816" s="1" t="s">
        <v>1172</v>
      </c>
      <c r="F816" s="1" t="str">
        <f>"0940322501"</f>
        <v>0940322501</v>
      </c>
      <c r="G816" s="1" t="str">
        <f>"9780940322509"</f>
        <v>9780940322509</v>
      </c>
      <c r="H816" s="1">
        <v>0.0</v>
      </c>
      <c r="I816" s="1">
        <v>4.17</v>
      </c>
      <c r="J816" s="1" t="s">
        <v>204</v>
      </c>
      <c r="K816" s="1" t="s">
        <v>44</v>
      </c>
      <c r="L816" s="1">
        <v>264.0</v>
      </c>
      <c r="M816" s="1">
        <v>2000.0</v>
      </c>
      <c r="N816" s="1">
        <v>1799.0</v>
      </c>
      <c r="P816" s="2">
        <v>45114.0</v>
      </c>
      <c r="Q816" s="1" t="s">
        <v>32</v>
      </c>
      <c r="R816" s="1" t="s">
        <v>3727</v>
      </c>
      <c r="S816" s="1" t="s">
        <v>32</v>
      </c>
      <c r="W816" s="1">
        <v>0.0</v>
      </c>
      <c r="X816" s="1">
        <v>0.0</v>
      </c>
    </row>
    <row r="817" spans="1:24" ht="15.75" customHeight="1">
      <c r="A817" s="1">
        <v>779822.0</v>
      </c>
      <c r="B817" s="1" t="s">
        <v>3728</v>
      </c>
      <c r="C817" s="1" t="s">
        <v>3729</v>
      </c>
      <c r="D817" s="1" t="s">
        <v>3730</v>
      </c>
      <c r="F817" s="1" t="str">
        <f>"0801825482"</f>
        <v>0801825482</v>
      </c>
      <c r="G817" s="1" t="str">
        <f>"9780801825484"</f>
        <v>9780801825484</v>
      </c>
      <c r="H817" s="1">
        <v>0.0</v>
      </c>
      <c r="I817" s="1">
        <v>3.98</v>
      </c>
      <c r="J817" s="1" t="s">
        <v>3116</v>
      </c>
      <c r="K817" s="1" t="s">
        <v>44</v>
      </c>
      <c r="L817" s="1">
        <v>416.0</v>
      </c>
      <c r="M817" s="1">
        <v>1985.0</v>
      </c>
      <c r="N817" s="1">
        <v>1985.0</v>
      </c>
      <c r="P817" s="2">
        <v>45115.0</v>
      </c>
      <c r="Q817" s="1" t="s">
        <v>32</v>
      </c>
      <c r="R817" s="1" t="s">
        <v>3731</v>
      </c>
      <c r="S817" s="1" t="s">
        <v>32</v>
      </c>
      <c r="W817" s="1">
        <v>0.0</v>
      </c>
      <c r="X817" s="1">
        <v>0.0</v>
      </c>
    </row>
    <row r="818" spans="1:24" ht="15.75" customHeight="1">
      <c r="A818" s="1">
        <v>1.4800953E7</v>
      </c>
      <c r="B818" s="1" t="s">
        <v>3732</v>
      </c>
      <c r="C818" s="1" t="s">
        <v>3733</v>
      </c>
      <c r="D818" s="1" t="s">
        <v>3734</v>
      </c>
      <c r="F818" s="1" t="str">
        <f>"0141199245"</f>
        <v>0141199245</v>
      </c>
      <c r="G818" s="1" t="str">
        <f>"9780141199245"</f>
        <v>9780141199245</v>
      </c>
      <c r="H818" s="1">
        <v>0.0</v>
      </c>
      <c r="I818" s="1">
        <v>3.86</v>
      </c>
      <c r="J818" s="1" t="s">
        <v>3735</v>
      </c>
      <c r="K818" s="1" t="s">
        <v>44</v>
      </c>
      <c r="L818" s="1">
        <v>914.0</v>
      </c>
      <c r="M818" s="1">
        <v>2012.0</v>
      </c>
      <c r="N818" s="1">
        <v>1876.0</v>
      </c>
      <c r="P818" s="2">
        <v>45189.0</v>
      </c>
      <c r="Q818" s="1" t="s">
        <v>249</v>
      </c>
      <c r="R818" s="1" t="s">
        <v>3736</v>
      </c>
      <c r="S818" s="1" t="s">
        <v>32</v>
      </c>
      <c r="W818" s="1">
        <v>0.0</v>
      </c>
      <c r="X818" s="1">
        <v>0.0</v>
      </c>
    </row>
    <row r="819" spans="1:24" ht="15.75" customHeight="1">
      <c r="A819" s="1">
        <v>1094363.0</v>
      </c>
      <c r="B819" s="1" t="s">
        <v>3737</v>
      </c>
      <c r="C819" s="1" t="s">
        <v>3738</v>
      </c>
      <c r="D819" s="1" t="s">
        <v>3739</v>
      </c>
      <c r="F819" s="1" t="str">
        <f>"0195014324"</f>
        <v>0195014324</v>
      </c>
      <c r="G819" s="1" t="str">
        <f>"9780195014327"</f>
        <v>9780195014327</v>
      </c>
      <c r="H819" s="1">
        <v>0.0</v>
      </c>
      <c r="I819" s="1">
        <v>3.97</v>
      </c>
      <c r="J819" s="1" t="s">
        <v>181</v>
      </c>
      <c r="K819" s="1" t="s">
        <v>44</v>
      </c>
      <c r="L819" s="1">
        <v>304.0</v>
      </c>
      <c r="M819" s="1">
        <v>1961.0</v>
      </c>
      <c r="N819" s="1">
        <v>1959.0</v>
      </c>
      <c r="P819" s="2">
        <v>44959.0</v>
      </c>
      <c r="Q819" s="1" t="s">
        <v>935</v>
      </c>
      <c r="R819" s="1" t="s">
        <v>3740</v>
      </c>
      <c r="S819" s="1" t="s">
        <v>32</v>
      </c>
      <c r="W819" s="1">
        <v>0.0</v>
      </c>
      <c r="X819" s="1">
        <v>0.0</v>
      </c>
    </row>
    <row r="820" spans="1:24" ht="15.75" customHeight="1">
      <c r="A820" s="1">
        <v>52670.0</v>
      </c>
      <c r="B820" s="1" t="s">
        <v>3741</v>
      </c>
      <c r="C820" s="1" t="s">
        <v>3742</v>
      </c>
      <c r="D820" s="1" t="s">
        <v>3743</v>
      </c>
      <c r="F820" s="1" t="str">
        <f>"0486256642"</f>
        <v>0486256642</v>
      </c>
      <c r="G820" s="1" t="str">
        <f>"9780486256641"</f>
        <v>9780486256641</v>
      </c>
      <c r="H820" s="1">
        <v>0.0</v>
      </c>
      <c r="I820" s="1">
        <v>4.21</v>
      </c>
      <c r="J820" s="1" t="s">
        <v>910</v>
      </c>
      <c r="K820" s="1" t="s">
        <v>44</v>
      </c>
      <c r="L820" s="1">
        <v>384.0</v>
      </c>
      <c r="M820" s="1">
        <v>1988.0</v>
      </c>
      <c r="N820" s="1">
        <v>1947.0</v>
      </c>
      <c r="P820" s="2">
        <v>45153.0</v>
      </c>
      <c r="Q820" s="1" t="s">
        <v>32</v>
      </c>
      <c r="R820" s="1" t="s">
        <v>3744</v>
      </c>
      <c r="S820" s="1" t="s">
        <v>32</v>
      </c>
      <c r="W820" s="1">
        <v>0.0</v>
      </c>
      <c r="X820" s="1">
        <v>0.0</v>
      </c>
    </row>
    <row r="821" spans="1:24" ht="15.75" customHeight="1">
      <c r="A821" s="1">
        <v>752106.0</v>
      </c>
      <c r="B821" s="1" t="s">
        <v>3745</v>
      </c>
      <c r="C821" s="1" t="s">
        <v>3746</v>
      </c>
      <c r="D821" s="1" t="s">
        <v>3747</v>
      </c>
      <c r="F821" s="1" t="str">
        <f>"0525470387"</f>
        <v>0525470387</v>
      </c>
      <c r="G821" s="1" t="str">
        <f>"9780525470380"</f>
        <v>9780525470380</v>
      </c>
      <c r="H821" s="1">
        <v>0.0</v>
      </c>
      <c r="I821" s="1">
        <v>4.07</v>
      </c>
      <c r="J821" s="1" t="s">
        <v>3748</v>
      </c>
      <c r="K821" s="1" t="s">
        <v>44</v>
      </c>
      <c r="L821" s="1">
        <v>0.0</v>
      </c>
      <c r="M821" s="1">
        <v>1959.0</v>
      </c>
      <c r="N821" s="1">
        <v>1943.0</v>
      </c>
      <c r="P821" s="2">
        <v>45300.0</v>
      </c>
      <c r="Q821" s="1" t="s">
        <v>30</v>
      </c>
      <c r="R821" s="1" t="s">
        <v>3749</v>
      </c>
      <c r="S821" s="1" t="s">
        <v>32</v>
      </c>
      <c r="W821" s="1">
        <v>0.0</v>
      </c>
      <c r="X821" s="1">
        <v>0.0</v>
      </c>
    </row>
    <row r="822" spans="1:24" ht="15.75" customHeight="1">
      <c r="A822" s="1">
        <v>125455.0</v>
      </c>
      <c r="B822" s="1" t="s">
        <v>3750</v>
      </c>
      <c r="C822" s="1" t="s">
        <v>3751</v>
      </c>
      <c r="D822" s="1" t="s">
        <v>3752</v>
      </c>
      <c r="F822" s="1" t="str">
        <f>"0743264479"</f>
        <v>0743264479</v>
      </c>
      <c r="G822" s="1" t="str">
        <f>"9780743264471"</f>
        <v>9780743264471</v>
      </c>
      <c r="H822" s="1">
        <v>0.0</v>
      </c>
      <c r="I822" s="1">
        <v>4.09</v>
      </c>
      <c r="J822" s="1" t="s">
        <v>88</v>
      </c>
      <c r="K822" s="1" t="s">
        <v>44</v>
      </c>
      <c r="L822" s="1">
        <v>640.0</v>
      </c>
      <c r="M822" s="1">
        <v>2006.0</v>
      </c>
      <c r="N822" s="1">
        <v>1991.0</v>
      </c>
      <c r="P822" s="2">
        <v>45182.0</v>
      </c>
      <c r="Q822" s="1" t="s">
        <v>249</v>
      </c>
      <c r="R822" s="1" t="s">
        <v>3753</v>
      </c>
      <c r="S822" s="1" t="s">
        <v>32</v>
      </c>
      <c r="W822" s="1">
        <v>0.0</v>
      </c>
      <c r="X822" s="1">
        <v>0.0</v>
      </c>
    </row>
    <row r="823" spans="1:24" ht="15.75" customHeight="1">
      <c r="A823" s="1">
        <v>619447.0</v>
      </c>
      <c r="B823" s="1" t="s">
        <v>3754</v>
      </c>
      <c r="C823" s="1" t="s">
        <v>3755</v>
      </c>
      <c r="D823" s="1" t="s">
        <v>3756</v>
      </c>
      <c r="E823" s="1" t="s">
        <v>3757</v>
      </c>
      <c r="F823" s="1" t="str">
        <f>"0195101065"</f>
        <v>0195101065</v>
      </c>
      <c r="G823" s="1" t="str">
        <f>"9780195101065"</f>
        <v>9780195101065</v>
      </c>
      <c r="H823" s="1">
        <v>0.0</v>
      </c>
      <c r="I823" s="1">
        <v>3.81</v>
      </c>
      <c r="J823" s="1" t="s">
        <v>181</v>
      </c>
      <c r="K823" s="1" t="s">
        <v>44</v>
      </c>
      <c r="L823" s="1">
        <v>400.0</v>
      </c>
      <c r="M823" s="1">
        <v>1995.0</v>
      </c>
      <c r="N823" s="1">
        <v>1992.0</v>
      </c>
      <c r="P823" s="2">
        <v>45299.0</v>
      </c>
      <c r="Q823" s="1" t="s">
        <v>30</v>
      </c>
      <c r="R823" s="1" t="s">
        <v>3758</v>
      </c>
      <c r="S823" s="1" t="s">
        <v>32</v>
      </c>
      <c r="W823" s="1">
        <v>0.0</v>
      </c>
      <c r="X823" s="1">
        <v>0.0</v>
      </c>
    </row>
    <row r="824" spans="1:24" ht="15.75" customHeight="1">
      <c r="A824" s="1">
        <v>503672.0</v>
      </c>
      <c r="B824" s="1" t="s">
        <v>3759</v>
      </c>
      <c r="C824" s="1" t="s">
        <v>3760</v>
      </c>
      <c r="D824" s="1" t="s">
        <v>3761</v>
      </c>
      <c r="F824" s="1" t="str">
        <f>"0195126602"</f>
        <v>0195126602</v>
      </c>
      <c r="G824" s="1" t="str">
        <f>"9780195126600"</f>
        <v>9780195126600</v>
      </c>
      <c r="H824" s="1">
        <v>0.0</v>
      </c>
      <c r="I824" s="1">
        <v>3.97</v>
      </c>
      <c r="J824" s="1" t="s">
        <v>181</v>
      </c>
      <c r="K824" s="1" t="s">
        <v>44</v>
      </c>
      <c r="L824" s="1">
        <v>240.0</v>
      </c>
      <c r="M824" s="1">
        <v>1998.0</v>
      </c>
      <c r="N824" s="1">
        <v>1996.0</v>
      </c>
      <c r="P824" s="2">
        <v>42647.0</v>
      </c>
      <c r="Q824" s="1" t="s">
        <v>1110</v>
      </c>
      <c r="R824" s="1" t="s">
        <v>3762</v>
      </c>
      <c r="S824" s="1" t="s">
        <v>32</v>
      </c>
      <c r="W824" s="1">
        <v>0.0</v>
      </c>
      <c r="X824" s="1">
        <v>0.0</v>
      </c>
    </row>
    <row r="825" spans="1:24" ht="15.75" customHeight="1">
      <c r="A825" s="1">
        <v>34459.0</v>
      </c>
      <c r="B825" s="1" t="s">
        <v>3763</v>
      </c>
      <c r="C825" s="1" t="s">
        <v>3764</v>
      </c>
      <c r="D825" s="1" t="s">
        <v>3765</v>
      </c>
      <c r="E825" s="1" t="s">
        <v>3766</v>
      </c>
      <c r="F825" s="1" t="str">
        <f>"0226468011"</f>
        <v>0226468011</v>
      </c>
      <c r="G825" s="1" t="str">
        <f>"9780226468013"</f>
        <v>9780226468013</v>
      </c>
      <c r="H825" s="1">
        <v>0.0</v>
      </c>
      <c r="I825" s="1">
        <v>4.09</v>
      </c>
      <c r="J825" s="1" t="s">
        <v>78</v>
      </c>
      <c r="K825" s="1" t="s">
        <v>44</v>
      </c>
      <c r="L825" s="1">
        <v>276.0</v>
      </c>
      <c r="M825" s="1">
        <v>2003.0</v>
      </c>
      <c r="N825" s="1">
        <v>1980.0</v>
      </c>
      <c r="P825" s="2">
        <v>45172.0</v>
      </c>
      <c r="Q825" s="1" t="s">
        <v>32</v>
      </c>
      <c r="R825" s="1" t="s">
        <v>3767</v>
      </c>
      <c r="S825" s="1" t="s">
        <v>32</v>
      </c>
      <c r="W825" s="1">
        <v>0.0</v>
      </c>
      <c r="X825" s="1">
        <v>0.0</v>
      </c>
    </row>
    <row r="826" spans="1:24" ht="15.75" customHeight="1">
      <c r="A826" s="1">
        <v>9646.0</v>
      </c>
      <c r="B826" s="1" t="s">
        <v>3768</v>
      </c>
      <c r="C826" s="1" t="s">
        <v>3769</v>
      </c>
      <c r="D826" s="1" t="s">
        <v>3770</v>
      </c>
      <c r="F826" s="1" t="str">
        <f>"0156421178"</f>
        <v>0156421178</v>
      </c>
      <c r="G826" s="1" t="str">
        <f>"9780156421171"</f>
        <v>9780156421171</v>
      </c>
      <c r="H826" s="1">
        <v>0.0</v>
      </c>
      <c r="I826" s="1">
        <v>4.1</v>
      </c>
      <c r="J826" s="1" t="s">
        <v>3771</v>
      </c>
      <c r="K826" s="1" t="s">
        <v>44</v>
      </c>
      <c r="L826" s="1">
        <v>232.0</v>
      </c>
      <c r="M826" s="1">
        <v>1980.0</v>
      </c>
      <c r="N826" s="1">
        <v>1938.0</v>
      </c>
      <c r="P826" s="2">
        <v>44242.0</v>
      </c>
      <c r="Q826" s="1" t="s">
        <v>55</v>
      </c>
      <c r="R826" s="1" t="s">
        <v>3772</v>
      </c>
      <c r="S826" s="1" t="s">
        <v>32</v>
      </c>
      <c r="W826" s="1">
        <v>0.0</v>
      </c>
      <c r="X826" s="1">
        <v>0.0</v>
      </c>
    </row>
    <row r="827" spans="1:24" ht="15.75" customHeight="1">
      <c r="A827" s="1">
        <v>1.1904658E7</v>
      </c>
      <c r="B827" s="1">
        <v>1984.0</v>
      </c>
      <c r="C827" s="1" t="s">
        <v>3769</v>
      </c>
      <c r="D827" s="1" t="s">
        <v>3770</v>
      </c>
      <c r="E827" s="1" t="s">
        <v>3773</v>
      </c>
      <c r="F827" s="1" t="str">
        <f>"0451518004"</f>
        <v>0451518004</v>
      </c>
      <c r="G827" s="1" t="str">
        <f>"9780451518002"</f>
        <v>9780451518002</v>
      </c>
      <c r="H827" s="1">
        <v>0.0</v>
      </c>
      <c r="I827" s="1">
        <v>4.19</v>
      </c>
      <c r="J827" s="1" t="s">
        <v>3774</v>
      </c>
      <c r="K827" s="1" t="s">
        <v>1225</v>
      </c>
      <c r="L827" s="1">
        <v>268.0</v>
      </c>
      <c r="M827" s="1">
        <v>1983.0</v>
      </c>
      <c r="N827" s="1">
        <v>1949.0</v>
      </c>
      <c r="P827" s="2">
        <v>45113.0</v>
      </c>
      <c r="Q827" s="1" t="s">
        <v>818</v>
      </c>
      <c r="R827" s="1" t="s">
        <v>3775</v>
      </c>
      <c r="S827" s="1" t="s">
        <v>32</v>
      </c>
      <c r="W827" s="1">
        <v>0.0</v>
      </c>
      <c r="X827" s="1">
        <v>1.0</v>
      </c>
    </row>
    <row r="828" spans="1:24" ht="15.75" customHeight="1">
      <c r="A828" s="73">
        <v>9644.0</v>
      </c>
      <c r="B828" s="73" t="s">
        <v>3776</v>
      </c>
      <c r="C828" s="73" t="s">
        <v>3769</v>
      </c>
      <c r="D828" s="73" t="s">
        <v>3770</v>
      </c>
      <c r="E828" s="74"/>
      <c r="F828" s="73" t="str">
        <f>"0143036351"</f>
        <v>0143036351</v>
      </c>
      <c r="G828" s="73" t="str">
        <f>"9780143036357"</f>
        <v>9780143036357</v>
      </c>
      <c r="H828" s="73">
        <v>0.0</v>
      </c>
      <c r="I828" s="73">
        <v>4.02</v>
      </c>
      <c r="J828" s="73" t="s">
        <v>309</v>
      </c>
      <c r="K828" s="73" t="s">
        <v>44</v>
      </c>
      <c r="L828" s="73">
        <v>120.0</v>
      </c>
      <c r="M828" s="73">
        <v>2005.0</v>
      </c>
      <c r="N828" s="73">
        <v>1946.0</v>
      </c>
      <c r="O828" s="74"/>
      <c r="P828" s="75">
        <v>43919.0</v>
      </c>
      <c r="Q828" s="76" t="s">
        <v>353</v>
      </c>
      <c r="R828" s="73" t="s">
        <v>3777</v>
      </c>
      <c r="S828" s="73" t="s">
        <v>32</v>
      </c>
      <c r="T828" s="74"/>
      <c r="U828" s="74"/>
      <c r="V828" s="74"/>
      <c r="W828" s="73">
        <v>0.0</v>
      </c>
      <c r="X828" s="73">
        <v>0.0</v>
      </c>
    </row>
    <row r="829" spans="1:24" ht="15.75" customHeight="1">
      <c r="A829" s="73">
        <v>4064936.0</v>
      </c>
      <c r="B829" s="73" t="s">
        <v>3778</v>
      </c>
      <c r="C829" s="73" t="s">
        <v>3769</v>
      </c>
      <c r="D829" s="73" t="s">
        <v>3770</v>
      </c>
      <c r="E829" s="74"/>
      <c r="F829" s="73" t="str">
        <f>"0141036613"</f>
        <v>0141036613</v>
      </c>
      <c r="G829" s="73" t="str">
        <f>"9780141036618"</f>
        <v>9780141036618</v>
      </c>
      <c r="H829" s="73">
        <v>0.0</v>
      </c>
      <c r="I829" s="73">
        <v>3.84</v>
      </c>
      <c r="J829" s="73" t="s">
        <v>61</v>
      </c>
      <c r="K829" s="73" t="s">
        <v>1225</v>
      </c>
      <c r="L829" s="73">
        <v>126.0</v>
      </c>
      <c r="M829" s="73">
        <v>2008.0</v>
      </c>
      <c r="N829" s="73">
        <v>1946.0</v>
      </c>
      <c r="O829" s="74"/>
      <c r="P829" s="75">
        <v>43919.0</v>
      </c>
      <c r="Q829" s="76" t="s">
        <v>353</v>
      </c>
      <c r="R829" s="73" t="s">
        <v>3779</v>
      </c>
      <c r="S829" s="73" t="s">
        <v>32</v>
      </c>
      <c r="T829" s="74"/>
      <c r="U829" s="74"/>
      <c r="V829" s="74"/>
      <c r="W829" s="73">
        <v>0.0</v>
      </c>
      <c r="X829" s="73">
        <v>0.0</v>
      </c>
    </row>
    <row r="830" spans="1:24" ht="15.75" customHeight="1">
      <c r="A830" s="1">
        <v>8193142.0</v>
      </c>
      <c r="B830" s="1" t="s">
        <v>3780</v>
      </c>
      <c r="C830" s="1" t="s">
        <v>3781</v>
      </c>
      <c r="D830" s="1" t="s">
        <v>3782</v>
      </c>
      <c r="F830" s="1" t="str">
        <f t="shared" si="55" ref="F830:G830">""</f>
        <v/>
      </c>
      <c r="G830" s="1" t="str">
        <f t="shared" si="55"/>
        <v/>
      </c>
      <c r="H830" s="1">
        <v>0.0</v>
      </c>
      <c r="I830" s="1">
        <v>4.06</v>
      </c>
      <c r="J830" s="1" t="s">
        <v>2626</v>
      </c>
      <c r="K830" s="1" t="s">
        <v>44</v>
      </c>
      <c r="L830" s="1">
        <v>191.0</v>
      </c>
      <c r="M830" s="1">
        <v>1953.0</v>
      </c>
      <c r="N830" s="1">
        <v>1953.0</v>
      </c>
      <c r="P830" s="2">
        <v>45160.0</v>
      </c>
      <c r="Q830" s="1" t="s">
        <v>1207</v>
      </c>
      <c r="R830" s="1" t="s">
        <v>3783</v>
      </c>
      <c r="S830" s="1" t="s">
        <v>32</v>
      </c>
      <c r="W830" s="1">
        <v>0.0</v>
      </c>
      <c r="X830" s="1">
        <v>1.0</v>
      </c>
    </row>
    <row r="831" spans="1:24" ht="15.75" customHeight="1">
      <c r="A831" s="1">
        <v>1.3641208E7</v>
      </c>
      <c r="B831" s="1" t="s">
        <v>3784</v>
      </c>
      <c r="C831" s="1" t="s">
        <v>3785</v>
      </c>
      <c r="D831" s="1" t="s">
        <v>3786</v>
      </c>
      <c r="F831" s="1" t="str">
        <f>"0812993802"</f>
        <v>0812993802</v>
      </c>
      <c r="G831" s="1" t="str">
        <f>"9780812993806"</f>
        <v>9780812993806</v>
      </c>
      <c r="H831" s="1">
        <v>0.0</v>
      </c>
      <c r="I831" s="1">
        <v>3.98</v>
      </c>
      <c r="J831" s="1" t="s">
        <v>1189</v>
      </c>
      <c r="K831" s="1" t="s">
        <v>37</v>
      </c>
      <c r="L831" s="1">
        <v>251.0</v>
      </c>
      <c r="M831" s="1">
        <v>2013.0</v>
      </c>
      <c r="N831" s="1">
        <v>2013.0</v>
      </c>
      <c r="P831" s="2">
        <v>44229.0</v>
      </c>
      <c r="Q831" s="1" t="s">
        <v>127</v>
      </c>
      <c r="R831" s="1" t="s">
        <v>3787</v>
      </c>
      <c r="S831" s="1" t="s">
        <v>32</v>
      </c>
      <c r="W831" s="1">
        <v>0.0</v>
      </c>
      <c r="X831" s="1">
        <v>0.0</v>
      </c>
    </row>
    <row r="832" spans="1:24" ht="15.75" customHeight="1">
      <c r="A832" s="1">
        <v>1.8373298E7</v>
      </c>
      <c r="B832" s="1" t="s">
        <v>3788</v>
      </c>
      <c r="C832" s="1" t="s">
        <v>3785</v>
      </c>
      <c r="D832" s="1" t="s">
        <v>3786</v>
      </c>
      <c r="F832" s="1" t="str">
        <f>"0812996275"</f>
        <v>0812996275</v>
      </c>
      <c r="G832" s="1" t="str">
        <f>"9780812996272"</f>
        <v>9780812996272</v>
      </c>
      <c r="H832" s="1">
        <v>0.0</v>
      </c>
      <c r="I832" s="1">
        <v>4.16</v>
      </c>
      <c r="J832" s="1" t="s">
        <v>1189</v>
      </c>
      <c r="K832" s="1" t="s">
        <v>37</v>
      </c>
      <c r="L832" s="1">
        <v>64.0</v>
      </c>
      <c r="M832" s="1">
        <v>2014.0</v>
      </c>
      <c r="N832" s="1">
        <v>2013.0</v>
      </c>
      <c r="P832" s="2">
        <v>43919.0</v>
      </c>
      <c r="Q832" s="1" t="s">
        <v>32</v>
      </c>
      <c r="R832" s="1" t="s">
        <v>3789</v>
      </c>
      <c r="S832" s="1" t="s">
        <v>32</v>
      </c>
      <c r="W832" s="1">
        <v>0.0</v>
      </c>
      <c r="X832" s="1">
        <v>0.0</v>
      </c>
    </row>
    <row r="833" spans="1:24" ht="15.75" customHeight="1">
      <c r="A833" s="1">
        <v>2.990698E7</v>
      </c>
      <c r="B833" s="1" t="s">
        <v>3790</v>
      </c>
      <c r="C833" s="1" t="s">
        <v>3785</v>
      </c>
      <c r="D833" s="1" t="s">
        <v>3786</v>
      </c>
      <c r="F833" s="1" t="str">
        <f>"0812995341"</f>
        <v>0812995341</v>
      </c>
      <c r="G833" s="1" t="str">
        <f>"9780812995343"</f>
        <v>9780812995343</v>
      </c>
      <c r="H833" s="1">
        <v>0.0</v>
      </c>
      <c r="I833" s="1">
        <v>3.75</v>
      </c>
      <c r="J833" s="1" t="s">
        <v>1189</v>
      </c>
      <c r="K833" s="1" t="s">
        <v>37</v>
      </c>
      <c r="L833" s="1">
        <v>368.0</v>
      </c>
      <c r="M833" s="1">
        <v>2017.0</v>
      </c>
      <c r="N833" s="1">
        <v>2017.0</v>
      </c>
      <c r="P833" s="2">
        <v>45111.0</v>
      </c>
      <c r="Q833" s="1" t="s">
        <v>261</v>
      </c>
      <c r="R833" s="1" t="s">
        <v>3791</v>
      </c>
      <c r="S833" s="1" t="s">
        <v>32</v>
      </c>
      <c r="W833" s="1">
        <v>0.0</v>
      </c>
      <c r="X833" s="1">
        <v>0.0</v>
      </c>
    </row>
    <row r="834" spans="1:24" ht="15.75" customHeight="1">
      <c r="A834" s="1">
        <v>1.3079548E7</v>
      </c>
      <c r="B834" s="1" t="s">
        <v>3792</v>
      </c>
      <c r="C834" s="1" t="s">
        <v>3793</v>
      </c>
      <c r="D834" s="1" t="s">
        <v>3794</v>
      </c>
      <c r="F834" s="1" t="str">
        <f>"0811219453"</f>
        <v>0811219453</v>
      </c>
      <c r="G834" s="1" t="str">
        <f>"9780811219457"</f>
        <v>9780811219457</v>
      </c>
      <c r="H834" s="1">
        <v>0.0</v>
      </c>
      <c r="I834" s="1">
        <v>4.02</v>
      </c>
      <c r="J834" s="1" t="s">
        <v>419</v>
      </c>
      <c r="K834" s="1" t="s">
        <v>37</v>
      </c>
      <c r="L834" s="1">
        <v>223.0</v>
      </c>
      <c r="M834" s="1">
        <v>2012.0</v>
      </c>
      <c r="N834" s="1">
        <v>2011.0</v>
      </c>
      <c r="P834" s="2">
        <v>45172.0</v>
      </c>
      <c r="Q834" s="1" t="s">
        <v>32</v>
      </c>
      <c r="R834" s="1" t="s">
        <v>3795</v>
      </c>
      <c r="S834" s="1" t="s">
        <v>32</v>
      </c>
      <c r="W834" s="1">
        <v>0.0</v>
      </c>
      <c r="X834" s="1">
        <v>0.0</v>
      </c>
    </row>
    <row r="835" spans="1:24" ht="15.75" customHeight="1">
      <c r="A835" s="1">
        <v>5.1320404E7</v>
      </c>
      <c r="B835" s="1" t="s">
        <v>3796</v>
      </c>
      <c r="C835" s="1" t="s">
        <v>3793</v>
      </c>
      <c r="D835" s="1" t="s">
        <v>3794</v>
      </c>
      <c r="E835" s="1" t="s">
        <v>3797</v>
      </c>
      <c r="F835" s="1" t="str">
        <f>"8417996958"</f>
        <v>8417996958</v>
      </c>
      <c r="G835" s="1" t="str">
        <f>"9788417996956"</f>
        <v>9788417996956</v>
      </c>
      <c r="H835" s="1">
        <v>0.0</v>
      </c>
      <c r="I835" s="1">
        <v>4.24</v>
      </c>
      <c r="J835" s="1" t="s">
        <v>638</v>
      </c>
      <c r="K835" s="1" t="s">
        <v>44</v>
      </c>
      <c r="L835" s="1">
        <v>392.0</v>
      </c>
      <c r="M835" s="1">
        <v>2020.0</v>
      </c>
      <c r="N835" s="1">
        <v>2009.0</v>
      </c>
      <c r="P835" s="2">
        <v>43976.0</v>
      </c>
      <c r="Q835" s="1" t="s">
        <v>32</v>
      </c>
      <c r="R835" s="1" t="s">
        <v>3798</v>
      </c>
      <c r="S835" s="1" t="s">
        <v>32</v>
      </c>
      <c r="W835" s="1">
        <v>0.0</v>
      </c>
      <c r="X835" s="1">
        <v>0.0</v>
      </c>
    </row>
    <row r="836" spans="1:24" ht="15.75" customHeight="1">
      <c r="A836" s="25">
        <v>135448.0</v>
      </c>
      <c r="B836" s="25" t="s">
        <v>3799</v>
      </c>
      <c r="C836" s="25" t="s">
        <v>3800</v>
      </c>
      <c r="D836" s="25" t="s">
        <v>3801</v>
      </c>
      <c r="E836" s="25" t="s">
        <v>3802</v>
      </c>
      <c r="F836" s="25" t="str">
        <f>"0631199594"</f>
        <v>0631199594</v>
      </c>
      <c r="G836" s="25" t="str">
        <f>"9780631199595"</f>
        <v>9780631199595</v>
      </c>
      <c r="H836" s="25">
        <v>0.0</v>
      </c>
      <c r="I836" s="25">
        <v>4.19</v>
      </c>
      <c r="J836" s="25" t="s">
        <v>3803</v>
      </c>
      <c r="K836" s="25" t="s">
        <v>44</v>
      </c>
      <c r="L836" s="25">
        <v>364.0</v>
      </c>
      <c r="M836" s="25">
        <v>1997.0</v>
      </c>
      <c r="N836" s="25">
        <v>1997.0</v>
      </c>
      <c r="O836" s="26"/>
      <c r="P836" s="27">
        <v>45046.0</v>
      </c>
      <c r="Q836" s="28" t="s">
        <v>10990</v>
      </c>
      <c r="R836" s="25" t="s">
        <v>3804</v>
      </c>
      <c r="S836" s="25" t="s">
        <v>32</v>
      </c>
      <c r="T836" s="26"/>
      <c r="U836" s="26"/>
      <c r="V836" s="26"/>
      <c r="W836" s="25">
        <v>0.0</v>
      </c>
      <c r="X836" s="25">
        <v>0.0</v>
      </c>
    </row>
    <row r="837" spans="1:24" ht="15.75" customHeight="1">
      <c r="A837" s="25">
        <v>436806.0</v>
      </c>
      <c r="B837" s="25" t="s">
        <v>3805</v>
      </c>
      <c r="C837" s="25" t="s">
        <v>3800</v>
      </c>
      <c r="D837" s="25" t="s">
        <v>3801</v>
      </c>
      <c r="E837" s="25" t="s">
        <v>3806</v>
      </c>
      <c r="F837" s="25" t="str">
        <f>"0872862097"</f>
        <v>0872862097</v>
      </c>
      <c r="G837" s="25" t="str">
        <f>"9780872862098"</f>
        <v>9780872862098</v>
      </c>
      <c r="H837" s="25">
        <v>0.0</v>
      </c>
      <c r="I837" s="25">
        <v>3.66</v>
      </c>
      <c r="J837" s="25" t="s">
        <v>3807</v>
      </c>
      <c r="K837" s="25" t="s">
        <v>44</v>
      </c>
      <c r="L837" s="25">
        <v>103.0</v>
      </c>
      <c r="M837" s="25">
        <v>1987.0</v>
      </c>
      <c r="N837" s="25">
        <v>1928.0</v>
      </c>
      <c r="O837" s="26"/>
      <c r="P837" s="27">
        <v>41035.0</v>
      </c>
      <c r="Q837" s="28" t="s">
        <v>10990</v>
      </c>
      <c r="R837" s="25" t="s">
        <v>3808</v>
      </c>
      <c r="S837" s="25" t="s">
        <v>32</v>
      </c>
      <c r="T837" s="26"/>
      <c r="U837" s="26"/>
      <c r="V837" s="26"/>
      <c r="W837" s="25">
        <v>0.0</v>
      </c>
      <c r="X837" s="25">
        <v>0.0</v>
      </c>
    </row>
    <row r="838" spans="1:24" ht="15.75" customHeight="1">
      <c r="A838" s="1">
        <v>8686178.0</v>
      </c>
      <c r="B838" s="1" t="s">
        <v>3809</v>
      </c>
      <c r="C838" s="1" t="s">
        <v>3810</v>
      </c>
      <c r="D838" s="1" t="s">
        <v>3811</v>
      </c>
      <c r="F838" s="1" t="str">
        <f>"8449300487"</f>
        <v>8449300487</v>
      </c>
      <c r="G838" s="1" t="str">
        <f>"9788449300486"</f>
        <v>9788449300486</v>
      </c>
      <c r="H838" s="1">
        <v>0.0</v>
      </c>
      <c r="I838" s="1">
        <v>3.64</v>
      </c>
      <c r="J838" s="1" t="s">
        <v>3812</v>
      </c>
      <c r="K838" s="1" t="s">
        <v>37</v>
      </c>
      <c r="L838" s="1">
        <v>485.0</v>
      </c>
      <c r="M838" s="1">
        <v>1994.0</v>
      </c>
      <c r="N838" s="1">
        <v>1991.0</v>
      </c>
      <c r="P838" s="2">
        <v>44099.0</v>
      </c>
      <c r="Q838" s="1" t="s">
        <v>32</v>
      </c>
      <c r="R838" s="1" t="s">
        <v>3813</v>
      </c>
      <c r="S838" s="1" t="s">
        <v>32</v>
      </c>
      <c r="W838" s="1">
        <v>0.0</v>
      </c>
      <c r="X838" s="1">
        <v>0.0</v>
      </c>
    </row>
    <row r="839" spans="1:24" ht="15.75" customHeight="1">
      <c r="A839" s="1">
        <v>28294.0</v>
      </c>
      <c r="B839" s="1" t="s">
        <v>3814</v>
      </c>
      <c r="C839" s="1" t="s">
        <v>3815</v>
      </c>
      <c r="D839" s="1" t="s">
        <v>3816</v>
      </c>
      <c r="E839" s="1" t="s">
        <v>3817</v>
      </c>
      <c r="F839" s="1" t="str">
        <f>"1567922961"</f>
        <v>1567922961</v>
      </c>
      <c r="G839" s="1" t="str">
        <f>"9781567922967"</f>
        <v>9781567922967</v>
      </c>
      <c r="H839" s="1">
        <v>0.0</v>
      </c>
      <c r="I839" s="1">
        <v>3.76</v>
      </c>
      <c r="J839" s="1" t="s">
        <v>2685</v>
      </c>
      <c r="K839" s="1" t="s">
        <v>44</v>
      </c>
      <c r="L839" s="1">
        <v>284.0</v>
      </c>
      <c r="M839" s="1">
        <v>2005.0</v>
      </c>
      <c r="N839" s="1">
        <v>1969.0</v>
      </c>
      <c r="P839" s="3">
        <v>41601.0</v>
      </c>
      <c r="Q839" s="1" t="s">
        <v>145</v>
      </c>
      <c r="R839" s="1" t="s">
        <v>3818</v>
      </c>
      <c r="S839" s="1" t="s">
        <v>32</v>
      </c>
      <c r="W839" s="1">
        <v>0.0</v>
      </c>
      <c r="X839" s="1">
        <v>0.0</v>
      </c>
    </row>
    <row r="840" spans="1:24" ht="15.75" customHeight="1">
      <c r="A840" s="1">
        <v>6976853.0</v>
      </c>
      <c r="B840" s="1" t="s">
        <v>3819</v>
      </c>
      <c r="C840" s="1" t="s">
        <v>3815</v>
      </c>
      <c r="D840" s="1" t="s">
        <v>3816</v>
      </c>
      <c r="E840" s="1" t="s">
        <v>3820</v>
      </c>
      <c r="F840" s="1" t="str">
        <f>"1844674193"</f>
        <v>1844674193</v>
      </c>
      <c r="G840" s="1" t="str">
        <f>"9781844674190"</f>
        <v>9781844674190</v>
      </c>
      <c r="H840" s="1">
        <v>3.0</v>
      </c>
      <c r="I840" s="1">
        <v>3.84</v>
      </c>
      <c r="J840" s="1" t="s">
        <v>367</v>
      </c>
      <c r="K840" s="1" t="s">
        <v>37</v>
      </c>
      <c r="L840" s="1">
        <v>96.0</v>
      </c>
      <c r="M840" s="1">
        <v>2011.0</v>
      </c>
      <c r="N840" s="1">
        <v>1968.0</v>
      </c>
      <c r="P840" s="2">
        <v>43914.0</v>
      </c>
      <c r="S840" s="1" t="s">
        <v>271</v>
      </c>
      <c r="W840" s="1">
        <v>1.0</v>
      </c>
      <c r="X840" s="1">
        <v>0.0</v>
      </c>
    </row>
    <row r="841" spans="1:24" ht="15.75" customHeight="1">
      <c r="A841" s="1">
        <v>2.5281733E7</v>
      </c>
      <c r="B841" s="1" t="s">
        <v>3821</v>
      </c>
      <c r="C841" s="1" t="s">
        <v>3822</v>
      </c>
      <c r="D841" s="1" t="s">
        <v>3823</v>
      </c>
      <c r="F841" s="1" t="str">
        <f t="shared" si="56" ref="F841:G841">""</f>
        <v/>
      </c>
      <c r="G841" s="1" t="str">
        <f t="shared" si="56"/>
        <v/>
      </c>
      <c r="H841" s="1">
        <v>0.0</v>
      </c>
      <c r="I841" s="1">
        <v>4.07</v>
      </c>
      <c r="J841" s="1" t="s">
        <v>706</v>
      </c>
      <c r="K841" s="1" t="s">
        <v>29</v>
      </c>
      <c r="L841" s="1">
        <v>298.0</v>
      </c>
      <c r="M841" s="1">
        <v>2015.0</v>
      </c>
      <c r="N841" s="1">
        <v>2011.0</v>
      </c>
      <c r="P841" s="2">
        <v>45145.0</v>
      </c>
      <c r="Q841" s="1" t="s">
        <v>502</v>
      </c>
      <c r="R841" s="1" t="s">
        <v>3824</v>
      </c>
      <c r="S841" s="1" t="s">
        <v>32</v>
      </c>
      <c r="W841" s="1">
        <v>0.0</v>
      </c>
      <c r="X841" s="1">
        <v>0.0</v>
      </c>
    </row>
    <row r="842" spans="1:24" ht="15.75" customHeight="1">
      <c r="A842" s="1">
        <v>1.3726116E7</v>
      </c>
      <c r="B842" s="1" t="s">
        <v>3825</v>
      </c>
      <c r="C842" s="1" t="s">
        <v>3826</v>
      </c>
      <c r="D842" s="1" t="s">
        <v>3827</v>
      </c>
      <c r="E842" s="1" t="s">
        <v>3828</v>
      </c>
      <c r="F842" s="1" t="str">
        <f>"0521283256"</f>
        <v>0521283256</v>
      </c>
      <c r="G842" s="1" t="str">
        <f>"9780521283250"</f>
        <v>9780521283250</v>
      </c>
      <c r="H842" s="1">
        <v>0.0</v>
      </c>
      <c r="I842" s="1">
        <v>3.5</v>
      </c>
      <c r="J842" s="1" t="s">
        <v>388</v>
      </c>
      <c r="K842" s="1" t="s">
        <v>44</v>
      </c>
      <c r="L842" s="1">
        <v>418.0</v>
      </c>
      <c r="M842" s="1">
        <v>2011.0</v>
      </c>
      <c r="N842" s="1">
        <v>2003.0</v>
      </c>
      <c r="P842" s="3">
        <v>45214.0</v>
      </c>
      <c r="Q842" s="1" t="s">
        <v>32</v>
      </c>
      <c r="R842" s="1" t="s">
        <v>3829</v>
      </c>
      <c r="S842" s="1" t="s">
        <v>32</v>
      </c>
      <c r="W842" s="1">
        <v>0.0</v>
      </c>
      <c r="X842" s="1">
        <v>0.0</v>
      </c>
    </row>
    <row r="843" spans="1:24" ht="15.75" customHeight="1">
      <c r="A843" s="1">
        <v>6.2888191E7</v>
      </c>
      <c r="B843" s="1" t="s">
        <v>3830</v>
      </c>
      <c r="C843" s="1" t="s">
        <v>3831</v>
      </c>
      <c r="D843" s="1" t="s">
        <v>3832</v>
      </c>
      <c r="F843" s="1" t="str">
        <f>"1638930368"</f>
        <v>1638930368</v>
      </c>
      <c r="G843" s="1" t="str">
        <f>"9781638930365"</f>
        <v>9781638930365</v>
      </c>
      <c r="H843" s="1">
        <v>0.0</v>
      </c>
      <c r="I843" s="1">
        <v>4.16</v>
      </c>
      <c r="J843" s="1" t="s">
        <v>3833</v>
      </c>
      <c r="K843" s="1" t="s">
        <v>37</v>
      </c>
      <c r="L843" s="1">
        <v>336.0</v>
      </c>
      <c r="M843" s="1">
        <v>2023.0</v>
      </c>
      <c r="N843" s="1">
        <v>2023.0</v>
      </c>
      <c r="P843" s="2">
        <v>45127.0</v>
      </c>
      <c r="Q843" s="1" t="s">
        <v>502</v>
      </c>
      <c r="R843" s="1" t="s">
        <v>3834</v>
      </c>
      <c r="S843" s="1" t="s">
        <v>32</v>
      </c>
      <c r="W843" s="1">
        <v>0.0</v>
      </c>
      <c r="X843" s="1">
        <v>0.0</v>
      </c>
    </row>
    <row r="844" spans="1:24" ht="15.75" customHeight="1">
      <c r="A844" s="1">
        <v>2857990.0</v>
      </c>
      <c r="B844" s="1" t="s">
        <v>3835</v>
      </c>
      <c r="C844" s="1" t="s">
        <v>3836</v>
      </c>
      <c r="D844" s="1" t="s">
        <v>3837</v>
      </c>
      <c r="F844" s="1" t="str">
        <f>"1846551374"</f>
        <v>1846551374</v>
      </c>
      <c r="G844" s="1" t="str">
        <f>"9781846551376"</f>
        <v>9781846551376</v>
      </c>
      <c r="H844" s="1">
        <v>0.0</v>
      </c>
      <c r="I844" s="1">
        <v>3.88</v>
      </c>
      <c r="J844" s="1" t="s">
        <v>3838</v>
      </c>
      <c r="K844" s="1" t="s">
        <v>37</v>
      </c>
      <c r="L844" s="1">
        <v>256.0</v>
      </c>
      <c r="M844" s="1">
        <v>2008.0</v>
      </c>
      <c r="N844" s="1">
        <v>2006.0</v>
      </c>
      <c r="P844" s="2">
        <v>45155.0</v>
      </c>
      <c r="Q844" s="1" t="s">
        <v>115</v>
      </c>
      <c r="R844" s="1" t="s">
        <v>3839</v>
      </c>
      <c r="S844" s="1" t="s">
        <v>32</v>
      </c>
      <c r="W844" s="1">
        <v>0.0</v>
      </c>
      <c r="X844" s="1">
        <v>0.0</v>
      </c>
    </row>
    <row r="845" spans="1:24" ht="15.75" customHeight="1">
      <c r="A845" s="1">
        <v>79277.0</v>
      </c>
      <c r="B845" s="1" t="s">
        <v>3840</v>
      </c>
      <c r="C845" s="1" t="s">
        <v>3841</v>
      </c>
      <c r="D845" s="1" t="s">
        <v>3842</v>
      </c>
      <c r="E845" s="1" t="s">
        <v>3843</v>
      </c>
      <c r="F845" s="1" t="str">
        <f>"026268084X"</f>
        <v>026268084X</v>
      </c>
      <c r="G845" s="1" t="str">
        <f>"9780262680844"</f>
        <v>9780262680844</v>
      </c>
      <c r="H845" s="1">
        <v>0.0</v>
      </c>
      <c r="I845" s="1">
        <v>4.38</v>
      </c>
      <c r="J845" s="1" t="s">
        <v>3844</v>
      </c>
      <c r="K845" s="1" t="s">
        <v>44</v>
      </c>
      <c r="L845" s="1">
        <v>272.0</v>
      </c>
      <c r="M845" s="1">
        <v>1995.0</v>
      </c>
      <c r="N845" s="1">
        <v>1995.0</v>
      </c>
      <c r="P845" s="2">
        <v>45173.0</v>
      </c>
      <c r="Q845" s="1" t="s">
        <v>249</v>
      </c>
      <c r="R845" s="1" t="s">
        <v>3845</v>
      </c>
      <c r="S845" s="1" t="s">
        <v>32</v>
      </c>
      <c r="W845" s="1">
        <v>0.0</v>
      </c>
      <c r="X845" s="1">
        <v>0.0</v>
      </c>
    </row>
    <row r="846" spans="1:24" ht="15.75" customHeight="1">
      <c r="A846" s="1">
        <v>459733.0</v>
      </c>
      <c r="B846" s="1" t="s">
        <v>3846</v>
      </c>
      <c r="C846" s="1" t="s">
        <v>3847</v>
      </c>
      <c r="D846" s="1" t="s">
        <v>3848</v>
      </c>
      <c r="E846" s="1" t="s">
        <v>3849</v>
      </c>
      <c r="F846" s="1" t="str">
        <f>"156024724X"</f>
        <v>156024724X</v>
      </c>
      <c r="G846" s="1" t="str">
        <f>"9781560247241"</f>
        <v>9781560247241</v>
      </c>
      <c r="H846" s="1">
        <v>0.0</v>
      </c>
      <c r="I846" s="1">
        <v>4.67</v>
      </c>
      <c r="J846" s="1" t="s">
        <v>280</v>
      </c>
      <c r="K846" s="1" t="s">
        <v>37</v>
      </c>
      <c r="L846" s="1">
        <v>408.0</v>
      </c>
      <c r="M846" s="1">
        <v>1995.0</v>
      </c>
      <c r="N846" s="1">
        <v>1995.0</v>
      </c>
      <c r="P846" s="2">
        <v>43046.0</v>
      </c>
      <c r="Q846" s="1" t="s">
        <v>3850</v>
      </c>
      <c r="R846" s="1" t="s">
        <v>3851</v>
      </c>
      <c r="S846" s="1" t="s">
        <v>32</v>
      </c>
      <c r="W846" s="1">
        <v>0.0</v>
      </c>
      <c r="X846" s="1">
        <v>0.0</v>
      </c>
    </row>
    <row r="847" spans="1:24" ht="15.75" customHeight="1">
      <c r="A847" s="1">
        <v>3.8209727E7</v>
      </c>
      <c r="B847" s="1" t="s">
        <v>3852</v>
      </c>
      <c r="C847" s="1" t="s">
        <v>3853</v>
      </c>
      <c r="D847" s="1" t="s">
        <v>3854</v>
      </c>
      <c r="E847" s="1" t="s">
        <v>3855</v>
      </c>
      <c r="F847" s="1" t="str">
        <f>""</f>
        <v/>
      </c>
      <c r="G847" s="1" t="str">
        <f>"9781564780881"</f>
        <v>9781564780881</v>
      </c>
      <c r="H847" s="1">
        <v>0.0</v>
      </c>
      <c r="I847" s="1">
        <v>3.57</v>
      </c>
      <c r="J847" s="1" t="s">
        <v>2337</v>
      </c>
      <c r="K847" s="1" t="s">
        <v>44</v>
      </c>
      <c r="L847" s="1">
        <v>925.0</v>
      </c>
      <c r="M847" s="1">
        <v>2017.0</v>
      </c>
      <c r="N847" s="1">
        <v>1925.0</v>
      </c>
      <c r="P847" s="2">
        <v>45129.0</v>
      </c>
      <c r="Q847" s="1" t="s">
        <v>145</v>
      </c>
      <c r="R847" s="1" t="s">
        <v>3856</v>
      </c>
      <c r="S847" s="1" t="s">
        <v>32</v>
      </c>
      <c r="W847" s="1">
        <v>0.0</v>
      </c>
      <c r="X847" s="1">
        <v>0.0</v>
      </c>
    </row>
    <row r="848" spans="1:24" ht="15.75" customHeight="1">
      <c r="A848" s="1">
        <v>125251.0</v>
      </c>
      <c r="B848" s="1" t="s">
        <v>3857</v>
      </c>
      <c r="C848" s="1" t="s">
        <v>3858</v>
      </c>
      <c r="D848" s="1" t="s">
        <v>3859</v>
      </c>
      <c r="E848" s="1" t="s">
        <v>3860</v>
      </c>
      <c r="F848" s="1" t="str">
        <f>"0894108573"</f>
        <v>0894108573</v>
      </c>
      <c r="G848" s="1" t="str">
        <f>"9780894108570"</f>
        <v>9780894108570</v>
      </c>
      <c r="H848" s="1">
        <v>0.0</v>
      </c>
      <c r="I848" s="1">
        <v>4.28</v>
      </c>
      <c r="J848" s="1" t="s">
        <v>3861</v>
      </c>
      <c r="K848" s="1" t="s">
        <v>44</v>
      </c>
      <c r="L848" s="1">
        <v>117.0</v>
      </c>
      <c r="M848" s="1">
        <v>1998.0</v>
      </c>
      <c r="P848" s="3">
        <v>45255.0</v>
      </c>
      <c r="Q848" s="1" t="s">
        <v>32</v>
      </c>
      <c r="R848" s="1" t="s">
        <v>3862</v>
      </c>
      <c r="S848" s="1" t="s">
        <v>32</v>
      </c>
      <c r="W848" s="1">
        <v>0.0</v>
      </c>
      <c r="X848" s="1">
        <v>0.0</v>
      </c>
    </row>
    <row r="849" spans="1:24" ht="15.75" customHeight="1">
      <c r="A849" s="1">
        <v>1505138.0</v>
      </c>
      <c r="B849" s="1" t="s">
        <v>3863</v>
      </c>
      <c r="C849" s="1" t="s">
        <v>3864</v>
      </c>
      <c r="D849" s="1" t="s">
        <v>3865</v>
      </c>
      <c r="F849" s="1" t="str">
        <f>"0486425002"</f>
        <v>0486425002</v>
      </c>
      <c r="G849" s="1" t="str">
        <f>"9780486425009"</f>
        <v>9780486425009</v>
      </c>
      <c r="H849" s="1">
        <v>0.0</v>
      </c>
      <c r="I849" s="1">
        <v>4.0</v>
      </c>
      <c r="J849" s="1" t="s">
        <v>910</v>
      </c>
      <c r="K849" s="1" t="s">
        <v>44</v>
      </c>
      <c r="L849" s="1">
        <v>240.0</v>
      </c>
      <c r="M849" s="1">
        <v>2003.0</v>
      </c>
      <c r="N849" s="1">
        <v>1914.0</v>
      </c>
      <c r="P849" s="2">
        <v>45115.0</v>
      </c>
      <c r="Q849" s="1" t="s">
        <v>725</v>
      </c>
      <c r="R849" s="1" t="s">
        <v>3866</v>
      </c>
      <c r="S849" s="1" t="s">
        <v>32</v>
      </c>
      <c r="W849" s="1">
        <v>0.0</v>
      </c>
      <c r="X849" s="1">
        <v>0.0</v>
      </c>
    </row>
    <row r="850" spans="1:24" ht="15.75" customHeight="1">
      <c r="A850" s="1">
        <v>118317.0</v>
      </c>
      <c r="B850" s="1" t="s">
        <v>3867</v>
      </c>
      <c r="C850" s="1" t="s">
        <v>3868</v>
      </c>
      <c r="D850" s="1" t="s">
        <v>3869</v>
      </c>
      <c r="E850" s="1" t="s">
        <v>3870</v>
      </c>
      <c r="F850" s="1" t="str">
        <f>"0816612250"</f>
        <v>0816612250</v>
      </c>
      <c r="G850" s="1" t="str">
        <f>"9780816612253"</f>
        <v>9780816612253</v>
      </c>
      <c r="H850" s="1">
        <v>0.0</v>
      </c>
      <c r="I850" s="1">
        <v>4.16</v>
      </c>
      <c r="J850" s="1" t="s">
        <v>2078</v>
      </c>
      <c r="K850" s="1" t="s">
        <v>44</v>
      </c>
      <c r="L850" s="1">
        <v>400.0</v>
      </c>
      <c r="M850" s="1">
        <v>1983.0</v>
      </c>
      <c r="N850" s="1">
        <v>1972.0</v>
      </c>
      <c r="P850" s="2">
        <v>42556.0</v>
      </c>
      <c r="Q850" s="1" t="s">
        <v>45</v>
      </c>
      <c r="R850" s="1" t="s">
        <v>3871</v>
      </c>
      <c r="S850" s="1" t="s">
        <v>32</v>
      </c>
      <c r="W850" s="1">
        <v>0.0</v>
      </c>
      <c r="X850" s="1">
        <v>0.0</v>
      </c>
    </row>
    <row r="851" spans="1:24" ht="15.75" customHeight="1">
      <c r="A851" s="1">
        <v>94654.0</v>
      </c>
      <c r="B851" s="1" t="s">
        <v>3872</v>
      </c>
      <c r="C851" s="1" t="s">
        <v>3868</v>
      </c>
      <c r="D851" s="1" t="s">
        <v>3869</v>
      </c>
      <c r="E851" s="1" t="s">
        <v>3873</v>
      </c>
      <c r="F851" s="1" t="str">
        <f>"0942299558"</f>
        <v>0942299558</v>
      </c>
      <c r="G851" s="1" t="str">
        <f>"9780942299557"</f>
        <v>9780942299557</v>
      </c>
      <c r="H851" s="1">
        <v>0.0</v>
      </c>
      <c r="I851" s="1">
        <v>4.05</v>
      </c>
      <c r="J851" s="1" t="s">
        <v>3874</v>
      </c>
      <c r="K851" s="1" t="s">
        <v>44</v>
      </c>
      <c r="L851" s="1">
        <v>296.0</v>
      </c>
      <c r="M851" s="1">
        <v>1991.0</v>
      </c>
      <c r="N851" s="1">
        <v>1967.0</v>
      </c>
      <c r="P851" s="2">
        <v>43589.0</v>
      </c>
      <c r="Q851" s="1" t="s">
        <v>32</v>
      </c>
      <c r="R851" s="1" t="s">
        <v>3875</v>
      </c>
      <c r="S851" s="1" t="s">
        <v>32</v>
      </c>
      <c r="W851" s="1">
        <v>0.0</v>
      </c>
      <c r="X851" s="1">
        <v>0.0</v>
      </c>
    </row>
    <row r="852" spans="1:24" ht="15.75" customHeight="1">
      <c r="A852" s="1">
        <v>8647221.0</v>
      </c>
      <c r="B852" s="1" t="s">
        <v>3876</v>
      </c>
      <c r="C852" s="1" t="s">
        <v>3877</v>
      </c>
      <c r="D852" s="1" t="s">
        <v>3878</v>
      </c>
      <c r="E852" s="1" t="s">
        <v>3879</v>
      </c>
      <c r="F852" s="1" t="str">
        <f>"1849051070"</f>
        <v>1849051070</v>
      </c>
      <c r="G852" s="1" t="str">
        <f>"9781849051071"</f>
        <v>9781849051071</v>
      </c>
      <c r="H852" s="1">
        <v>0.0</v>
      </c>
      <c r="I852" s="1">
        <v>4.58</v>
      </c>
      <c r="J852" s="1" t="s">
        <v>3880</v>
      </c>
      <c r="K852" s="1" t="s">
        <v>44</v>
      </c>
      <c r="L852" s="1">
        <v>240.0</v>
      </c>
      <c r="M852" s="1">
        <v>2010.0</v>
      </c>
      <c r="N852" s="1">
        <v>2010.0</v>
      </c>
      <c r="P852" s="2">
        <v>45154.0</v>
      </c>
      <c r="Q852" s="1" t="s">
        <v>32</v>
      </c>
      <c r="R852" s="1" t="s">
        <v>3881</v>
      </c>
      <c r="S852" s="1" t="s">
        <v>32</v>
      </c>
      <c r="W852" s="1">
        <v>0.0</v>
      </c>
      <c r="X852" s="1">
        <v>0.0</v>
      </c>
    </row>
    <row r="853" spans="1:24" ht="15.75" customHeight="1">
      <c r="A853" s="77">
        <v>919661.0</v>
      </c>
      <c r="B853" s="77" t="s">
        <v>3882</v>
      </c>
      <c r="C853" s="77" t="s">
        <v>3883</v>
      </c>
      <c r="D853" s="77" t="s">
        <v>3884</v>
      </c>
      <c r="E853" s="77" t="s">
        <v>3885</v>
      </c>
      <c r="F853" s="77" t="str">
        <f>"189095182X"</f>
        <v>189095182X</v>
      </c>
      <c r="G853" s="77" t="str">
        <f>"9781890951825"</f>
        <v>9781890951825</v>
      </c>
      <c r="H853" s="77">
        <v>0.0</v>
      </c>
      <c r="I853" s="77">
        <v>4.09</v>
      </c>
      <c r="J853" s="77" t="s">
        <v>3874</v>
      </c>
      <c r="K853" s="77" t="s">
        <v>37</v>
      </c>
      <c r="L853" s="77">
        <v>102.0</v>
      </c>
      <c r="M853" s="77">
        <v>2007.0</v>
      </c>
      <c r="N853" s="77">
        <v>2005.0</v>
      </c>
      <c r="O853" s="78"/>
      <c r="P853" s="79">
        <v>44204.0</v>
      </c>
      <c r="Q853" s="80" t="s">
        <v>3643</v>
      </c>
      <c r="R853" s="77" t="s">
        <v>3886</v>
      </c>
      <c r="S853" s="77" t="s">
        <v>32</v>
      </c>
      <c r="T853" s="78"/>
      <c r="U853" s="78"/>
      <c r="V853" s="78"/>
      <c r="W853" s="77">
        <v>0.0</v>
      </c>
      <c r="X853" s="77">
        <v>0.0</v>
      </c>
    </row>
    <row r="854" spans="1:24" ht="15.75" customHeight="1">
      <c r="A854" s="77">
        <v>5989288.0</v>
      </c>
      <c r="B854" s="77" t="s">
        <v>3887</v>
      </c>
      <c r="C854" s="77" t="s">
        <v>3883</v>
      </c>
      <c r="D854" s="77" t="s">
        <v>3884</v>
      </c>
      <c r="E854" s="77" t="s">
        <v>3888</v>
      </c>
      <c r="F854" s="77" t="str">
        <f>"0804762309"</f>
        <v>0804762309</v>
      </c>
      <c r="G854" s="77" t="str">
        <f>"9780804762304"</f>
        <v>9780804762304</v>
      </c>
      <c r="H854" s="77">
        <v>0.0</v>
      </c>
      <c r="I854" s="77">
        <v>3.98</v>
      </c>
      <c r="J854" s="77" t="s">
        <v>3889</v>
      </c>
      <c r="K854" s="77" t="s">
        <v>44</v>
      </c>
      <c r="L854" s="77">
        <v>76.0</v>
      </c>
      <c r="M854" s="77">
        <v>2009.0</v>
      </c>
      <c r="N854" s="77">
        <v>2006.0</v>
      </c>
      <c r="O854" s="78"/>
      <c r="P854" s="79">
        <v>43969.0</v>
      </c>
      <c r="Q854" s="80" t="s">
        <v>3643</v>
      </c>
      <c r="R854" s="77" t="s">
        <v>3890</v>
      </c>
      <c r="S854" s="77" t="s">
        <v>32</v>
      </c>
      <c r="T854" s="78"/>
      <c r="U854" s="78"/>
      <c r="V854" s="78"/>
      <c r="W854" s="77">
        <v>0.0</v>
      </c>
      <c r="X854" s="77">
        <v>0.0</v>
      </c>
    </row>
    <row r="855" spans="1:24" ht="15.75" customHeight="1">
      <c r="A855" s="77">
        <v>85829.0</v>
      </c>
      <c r="B855" s="77" t="s">
        <v>3891</v>
      </c>
      <c r="C855" s="77" t="s">
        <v>3883</v>
      </c>
      <c r="D855" s="77" t="s">
        <v>3884</v>
      </c>
      <c r="E855" s="77" t="s">
        <v>3892</v>
      </c>
      <c r="F855" s="77" t="str">
        <f>"0804747385"</f>
        <v>0804747385</v>
      </c>
      <c r="G855" s="77" t="str">
        <f>"9780804747387"</f>
        <v>9780804747387</v>
      </c>
      <c r="H855" s="77">
        <v>0.0</v>
      </c>
      <c r="I855" s="77">
        <v>3.97</v>
      </c>
      <c r="J855" s="77" t="s">
        <v>3889</v>
      </c>
      <c r="K855" s="77" t="s">
        <v>44</v>
      </c>
      <c r="L855" s="77">
        <v>120.0</v>
      </c>
      <c r="M855" s="77">
        <v>2003.0</v>
      </c>
      <c r="N855" s="77">
        <v>2002.0</v>
      </c>
      <c r="O855" s="78"/>
      <c r="P855" s="79">
        <v>43969.0</v>
      </c>
      <c r="Q855" s="80" t="s">
        <v>3643</v>
      </c>
      <c r="R855" s="77" t="s">
        <v>3893</v>
      </c>
      <c r="S855" s="77" t="s">
        <v>32</v>
      </c>
      <c r="T855" s="78"/>
      <c r="U855" s="78"/>
      <c r="V855" s="78"/>
      <c r="W855" s="77">
        <v>0.0</v>
      </c>
      <c r="X855" s="77">
        <v>0.0</v>
      </c>
    </row>
    <row r="856" spans="1:24" ht="15.75" customHeight="1">
      <c r="A856" s="1">
        <v>1.6000664E7</v>
      </c>
      <c r="B856" s="1" t="s">
        <v>3894</v>
      </c>
      <c r="C856" s="1" t="s">
        <v>3895</v>
      </c>
      <c r="D856" s="1" t="s">
        <v>3896</v>
      </c>
      <c r="F856" s="1" t="str">
        <f>"0141192151"</f>
        <v>0141192151</v>
      </c>
      <c r="G856" s="1" t="str">
        <f>"9780141192154"</f>
        <v>9780141192154</v>
      </c>
      <c r="H856" s="1">
        <v>0.0</v>
      </c>
      <c r="I856" s="1">
        <v>3.82</v>
      </c>
      <c r="J856" s="1" t="s">
        <v>1023</v>
      </c>
      <c r="K856" s="1" t="s">
        <v>44</v>
      </c>
      <c r="L856" s="1">
        <v>144.0</v>
      </c>
      <c r="M856" s="1">
        <v>2012.0</v>
      </c>
      <c r="N856" s="1">
        <v>1958.0</v>
      </c>
      <c r="P856" s="2">
        <v>45094.0</v>
      </c>
      <c r="Q856" s="1" t="s">
        <v>1110</v>
      </c>
      <c r="R856" s="1" t="s">
        <v>3897</v>
      </c>
      <c r="S856" s="1" t="s">
        <v>32</v>
      </c>
      <c r="W856" s="1">
        <v>0.0</v>
      </c>
      <c r="X856" s="1">
        <v>0.0</v>
      </c>
    </row>
    <row r="857" spans="1:24" ht="15.75" customHeight="1">
      <c r="A857" s="1">
        <v>4.5555393E7</v>
      </c>
      <c r="B857" s="1" t="s">
        <v>3898</v>
      </c>
      <c r="C857" s="1" t="s">
        <v>3899</v>
      </c>
      <c r="D857" s="1" t="s">
        <v>3900</v>
      </c>
      <c r="E857" s="1" t="s">
        <v>3901</v>
      </c>
      <c r="F857" s="1" t="str">
        <f t="shared" si="57" ref="F857:G857">""</f>
        <v/>
      </c>
      <c r="G857" s="1" t="str">
        <f t="shared" si="57"/>
        <v/>
      </c>
      <c r="H857" s="1">
        <v>0.0</v>
      </c>
      <c r="I857" s="1">
        <v>3.67</v>
      </c>
      <c r="J857" s="1" t="s">
        <v>3902</v>
      </c>
      <c r="K857" s="1" t="s">
        <v>44</v>
      </c>
      <c r="L857" s="1">
        <v>124.0</v>
      </c>
      <c r="M857" s="1">
        <v>2019.0</v>
      </c>
      <c r="P857" s="3">
        <v>44910.0</v>
      </c>
      <c r="Q857" s="1" t="s">
        <v>32</v>
      </c>
      <c r="R857" s="1" t="s">
        <v>3903</v>
      </c>
      <c r="S857" s="1" t="s">
        <v>32</v>
      </c>
      <c r="W857" s="1">
        <v>0.0</v>
      </c>
      <c r="X857" s="1">
        <v>0.0</v>
      </c>
    </row>
    <row r="858" spans="1:24" ht="15.75" customHeight="1">
      <c r="A858" s="1">
        <v>3.0285138E7</v>
      </c>
      <c r="B858" s="1" t="s">
        <v>3904</v>
      </c>
      <c r="C858" s="1" t="s">
        <v>3905</v>
      </c>
      <c r="D858" s="1" t="s">
        <v>3906</v>
      </c>
      <c r="E858" s="1" t="s">
        <v>3907</v>
      </c>
      <c r="F858" s="1" t="str">
        <f>"1631492292"</f>
        <v>1631492292</v>
      </c>
      <c r="G858" s="1" t="str">
        <f>"9781631492297"</f>
        <v>9781631492297</v>
      </c>
      <c r="H858" s="1">
        <v>0.0</v>
      </c>
      <c r="I858" s="1">
        <v>3.7</v>
      </c>
      <c r="J858" s="1" t="s">
        <v>643</v>
      </c>
      <c r="K858" s="1" t="s">
        <v>37</v>
      </c>
      <c r="L858" s="1">
        <v>224.0</v>
      </c>
      <c r="M858" s="1">
        <v>2017.0</v>
      </c>
      <c r="N858" s="1">
        <v>1977.0</v>
      </c>
      <c r="P858" s="2">
        <v>45300.0</v>
      </c>
      <c r="Q858" s="1" t="s">
        <v>502</v>
      </c>
      <c r="R858" s="1" t="s">
        <v>3908</v>
      </c>
      <c r="S858" s="1" t="s">
        <v>32</v>
      </c>
      <c r="W858" s="1">
        <v>0.0</v>
      </c>
      <c r="X858" s="1">
        <v>0.0</v>
      </c>
    </row>
    <row r="859" spans="1:24" ht="15.75" customHeight="1">
      <c r="A859" s="1">
        <v>1.3195198E7</v>
      </c>
      <c r="B859" s="1" t="s">
        <v>3909</v>
      </c>
      <c r="C859" s="1" t="s">
        <v>3910</v>
      </c>
      <c r="D859" s="1" t="s">
        <v>3911</v>
      </c>
      <c r="F859" s="1" t="str">
        <f>"8492403241"</f>
        <v>8492403241</v>
      </c>
      <c r="G859" s="1" t="str">
        <f>"9788492403240"</f>
        <v>9788492403240</v>
      </c>
      <c r="H859" s="1">
        <v>0.0</v>
      </c>
      <c r="I859" s="1">
        <v>4.15</v>
      </c>
      <c r="J859" s="1" t="s">
        <v>3912</v>
      </c>
      <c r="K859" s="1" t="s">
        <v>44</v>
      </c>
      <c r="L859" s="1">
        <v>128.0</v>
      </c>
      <c r="M859" s="1">
        <v>2011.0</v>
      </c>
      <c r="N859" s="1">
        <v>1907.0</v>
      </c>
      <c r="P859" s="2">
        <v>44252.0</v>
      </c>
      <c r="Q859" s="1" t="s">
        <v>32</v>
      </c>
      <c r="R859" s="1" t="s">
        <v>3913</v>
      </c>
      <c r="S859" s="1" t="s">
        <v>32</v>
      </c>
      <c r="W859" s="1">
        <v>0.0</v>
      </c>
      <c r="X859" s="1">
        <v>0.0</v>
      </c>
    </row>
    <row r="860" spans="1:24" ht="15.75" customHeight="1">
      <c r="A860" s="1">
        <v>1380489.0</v>
      </c>
      <c r="B860" s="1" t="s">
        <v>3914</v>
      </c>
      <c r="C860" s="1" t="s">
        <v>3915</v>
      </c>
      <c r="D860" s="1" t="s">
        <v>3916</v>
      </c>
      <c r="E860" s="1" t="s">
        <v>3917</v>
      </c>
      <c r="F860" s="1" t="str">
        <f>"0895267136"</f>
        <v>0895267136</v>
      </c>
      <c r="G860" s="1" t="str">
        <f>"9780895267139"</f>
        <v>9780895267139</v>
      </c>
      <c r="H860" s="1">
        <v>0.0</v>
      </c>
      <c r="I860" s="1">
        <v>3.7</v>
      </c>
      <c r="J860" s="1" t="s">
        <v>3918</v>
      </c>
      <c r="K860" s="1" t="s">
        <v>44</v>
      </c>
      <c r="L860" s="1">
        <v>71.0</v>
      </c>
      <c r="M860" s="1">
        <v>1996.0</v>
      </c>
      <c r="N860" s="1">
        <v>1486.0</v>
      </c>
      <c r="P860" s="2">
        <v>45163.0</v>
      </c>
      <c r="Q860" s="1" t="s">
        <v>32</v>
      </c>
      <c r="R860" s="1" t="s">
        <v>3919</v>
      </c>
      <c r="S860" s="1" t="s">
        <v>32</v>
      </c>
      <c r="W860" s="1">
        <v>0.0</v>
      </c>
      <c r="X860" s="1">
        <v>0.0</v>
      </c>
    </row>
    <row r="861" spans="1:24" ht="15.75" customHeight="1">
      <c r="A861" s="1">
        <v>915979.0</v>
      </c>
      <c r="B861" s="1" t="s">
        <v>3920</v>
      </c>
      <c r="C861" s="1" t="s">
        <v>3921</v>
      </c>
      <c r="D861" s="1" t="s">
        <v>3922</v>
      </c>
      <c r="F861" s="1" t="str">
        <f>"0712662979"</f>
        <v>0712662979</v>
      </c>
      <c r="G861" s="1" t="str">
        <f>"9780712662970"</f>
        <v>9780712662970</v>
      </c>
      <c r="H861" s="1">
        <v>0.0</v>
      </c>
      <c r="I861" s="1">
        <v>3.91</v>
      </c>
      <c r="J861" s="1" t="s">
        <v>3923</v>
      </c>
      <c r="K861" s="1" t="s">
        <v>44</v>
      </c>
      <c r="L861" s="1">
        <v>336.0</v>
      </c>
      <c r="M861" s="1">
        <v>1995.0</v>
      </c>
      <c r="N861" s="1">
        <v>1972.0</v>
      </c>
      <c r="P861" s="2">
        <v>43952.0</v>
      </c>
      <c r="Q861" s="1" t="s">
        <v>32</v>
      </c>
      <c r="R861" s="1" t="s">
        <v>3924</v>
      </c>
      <c r="S861" s="1" t="s">
        <v>32</v>
      </c>
      <c r="W861" s="1">
        <v>0.0</v>
      </c>
      <c r="X861" s="1">
        <v>0.0</v>
      </c>
    </row>
    <row r="862" spans="1:24" ht="15.75" customHeight="1">
      <c r="A862" s="1">
        <v>911425.0</v>
      </c>
      <c r="B862" s="1" t="s">
        <v>3925</v>
      </c>
      <c r="C862" s="1" t="s">
        <v>3926</v>
      </c>
      <c r="D862" s="1" t="s">
        <v>3927</v>
      </c>
      <c r="E862" s="1" t="s">
        <v>3928</v>
      </c>
      <c r="F862" s="1" t="str">
        <f>"0816045259"</f>
        <v>0816045259</v>
      </c>
      <c r="G862" s="1" t="str">
        <f>"9780816045259"</f>
        <v>9780816045259</v>
      </c>
      <c r="H862" s="1">
        <v>0.0</v>
      </c>
      <c r="I862" s="1">
        <v>3.3</v>
      </c>
      <c r="J862" s="1" t="s">
        <v>3929</v>
      </c>
      <c r="K862" s="1" t="s">
        <v>37</v>
      </c>
      <c r="M862" s="1">
        <v>2003.0</v>
      </c>
      <c r="N862" s="1">
        <v>1988.0</v>
      </c>
      <c r="P862" s="2">
        <v>45189.0</v>
      </c>
      <c r="Q862" s="1" t="s">
        <v>249</v>
      </c>
      <c r="R862" s="1" t="s">
        <v>3930</v>
      </c>
      <c r="S862" s="1" t="s">
        <v>32</v>
      </c>
      <c r="W862" s="1">
        <v>0.0</v>
      </c>
      <c r="X862" s="1">
        <v>0.0</v>
      </c>
    </row>
    <row r="863" spans="1:24" ht="15.75" customHeight="1">
      <c r="A863" s="1">
        <v>9632051.0</v>
      </c>
      <c r="B863" s="1" t="s">
        <v>3931</v>
      </c>
      <c r="C863" s="1" t="s">
        <v>3932</v>
      </c>
      <c r="D863" s="1" t="s">
        <v>3933</v>
      </c>
      <c r="E863" s="1" t="s">
        <v>3934</v>
      </c>
      <c r="F863" s="1" t="str">
        <f>"1564786277"</f>
        <v>1564786277</v>
      </c>
      <c r="G863" s="1" t="str">
        <f>"9781564786272"</f>
        <v>9781564786272</v>
      </c>
      <c r="H863" s="1">
        <v>0.0</v>
      </c>
      <c r="I863" s="1">
        <v>4.1</v>
      </c>
      <c r="J863" s="1" t="s">
        <v>2337</v>
      </c>
      <c r="K863" s="1" t="s">
        <v>44</v>
      </c>
      <c r="L863" s="1">
        <v>342.0</v>
      </c>
      <c r="M863" s="1">
        <v>2011.0</v>
      </c>
      <c r="N863" s="1">
        <v>2007.0</v>
      </c>
      <c r="P863" s="2">
        <v>45115.0</v>
      </c>
      <c r="Q863" s="1" t="s">
        <v>32</v>
      </c>
      <c r="R863" s="1" t="s">
        <v>3935</v>
      </c>
      <c r="S863" s="1" t="s">
        <v>32</v>
      </c>
      <c r="W863" s="1">
        <v>0.0</v>
      </c>
      <c r="X863" s="1">
        <v>0.0</v>
      </c>
    </row>
    <row r="864" spans="1:24" ht="15.75" customHeight="1">
      <c r="A864" s="1">
        <v>3.2588635E7</v>
      </c>
      <c r="B864" s="1" t="s">
        <v>3936</v>
      </c>
      <c r="C864" s="1" t="s">
        <v>3937</v>
      </c>
      <c r="D864" s="1" t="s">
        <v>3938</v>
      </c>
      <c r="F864" s="1" t="str">
        <f t="shared" si="58" ref="F864:G864">""</f>
        <v/>
      </c>
      <c r="G864" s="1" t="str">
        <f t="shared" si="58"/>
        <v/>
      </c>
      <c r="H864" s="1">
        <v>0.0</v>
      </c>
      <c r="I864" s="1">
        <v>0.0</v>
      </c>
      <c r="J864" s="1" t="s">
        <v>3939</v>
      </c>
      <c r="K864" s="1" t="s">
        <v>29</v>
      </c>
      <c r="L864" s="1">
        <v>231.0</v>
      </c>
      <c r="M864" s="1">
        <v>2013.0</v>
      </c>
      <c r="P864" s="2">
        <v>43976.0</v>
      </c>
      <c r="Q864" s="1" t="s">
        <v>32</v>
      </c>
      <c r="R864" s="1" t="s">
        <v>3940</v>
      </c>
      <c r="S864" s="1" t="s">
        <v>32</v>
      </c>
      <c r="W864" s="1">
        <v>0.0</v>
      </c>
      <c r="X864" s="1">
        <v>0.0</v>
      </c>
    </row>
    <row r="865" spans="1:24" ht="15.75" customHeight="1">
      <c r="A865" s="1">
        <v>3100548.0</v>
      </c>
      <c r="B865" s="1" t="s">
        <v>3941</v>
      </c>
      <c r="C865" s="1" t="s">
        <v>3942</v>
      </c>
      <c r="D865" s="1" t="s">
        <v>3943</v>
      </c>
      <c r="F865" s="1" t="str">
        <f>"0552130079"</f>
        <v>0552130079</v>
      </c>
      <c r="G865" s="1" t="str">
        <f>"9780552130073"</f>
        <v>9780552130073</v>
      </c>
      <c r="H865" s="1">
        <v>0.0</v>
      </c>
      <c r="I865" s="1">
        <v>3.73</v>
      </c>
      <c r="J865" s="1" t="s">
        <v>3944</v>
      </c>
      <c r="K865" s="1" t="s">
        <v>44</v>
      </c>
      <c r="L865" s="1">
        <v>544.0</v>
      </c>
      <c r="M865" s="1">
        <v>1989.0</v>
      </c>
      <c r="N865" s="1">
        <v>1987.0</v>
      </c>
      <c r="P865" s="3">
        <v>45271.0</v>
      </c>
      <c r="Q865" s="1" t="s">
        <v>3945</v>
      </c>
      <c r="R865" s="1" t="s">
        <v>3946</v>
      </c>
      <c r="S865" s="1" t="s">
        <v>32</v>
      </c>
      <c r="W865" s="1">
        <v>0.0</v>
      </c>
      <c r="X865" s="1">
        <v>0.0</v>
      </c>
    </row>
    <row r="866" spans="1:24" ht="15.75" customHeight="1">
      <c r="A866" s="1">
        <v>1189914.0</v>
      </c>
      <c r="B866" s="1" t="s">
        <v>3947</v>
      </c>
      <c r="C866" s="1" t="s">
        <v>3948</v>
      </c>
      <c r="D866" s="1" t="s">
        <v>3949</v>
      </c>
      <c r="F866" s="1" t="str">
        <f>"0349106576"</f>
        <v>0349106576</v>
      </c>
      <c r="G866" s="1" t="str">
        <f>"9780349106571"</f>
        <v>9780349106571</v>
      </c>
      <c r="H866" s="1">
        <v>0.0</v>
      </c>
      <c r="I866" s="1">
        <v>3.84</v>
      </c>
      <c r="J866" s="1" t="s">
        <v>3950</v>
      </c>
      <c r="K866" s="1" t="s">
        <v>44</v>
      </c>
      <c r="L866" s="1">
        <v>186.0</v>
      </c>
      <c r="M866" s="1">
        <v>1997.0</v>
      </c>
      <c r="N866" s="1">
        <v>1948.0</v>
      </c>
      <c r="O866" s="2">
        <v>41763.0</v>
      </c>
      <c r="P866" s="2">
        <v>41746.0</v>
      </c>
      <c r="S866" s="1" t="s">
        <v>271</v>
      </c>
      <c r="W866" s="1">
        <v>1.0</v>
      </c>
      <c r="X866" s="1">
        <v>0.0</v>
      </c>
    </row>
    <row r="867" spans="1:24" ht="15.75" customHeight="1">
      <c r="A867" s="1">
        <v>254031.0</v>
      </c>
      <c r="B867" s="1" t="s">
        <v>3951</v>
      </c>
      <c r="C867" s="1" t="s">
        <v>3952</v>
      </c>
      <c r="D867" s="1" t="s">
        <v>3953</v>
      </c>
      <c r="F867" s="1" t="str">
        <f>"088682348X"</f>
        <v>088682348X</v>
      </c>
      <c r="G867" s="1" t="str">
        <f>"9780886823481"</f>
        <v>9780886823481</v>
      </c>
      <c r="H867" s="1">
        <v>0.0</v>
      </c>
      <c r="I867" s="1">
        <v>3.86</v>
      </c>
      <c r="J867" s="1" t="s">
        <v>3954</v>
      </c>
      <c r="K867" s="1" t="s">
        <v>1745</v>
      </c>
      <c r="L867" s="1">
        <v>40.0</v>
      </c>
      <c r="M867" s="1">
        <v>1989.0</v>
      </c>
      <c r="N867" s="1">
        <v>1955.0</v>
      </c>
      <c r="P867" s="3">
        <v>45246.0</v>
      </c>
      <c r="Q867" s="1" t="s">
        <v>32</v>
      </c>
      <c r="R867" s="1" t="s">
        <v>3955</v>
      </c>
      <c r="S867" s="1" t="s">
        <v>32</v>
      </c>
      <c r="W867" s="1">
        <v>0.0</v>
      </c>
      <c r="X867" s="1">
        <v>0.0</v>
      </c>
    </row>
    <row r="868" spans="1:24" ht="15.75" customHeight="1">
      <c r="A868" s="1">
        <v>29641.0</v>
      </c>
      <c r="B868" s="1" t="s">
        <v>3956</v>
      </c>
      <c r="C868" s="1" t="s">
        <v>3952</v>
      </c>
      <c r="D868" s="1" t="s">
        <v>3953</v>
      </c>
      <c r="E868" s="1" t="s">
        <v>3957</v>
      </c>
      <c r="F868" s="1" t="str">
        <f t="shared" si="59" ref="F868:G868">""</f>
        <v/>
      </c>
      <c r="G868" s="1" t="str">
        <f t="shared" si="59"/>
        <v/>
      </c>
      <c r="H868" s="1">
        <v>0.0</v>
      </c>
      <c r="I868" s="1">
        <v>3.9</v>
      </c>
      <c r="J868" s="1" t="s">
        <v>393</v>
      </c>
      <c r="K868" s="1" t="s">
        <v>44</v>
      </c>
      <c r="L868" s="1">
        <v>160.0</v>
      </c>
      <c r="M868" s="1">
        <v>2004.0</v>
      </c>
      <c r="N868" s="1">
        <v>1951.0</v>
      </c>
      <c r="P868" s="3">
        <v>44484.0</v>
      </c>
      <c r="Q868" s="1" t="s">
        <v>32</v>
      </c>
      <c r="R868" s="1" t="s">
        <v>3958</v>
      </c>
      <c r="S868" s="1" t="s">
        <v>32</v>
      </c>
      <c r="W868" s="1">
        <v>0.0</v>
      </c>
      <c r="X868" s="1">
        <v>0.0</v>
      </c>
    </row>
    <row r="869" spans="1:24" ht="15.75" customHeight="1">
      <c r="A869" s="1">
        <v>7507561.0</v>
      </c>
      <c r="B869" s="1" t="s">
        <v>3959</v>
      </c>
      <c r="C869" s="1" t="s">
        <v>3960</v>
      </c>
      <c r="D869" s="1" t="s">
        <v>3961</v>
      </c>
      <c r="F869" s="1" t="str">
        <f>"1402768966"</f>
        <v>1402768966</v>
      </c>
      <c r="G869" s="1" t="str">
        <f>"9781402768965"</f>
        <v>9781402768965</v>
      </c>
      <c r="H869" s="1">
        <v>0.0</v>
      </c>
      <c r="I869" s="1">
        <v>3.31</v>
      </c>
      <c r="J869" s="1" t="s">
        <v>3962</v>
      </c>
      <c r="K869" s="1" t="s">
        <v>37</v>
      </c>
      <c r="L869" s="1">
        <v>182.0</v>
      </c>
      <c r="M869" s="1">
        <v>2010.0</v>
      </c>
      <c r="N869" s="1">
        <v>2000.0</v>
      </c>
      <c r="P869" s="2">
        <v>45153.0</v>
      </c>
      <c r="Q869" s="1" t="s">
        <v>32</v>
      </c>
      <c r="R869" s="1" t="s">
        <v>3963</v>
      </c>
      <c r="S869" s="1" t="s">
        <v>32</v>
      </c>
      <c r="W869" s="1">
        <v>0.0</v>
      </c>
      <c r="X869" s="1">
        <v>0.0</v>
      </c>
    </row>
    <row r="870" spans="1:24" ht="15.75" customHeight="1">
      <c r="A870" s="1">
        <v>5068.0</v>
      </c>
      <c r="B870" s="1" t="s">
        <v>3964</v>
      </c>
      <c r="C870" s="1" t="s">
        <v>3965</v>
      </c>
      <c r="D870" s="1" t="s">
        <v>3966</v>
      </c>
      <c r="F870" s="1" t="str">
        <f>"0330489674"</f>
        <v>0330489674</v>
      </c>
      <c r="G870" s="1" t="str">
        <f>"9780330489676"</f>
        <v>9780330489676</v>
      </c>
      <c r="H870" s="1">
        <v>0.0</v>
      </c>
      <c r="I870" s="1">
        <v>3.67</v>
      </c>
      <c r="J870" s="1" t="s">
        <v>1006</v>
      </c>
      <c r="K870" s="1" t="s">
        <v>44</v>
      </c>
      <c r="L870" s="1">
        <v>296.0</v>
      </c>
      <c r="M870" s="1">
        <v>2001.0</v>
      </c>
      <c r="N870" s="1">
        <v>1996.0</v>
      </c>
      <c r="P870" s="2">
        <v>45111.0</v>
      </c>
      <c r="Q870" s="1" t="s">
        <v>261</v>
      </c>
      <c r="R870" s="1" t="s">
        <v>3967</v>
      </c>
      <c r="S870" s="1" t="s">
        <v>32</v>
      </c>
      <c r="W870" s="1">
        <v>0.0</v>
      </c>
      <c r="X870" s="1">
        <v>0.0</v>
      </c>
    </row>
    <row r="871" spans="1:24" ht="15.75" customHeight="1">
      <c r="A871" s="1">
        <v>496683.0</v>
      </c>
      <c r="B871" s="1" t="s">
        <v>3968</v>
      </c>
      <c r="C871" s="1" t="s">
        <v>3969</v>
      </c>
      <c r="D871" s="1" t="s">
        <v>3970</v>
      </c>
      <c r="F871" s="1" t="str">
        <f>"0805083235"</f>
        <v>0805083235</v>
      </c>
      <c r="G871" s="1" t="str">
        <f>"9780805083231"</f>
        <v>9780805083231</v>
      </c>
      <c r="H871" s="1">
        <v>0.0</v>
      </c>
      <c r="I871" s="1">
        <v>4.04</v>
      </c>
      <c r="J871" s="1" t="s">
        <v>507</v>
      </c>
      <c r="K871" s="1" t="s">
        <v>44</v>
      </c>
      <c r="L871" s="1">
        <v>320.0</v>
      </c>
      <c r="M871" s="1">
        <v>2007.0</v>
      </c>
      <c r="N871" s="1">
        <v>2006.0</v>
      </c>
      <c r="P871" s="3">
        <v>44165.0</v>
      </c>
      <c r="Q871" s="1" t="s">
        <v>479</v>
      </c>
      <c r="R871" s="1" t="s">
        <v>3971</v>
      </c>
      <c r="S871" s="1" t="s">
        <v>32</v>
      </c>
      <c r="W871" s="1">
        <v>0.0</v>
      </c>
      <c r="X871" s="1">
        <v>0.0</v>
      </c>
    </row>
    <row r="872" spans="1:24" ht="15.75" customHeight="1">
      <c r="A872" s="1">
        <v>4.1551923E7</v>
      </c>
      <c r="B872" s="1" t="s">
        <v>3972</v>
      </c>
      <c r="C872" s="1" t="s">
        <v>3973</v>
      </c>
      <c r="D872" s="1" t="s">
        <v>3974</v>
      </c>
      <c r="F872" s="1" t="str">
        <f>"0199946124"</f>
        <v>0199946124</v>
      </c>
      <c r="G872" s="1" t="str">
        <f>"9780199946129"</f>
        <v>9780199946129</v>
      </c>
      <c r="H872" s="1">
        <v>0.0</v>
      </c>
      <c r="I872" s="1">
        <v>3.73</v>
      </c>
      <c r="J872" s="1" t="s">
        <v>181</v>
      </c>
      <c r="K872" s="1" t="s">
        <v>37</v>
      </c>
      <c r="L872" s="1">
        <v>499.0</v>
      </c>
      <c r="M872" s="1">
        <v>2019.0</v>
      </c>
      <c r="P872" s="3">
        <v>44484.0</v>
      </c>
      <c r="Q872" s="1" t="s">
        <v>138</v>
      </c>
      <c r="R872" s="1" t="s">
        <v>3975</v>
      </c>
      <c r="S872" s="1" t="s">
        <v>32</v>
      </c>
      <c r="W872" s="1">
        <v>0.0</v>
      </c>
      <c r="X872" s="1">
        <v>0.0</v>
      </c>
    </row>
    <row r="873" spans="1:24" ht="15.75" customHeight="1">
      <c r="A873" s="1">
        <v>3.4916749E7</v>
      </c>
      <c r="B873" s="1" t="s">
        <v>3976</v>
      </c>
      <c r="C873" s="1" t="s">
        <v>3977</v>
      </c>
      <c r="D873" s="1" t="s">
        <v>3978</v>
      </c>
      <c r="E873" s="1" t="s">
        <v>3979</v>
      </c>
      <c r="F873" s="1" t="str">
        <f>"0997391642"</f>
        <v>0997391642</v>
      </c>
      <c r="G873" s="1" t="str">
        <f>"9780997391640"</f>
        <v>9780997391640</v>
      </c>
      <c r="H873" s="1">
        <v>0.0</v>
      </c>
      <c r="I873" s="1">
        <v>5.0</v>
      </c>
      <c r="J873" s="1" t="s">
        <v>3980</v>
      </c>
      <c r="K873" s="1" t="s">
        <v>37</v>
      </c>
      <c r="L873" s="1">
        <v>160.0</v>
      </c>
      <c r="M873" s="1">
        <v>2017.0</v>
      </c>
      <c r="P873" s="2">
        <v>45161.0</v>
      </c>
      <c r="Q873" s="1" t="s">
        <v>1821</v>
      </c>
      <c r="R873" s="1" t="s">
        <v>3981</v>
      </c>
      <c r="S873" s="1" t="s">
        <v>32</v>
      </c>
      <c r="W873" s="1">
        <v>0.0</v>
      </c>
      <c r="X873" s="1">
        <v>1.0</v>
      </c>
    </row>
    <row r="874" spans="1:24" ht="15.75" customHeight="1">
      <c r="A874" s="1">
        <v>152435.0</v>
      </c>
      <c r="B874" s="1" t="s">
        <v>3982</v>
      </c>
      <c r="C874" s="1" t="s">
        <v>3983</v>
      </c>
      <c r="D874" s="1" t="s">
        <v>3984</v>
      </c>
      <c r="F874" s="1" t="str">
        <f>"0226039056"</f>
        <v>0226039056</v>
      </c>
      <c r="G874" s="1" t="str">
        <f>"9780226039053"</f>
        <v>9780226039053</v>
      </c>
      <c r="H874" s="1">
        <v>0.0</v>
      </c>
      <c r="I874" s="1">
        <v>4.25</v>
      </c>
      <c r="J874" s="1" t="s">
        <v>78</v>
      </c>
      <c r="K874" s="1" t="s">
        <v>44</v>
      </c>
      <c r="L874" s="1">
        <v>533.0</v>
      </c>
      <c r="M874" s="1">
        <v>2000.0</v>
      </c>
      <c r="N874" s="1">
        <v>1972.0</v>
      </c>
      <c r="P874" s="2">
        <v>45181.0</v>
      </c>
      <c r="Q874" s="1" t="s">
        <v>3985</v>
      </c>
      <c r="R874" s="1" t="s">
        <v>3986</v>
      </c>
      <c r="S874" s="1" t="s">
        <v>32</v>
      </c>
      <c r="W874" s="1">
        <v>0.0</v>
      </c>
      <c r="X874" s="1">
        <v>0.0</v>
      </c>
    </row>
    <row r="875" spans="1:24" ht="15.75" customHeight="1">
      <c r="A875" s="1">
        <v>1.624158E7</v>
      </c>
      <c r="B875" s="1" t="s">
        <v>3987</v>
      </c>
      <c r="C875" s="1" t="s">
        <v>3988</v>
      </c>
      <c r="D875" s="1" t="s">
        <v>3989</v>
      </c>
      <c r="F875" s="1" t="str">
        <f>"0674073401"</f>
        <v>0674073401</v>
      </c>
      <c r="G875" s="1" t="str">
        <f>"9780674073401"</f>
        <v>9780674073401</v>
      </c>
      <c r="H875" s="1">
        <v>0.0</v>
      </c>
      <c r="I875" s="1">
        <v>4.19</v>
      </c>
      <c r="J875" s="1" t="s">
        <v>985</v>
      </c>
      <c r="K875" s="1" t="s">
        <v>37</v>
      </c>
      <c r="L875" s="1">
        <v>752.0</v>
      </c>
      <c r="M875" s="1">
        <v>2013.0</v>
      </c>
      <c r="N875" s="1">
        <v>2013.0</v>
      </c>
      <c r="P875" s="2">
        <v>45115.0</v>
      </c>
      <c r="Q875" s="1" t="s">
        <v>32</v>
      </c>
      <c r="R875" s="1" t="s">
        <v>3990</v>
      </c>
      <c r="S875" s="1" t="s">
        <v>32</v>
      </c>
      <c r="W875" s="1">
        <v>0.0</v>
      </c>
      <c r="X875" s="1">
        <v>0.0</v>
      </c>
    </row>
    <row r="876" spans="1:24" ht="15.75" customHeight="1">
      <c r="A876" s="1">
        <v>2398427.0</v>
      </c>
      <c r="B876" s="1" t="s">
        <v>3991</v>
      </c>
      <c r="C876" s="1" t="s">
        <v>3992</v>
      </c>
      <c r="D876" s="1" t="s">
        <v>3993</v>
      </c>
      <c r="F876" s="1" t="str">
        <f>"9508891149"</f>
        <v>9508891149</v>
      </c>
      <c r="G876" s="1" t="str">
        <f>"9789508891143"</f>
        <v>9789508891143</v>
      </c>
      <c r="H876" s="1">
        <v>0.0</v>
      </c>
      <c r="I876" s="1">
        <v>0.0</v>
      </c>
      <c r="J876" s="1" t="s">
        <v>3994</v>
      </c>
      <c r="K876" s="1" t="s">
        <v>44</v>
      </c>
      <c r="L876" s="1">
        <v>240.0</v>
      </c>
      <c r="M876" s="1">
        <v>2006.0</v>
      </c>
      <c r="N876" s="1">
        <v>2005.0</v>
      </c>
      <c r="P876" s="2">
        <v>45137.0</v>
      </c>
      <c r="Q876" s="1" t="s">
        <v>1821</v>
      </c>
      <c r="R876" s="1" t="s">
        <v>3995</v>
      </c>
      <c r="S876" s="1" t="s">
        <v>32</v>
      </c>
      <c r="W876" s="1">
        <v>0.0</v>
      </c>
      <c r="X876" s="1">
        <v>1.0</v>
      </c>
    </row>
    <row r="877" spans="1:24" ht="15.75" customHeight="1">
      <c r="A877" s="1">
        <v>3.1545354E7</v>
      </c>
      <c r="B877" s="1" t="s">
        <v>3996</v>
      </c>
      <c r="C877" s="1" t="s">
        <v>3997</v>
      </c>
      <c r="D877" s="1" t="s">
        <v>3998</v>
      </c>
      <c r="E877" s="1" t="s">
        <v>3999</v>
      </c>
      <c r="F877" s="1" t="str">
        <f>"1681370786"</f>
        <v>1681370786</v>
      </c>
      <c r="G877" s="1" t="str">
        <f>"9781681370781"</f>
        <v>9781681370781</v>
      </c>
      <c r="H877" s="1">
        <v>0.0</v>
      </c>
      <c r="I877" s="1">
        <v>3.82</v>
      </c>
      <c r="J877" s="1" t="s">
        <v>823</v>
      </c>
      <c r="K877" s="1" t="s">
        <v>44</v>
      </c>
      <c r="L877" s="1">
        <v>324.0</v>
      </c>
      <c r="M877" s="1">
        <v>2017.0</v>
      </c>
      <c r="N877" s="1">
        <v>1976.0</v>
      </c>
      <c r="P877" s="3">
        <v>44181.0</v>
      </c>
      <c r="Q877" s="1" t="s">
        <v>32</v>
      </c>
      <c r="R877" s="1" t="s">
        <v>4000</v>
      </c>
      <c r="S877" s="1" t="s">
        <v>32</v>
      </c>
      <c r="W877" s="1">
        <v>0.0</v>
      </c>
      <c r="X877" s="1">
        <v>0.0</v>
      </c>
    </row>
    <row r="878" spans="1:24" ht="15.75" customHeight="1">
      <c r="A878" s="1">
        <v>9706031.0</v>
      </c>
      <c r="B878" s="1" t="s">
        <v>4001</v>
      </c>
      <c r="C878" s="1" t="s">
        <v>3997</v>
      </c>
      <c r="D878" s="1" t="s">
        <v>3998</v>
      </c>
      <c r="F878" s="1" t="str">
        <f>"8845906337"</f>
        <v>8845906337</v>
      </c>
      <c r="G878" s="1" t="str">
        <f>"9788845906336"</f>
        <v>9788845906336</v>
      </c>
      <c r="H878" s="1">
        <v>0.0</v>
      </c>
      <c r="I878" s="1">
        <v>3.81</v>
      </c>
      <c r="J878" s="1" t="s">
        <v>4002</v>
      </c>
      <c r="K878" s="1" t="s">
        <v>44</v>
      </c>
      <c r="L878" s="1">
        <v>154.0</v>
      </c>
      <c r="M878" s="1">
        <v>1985.0</v>
      </c>
      <c r="N878" s="1">
        <v>1977.0</v>
      </c>
      <c r="P878" s="3">
        <v>44181.0</v>
      </c>
      <c r="Q878" s="1" t="s">
        <v>32</v>
      </c>
      <c r="R878" s="1" t="s">
        <v>4003</v>
      </c>
      <c r="S878" s="1" t="s">
        <v>32</v>
      </c>
      <c r="W878" s="1">
        <v>0.0</v>
      </c>
      <c r="X878" s="1">
        <v>0.0</v>
      </c>
    </row>
    <row r="879" spans="1:24" ht="15.75" customHeight="1">
      <c r="A879" s="1">
        <v>1.3277571E7</v>
      </c>
      <c r="B879" s="1" t="s">
        <v>4004</v>
      </c>
      <c r="C879" s="1" t="s">
        <v>4005</v>
      </c>
      <c r="D879" s="1" t="s">
        <v>4006</v>
      </c>
      <c r="E879" s="1" t="s">
        <v>4007</v>
      </c>
      <c r="F879" s="1" t="str">
        <f>"0062082841"</f>
        <v>0062082841</v>
      </c>
      <c r="G879" s="1" t="str">
        <f>"9780062082848"</f>
        <v>9780062082848</v>
      </c>
      <c r="H879" s="1">
        <v>0.0</v>
      </c>
      <c r="I879" s="1">
        <v>4.52</v>
      </c>
      <c r="J879" s="1" t="s">
        <v>558</v>
      </c>
      <c r="K879" s="1" t="s">
        <v>37</v>
      </c>
      <c r="L879" s="1">
        <v>263.0</v>
      </c>
      <c r="M879" s="1">
        <v>2013.0</v>
      </c>
      <c r="N879" s="1">
        <v>2013.0</v>
      </c>
      <c r="P879" s="2">
        <v>45154.0</v>
      </c>
      <c r="Q879" s="1" t="s">
        <v>32</v>
      </c>
      <c r="R879" s="1" t="s">
        <v>4008</v>
      </c>
      <c r="S879" s="1" t="s">
        <v>32</v>
      </c>
      <c r="W879" s="1">
        <v>0.0</v>
      </c>
      <c r="X879" s="1">
        <v>0.0</v>
      </c>
    </row>
    <row r="880" spans="1:24" ht="15.75" customHeight="1">
      <c r="A880" s="1">
        <v>4569952.0</v>
      </c>
      <c r="B880" s="1" t="s">
        <v>4009</v>
      </c>
      <c r="C880" s="1" t="s">
        <v>4010</v>
      </c>
      <c r="D880" s="1" t="s">
        <v>4011</v>
      </c>
      <c r="E880" s="1" t="s">
        <v>4012</v>
      </c>
      <c r="F880" s="1" t="str">
        <f>"1590784723"</f>
        <v>1590784723</v>
      </c>
      <c r="G880" s="1" t="str">
        <f>"9781590784723"</f>
        <v>9781590784723</v>
      </c>
      <c r="H880" s="1">
        <v>0.0</v>
      </c>
      <c r="I880" s="1">
        <v>3.59</v>
      </c>
      <c r="J880" s="1" t="s">
        <v>4013</v>
      </c>
      <c r="K880" s="1" t="s">
        <v>37</v>
      </c>
      <c r="L880" s="1">
        <v>118.0</v>
      </c>
      <c r="M880" s="1">
        <v>2008.0</v>
      </c>
      <c r="N880" s="1">
        <v>2006.0</v>
      </c>
      <c r="P880" s="3">
        <v>41626.0</v>
      </c>
      <c r="Q880" s="1" t="s">
        <v>32</v>
      </c>
      <c r="R880" s="1" t="s">
        <v>4014</v>
      </c>
      <c r="S880" s="1" t="s">
        <v>32</v>
      </c>
      <c r="W880" s="1">
        <v>0.0</v>
      </c>
      <c r="X880" s="1">
        <v>0.0</v>
      </c>
    </row>
    <row r="881" spans="1:24" ht="15.75" customHeight="1">
      <c r="A881" s="1">
        <v>775155.0</v>
      </c>
      <c r="B881" s="1" t="s">
        <v>4015</v>
      </c>
      <c r="C881" s="1" t="s">
        <v>4016</v>
      </c>
      <c r="D881" s="1" t="s">
        <v>4017</v>
      </c>
      <c r="E881" s="1" t="s">
        <v>3177</v>
      </c>
      <c r="F881" s="1" t="str">
        <f>"0156319357"</f>
        <v>0156319357</v>
      </c>
      <c r="G881" s="1" t="str">
        <f>"9780156319355"</f>
        <v>9780156319355</v>
      </c>
      <c r="H881" s="1">
        <v>0.0</v>
      </c>
      <c r="I881" s="1">
        <v>3.79</v>
      </c>
      <c r="J881" s="1" t="s">
        <v>4018</v>
      </c>
      <c r="K881" s="1" t="s">
        <v>44</v>
      </c>
      <c r="L881" s="1">
        <v>547.0</v>
      </c>
      <c r="M881" s="1">
        <v>1989.0</v>
      </c>
      <c r="N881" s="1">
        <v>1977.0</v>
      </c>
      <c r="P881" s="2">
        <v>45129.0</v>
      </c>
      <c r="Q881" s="1" t="s">
        <v>145</v>
      </c>
      <c r="R881" s="1" t="s">
        <v>4019</v>
      </c>
      <c r="S881" s="1" t="s">
        <v>32</v>
      </c>
      <c r="W881" s="1">
        <v>0.0</v>
      </c>
      <c r="X881" s="1">
        <v>0.0</v>
      </c>
    </row>
    <row r="882" spans="1:24" ht="15.75" customHeight="1">
      <c r="A882" s="1">
        <v>35743.0</v>
      </c>
      <c r="B882" s="1" t="s">
        <v>4020</v>
      </c>
      <c r="C882" s="1" t="s">
        <v>4016</v>
      </c>
      <c r="D882" s="1" t="s">
        <v>4017</v>
      </c>
      <c r="E882" s="1" t="s">
        <v>3177</v>
      </c>
      <c r="F882" s="1" t="str">
        <f>"0099483505"</f>
        <v>0099483505</v>
      </c>
      <c r="G882" s="1" t="str">
        <f>"9780099483502"</f>
        <v>9780099483502</v>
      </c>
      <c r="H882" s="1">
        <v>0.0</v>
      </c>
      <c r="I882" s="1">
        <v>3.95</v>
      </c>
      <c r="J882" s="1" t="s">
        <v>69</v>
      </c>
      <c r="K882" s="1" t="s">
        <v>44</v>
      </c>
      <c r="L882" s="1">
        <v>580.0</v>
      </c>
      <c r="M882" s="1">
        <v>2005.0</v>
      </c>
      <c r="N882" s="1">
        <v>1959.0</v>
      </c>
      <c r="P882" s="2">
        <v>44256.0</v>
      </c>
      <c r="Q882" s="1" t="s">
        <v>32</v>
      </c>
      <c r="R882" s="1" t="s">
        <v>4021</v>
      </c>
      <c r="S882" s="1" t="s">
        <v>32</v>
      </c>
      <c r="W882" s="1">
        <v>0.0</v>
      </c>
      <c r="X882" s="1">
        <v>0.0</v>
      </c>
    </row>
    <row r="883" spans="1:24" ht="15.75" customHeight="1">
      <c r="A883" s="1">
        <v>5.6269269E7</v>
      </c>
      <c r="B883" s="1" t="s">
        <v>4022</v>
      </c>
      <c r="C883" s="1" t="s">
        <v>4023</v>
      </c>
      <c r="D883" s="1" t="s">
        <v>4024</v>
      </c>
      <c r="F883" s="1" t="str">
        <f>"0374539235"</f>
        <v>0374539235</v>
      </c>
      <c r="G883" s="1" t="str">
        <f>"9780374539238"</f>
        <v>9780374539238</v>
      </c>
      <c r="H883" s="1">
        <v>0.0</v>
      </c>
      <c r="I883" s="1">
        <v>3.75</v>
      </c>
      <c r="J883" s="1" t="s">
        <v>4025</v>
      </c>
      <c r="K883" s="1" t="s">
        <v>44</v>
      </c>
      <c r="L883" s="1">
        <v>272.0</v>
      </c>
      <c r="M883" s="1">
        <v>2021.0</v>
      </c>
      <c r="N883" s="1">
        <v>2021.0</v>
      </c>
      <c r="P883" s="3">
        <v>44863.0</v>
      </c>
      <c r="Q883" s="1" t="s">
        <v>32</v>
      </c>
      <c r="R883" s="1" t="s">
        <v>4026</v>
      </c>
      <c r="S883" s="1" t="s">
        <v>32</v>
      </c>
      <c r="W883" s="1">
        <v>0.0</v>
      </c>
      <c r="X883" s="1">
        <v>0.0</v>
      </c>
    </row>
    <row r="884" spans="1:24" ht="15.75" customHeight="1">
      <c r="A884" s="1">
        <v>108387.0</v>
      </c>
      <c r="B884" s="1" t="s">
        <v>4027</v>
      </c>
      <c r="C884" s="1" t="s">
        <v>4028</v>
      </c>
      <c r="D884" s="1" t="s">
        <v>4029</v>
      </c>
      <c r="F884" s="1" t="str">
        <f>"002907052X"</f>
        <v>002907052X</v>
      </c>
      <c r="G884" s="1" t="str">
        <f>"9780029070529"</f>
        <v>9780029070529</v>
      </c>
      <c r="H884" s="1">
        <v>0.0</v>
      </c>
      <c r="I884" s="1">
        <v>4.11</v>
      </c>
      <c r="J884" s="1" t="s">
        <v>535</v>
      </c>
      <c r="K884" s="1" t="s">
        <v>44</v>
      </c>
      <c r="L884" s="1">
        <v>386.0</v>
      </c>
      <c r="M884" s="1">
        <v>1994.0</v>
      </c>
      <c r="N884" s="1">
        <v>1967.0</v>
      </c>
      <c r="P884" s="2">
        <v>44455.0</v>
      </c>
      <c r="Q884" s="1" t="s">
        <v>49</v>
      </c>
      <c r="R884" s="1" t="s">
        <v>4030</v>
      </c>
      <c r="S884" s="1" t="s">
        <v>32</v>
      </c>
      <c r="W884" s="1">
        <v>0.0</v>
      </c>
      <c r="X884" s="1">
        <v>0.0</v>
      </c>
    </row>
    <row r="885" spans="1:24" ht="15.75" customHeight="1">
      <c r="A885" s="1">
        <v>2185.0</v>
      </c>
      <c r="B885" s="1" t="s">
        <v>4031</v>
      </c>
      <c r="C885" s="1" t="s">
        <v>4032</v>
      </c>
      <c r="D885" s="1" t="s">
        <v>4033</v>
      </c>
      <c r="E885" s="1" t="s">
        <v>4034</v>
      </c>
      <c r="F885" s="1" t="str">
        <f>"081120054X"</f>
        <v>081120054X</v>
      </c>
      <c r="G885" s="1" t="str">
        <f>"9780811200547"</f>
        <v>9780811200547</v>
      </c>
      <c r="H885" s="1">
        <v>0.0</v>
      </c>
      <c r="I885" s="1">
        <v>3.78</v>
      </c>
      <c r="J885" s="1" t="s">
        <v>419</v>
      </c>
      <c r="K885" s="1" t="s">
        <v>44</v>
      </c>
      <c r="L885" s="1">
        <v>92.0</v>
      </c>
      <c r="M885" s="1">
        <v>1968.0</v>
      </c>
      <c r="N885" s="1">
        <v>1913.0</v>
      </c>
      <c r="P885" s="2">
        <v>44444.0</v>
      </c>
      <c r="Q885" s="1" t="s">
        <v>32</v>
      </c>
      <c r="R885" s="1" t="s">
        <v>4035</v>
      </c>
      <c r="S885" s="1" t="s">
        <v>32</v>
      </c>
      <c r="W885" s="1">
        <v>0.0</v>
      </c>
      <c r="X885" s="1">
        <v>0.0</v>
      </c>
    </row>
    <row r="886" spans="1:24" ht="15.75" customHeight="1">
      <c r="A886" s="1">
        <v>2183.0</v>
      </c>
      <c r="B886" s="1" t="s">
        <v>4036</v>
      </c>
      <c r="C886" s="1" t="s">
        <v>4032</v>
      </c>
      <c r="D886" s="1" t="s">
        <v>4033</v>
      </c>
      <c r="E886" s="1" t="s">
        <v>4037</v>
      </c>
      <c r="F886" s="1" t="str">
        <f>"0140447970"</f>
        <v>0140447970</v>
      </c>
      <c r="G886" s="1" t="str">
        <f>"9780140447972"</f>
        <v>9780140447972</v>
      </c>
      <c r="H886" s="1">
        <v>0.0</v>
      </c>
      <c r="I886" s="1">
        <v>3.81</v>
      </c>
      <c r="J886" s="1" t="s">
        <v>4038</v>
      </c>
      <c r="K886" s="1" t="s">
        <v>44</v>
      </c>
      <c r="L886" s="1">
        <v>460.0</v>
      </c>
      <c r="M886" s="1">
        <v>2004.0</v>
      </c>
      <c r="N886" s="1">
        <v>1869.0</v>
      </c>
      <c r="P886" s="2">
        <v>44205.0</v>
      </c>
      <c r="Q886" s="1" t="s">
        <v>32</v>
      </c>
      <c r="R886" s="1" t="s">
        <v>4039</v>
      </c>
      <c r="S886" s="1" t="s">
        <v>32</v>
      </c>
      <c r="W886" s="1">
        <v>0.0</v>
      </c>
      <c r="X886" s="1">
        <v>0.0</v>
      </c>
    </row>
    <row r="887" spans="1:24" ht="15.75" customHeight="1">
      <c r="A887" s="1">
        <v>4.1131509E7</v>
      </c>
      <c r="B887" s="1" t="s">
        <v>4040</v>
      </c>
      <c r="C887" s="1" t="s">
        <v>4041</v>
      </c>
      <c r="D887" s="1" t="s">
        <v>4042</v>
      </c>
      <c r="F887" s="1" t="str">
        <f>""</f>
        <v/>
      </c>
      <c r="G887" s="1" t="str">
        <f>"9786123051198"</f>
        <v>9786123051198</v>
      </c>
      <c r="H887" s="1">
        <v>0.0</v>
      </c>
      <c r="I887" s="1">
        <v>4.46</v>
      </c>
      <c r="J887" s="1" t="s">
        <v>4043</v>
      </c>
      <c r="K887" s="1" t="s">
        <v>44</v>
      </c>
      <c r="L887" s="1">
        <v>654.0</v>
      </c>
      <c r="M887" s="1">
        <v>2018.0</v>
      </c>
      <c r="N887" s="1">
        <v>2018.0</v>
      </c>
      <c r="P887" s="3">
        <v>45228.0</v>
      </c>
      <c r="Q887" s="1" t="s">
        <v>145</v>
      </c>
      <c r="R887" s="1" t="s">
        <v>4044</v>
      </c>
      <c r="S887" s="1" t="s">
        <v>32</v>
      </c>
      <c r="W887" s="1">
        <v>0.0</v>
      </c>
      <c r="X887" s="1">
        <v>0.0</v>
      </c>
    </row>
    <row r="888" spans="1:24" ht="15.75" customHeight="1">
      <c r="A888" s="1">
        <v>381440.0</v>
      </c>
      <c r="B888" s="1" t="s">
        <v>4045</v>
      </c>
      <c r="C888" s="1" t="s">
        <v>4046</v>
      </c>
      <c r="D888" s="1" t="s">
        <v>4047</v>
      </c>
      <c r="E888" s="1" t="s">
        <v>4048</v>
      </c>
      <c r="F888" s="1" t="str">
        <f>"0942299795"</f>
        <v>0942299795</v>
      </c>
      <c r="G888" s="1" t="str">
        <f>"9780942299793"</f>
        <v>9780942299793</v>
      </c>
      <c r="H888" s="1">
        <v>0.0</v>
      </c>
      <c r="I888" s="1">
        <v>4.03</v>
      </c>
      <c r="J888" s="1" t="s">
        <v>3874</v>
      </c>
      <c r="K888" s="1" t="s">
        <v>44</v>
      </c>
      <c r="L888" s="1">
        <v>160.0</v>
      </c>
      <c r="M888" s="1">
        <v>1995.0</v>
      </c>
      <c r="N888" s="1">
        <v>1967.0</v>
      </c>
      <c r="P888" s="2">
        <v>45170.0</v>
      </c>
      <c r="Q888" s="1" t="s">
        <v>32</v>
      </c>
      <c r="R888" s="1" t="s">
        <v>4049</v>
      </c>
      <c r="S888" s="1" t="s">
        <v>32</v>
      </c>
      <c r="W888" s="1">
        <v>0.0</v>
      </c>
      <c r="X888" s="1">
        <v>0.0</v>
      </c>
    </row>
    <row r="889" spans="1:24" ht="15.75" customHeight="1">
      <c r="A889" s="1">
        <v>6.1258974E7</v>
      </c>
      <c r="B889" s="1" t="s">
        <v>4050</v>
      </c>
      <c r="C889" s="1" t="s">
        <v>4051</v>
      </c>
      <c r="D889" s="1" t="s">
        <v>4052</v>
      </c>
      <c r="F889" s="1" t="str">
        <f>"1681376814"</f>
        <v>1681376814</v>
      </c>
      <c r="G889" s="1" t="str">
        <f>"9781681376813"</f>
        <v>9781681376813</v>
      </c>
      <c r="H889" s="1">
        <v>0.0</v>
      </c>
      <c r="I889" s="1">
        <v>3.85</v>
      </c>
      <c r="J889" s="1" t="s">
        <v>823</v>
      </c>
      <c r="K889" s="1" t="s">
        <v>44</v>
      </c>
      <c r="L889" s="1">
        <v>208.0</v>
      </c>
      <c r="M889" s="1">
        <v>2022.0</v>
      </c>
      <c r="N889" s="1">
        <v>2021.0</v>
      </c>
      <c r="P889" s="2">
        <v>45102.0</v>
      </c>
      <c r="Q889" s="1" t="s">
        <v>32</v>
      </c>
      <c r="R889" s="1" t="s">
        <v>4053</v>
      </c>
      <c r="S889" s="1" t="s">
        <v>32</v>
      </c>
      <c r="W889" s="1">
        <v>0.0</v>
      </c>
      <c r="X889" s="1">
        <v>0.0</v>
      </c>
    </row>
    <row r="890" spans="1:24" ht="15.75" customHeight="1">
      <c r="A890" s="1">
        <v>3997923.0</v>
      </c>
      <c r="B890" s="1" t="s">
        <v>4054</v>
      </c>
      <c r="C890" s="1" t="s">
        <v>4055</v>
      </c>
      <c r="D890" s="1" t="s">
        <v>4056</v>
      </c>
      <c r="F890" s="1" t="str">
        <f>"0810337800"</f>
        <v>0810337800</v>
      </c>
      <c r="G890" s="1" t="str">
        <f>"9780810337800"</f>
        <v>9780810337800</v>
      </c>
      <c r="H890" s="1">
        <v>0.0</v>
      </c>
      <c r="I890" s="1">
        <v>2.67</v>
      </c>
      <c r="J890" s="1" t="s">
        <v>4057</v>
      </c>
      <c r="K890" s="1" t="s">
        <v>37</v>
      </c>
      <c r="L890" s="1">
        <v>288.0</v>
      </c>
      <c r="M890" s="1">
        <v>1976.0</v>
      </c>
      <c r="N890" s="1">
        <v>1911.0</v>
      </c>
      <c r="P890" s="2">
        <v>44960.0</v>
      </c>
      <c r="Q890" s="1" t="s">
        <v>32</v>
      </c>
      <c r="R890" s="1" t="s">
        <v>4058</v>
      </c>
      <c r="S890" s="1" t="s">
        <v>32</v>
      </c>
      <c r="W890" s="1">
        <v>0.0</v>
      </c>
      <c r="X890" s="1">
        <v>0.0</v>
      </c>
    </row>
    <row r="891" spans="1:24" ht="15.75" customHeight="1">
      <c r="A891" s="1">
        <v>857353.0</v>
      </c>
      <c r="B891" s="1" t="s">
        <v>4059</v>
      </c>
      <c r="C891" s="1" t="s">
        <v>4060</v>
      </c>
      <c r="D891" s="1" t="s">
        <v>4061</v>
      </c>
      <c r="E891" s="1" t="s">
        <v>4062</v>
      </c>
      <c r="F891" s="1" t="str">
        <f>"0811204537"</f>
        <v>0811204537</v>
      </c>
      <c r="G891" s="1" t="str">
        <f>"9780811204538"</f>
        <v>9780811204538</v>
      </c>
      <c r="H891" s="1">
        <v>0.0</v>
      </c>
      <c r="I891" s="1">
        <v>4.1</v>
      </c>
      <c r="J891" s="1" t="s">
        <v>419</v>
      </c>
      <c r="K891" s="1" t="s">
        <v>37</v>
      </c>
      <c r="L891" s="1">
        <v>117.0</v>
      </c>
      <c r="M891" s="1">
        <v>1972.0</v>
      </c>
      <c r="N891" s="1">
        <v>1972.0</v>
      </c>
      <c r="P891" s="2">
        <v>45140.0</v>
      </c>
      <c r="Q891" s="1" t="s">
        <v>32</v>
      </c>
      <c r="R891" s="1" t="s">
        <v>4063</v>
      </c>
      <c r="S891" s="1" t="s">
        <v>32</v>
      </c>
      <c r="W891" s="1">
        <v>0.0</v>
      </c>
      <c r="X891" s="1">
        <v>0.0</v>
      </c>
    </row>
    <row r="892" spans="1:24" ht="15.75" customHeight="1">
      <c r="A892" s="1">
        <v>823612.0</v>
      </c>
      <c r="B892" s="1" t="s">
        <v>4064</v>
      </c>
      <c r="C892" s="1" t="s">
        <v>4060</v>
      </c>
      <c r="D892" s="1" t="s">
        <v>4061</v>
      </c>
      <c r="F892" s="1" t="str">
        <f>"0811205444"</f>
        <v>0811205444</v>
      </c>
      <c r="G892" s="1" t="str">
        <f>"9780811205443"</f>
        <v>9780811205443</v>
      </c>
      <c r="H892" s="1">
        <v>0.0</v>
      </c>
      <c r="I892" s="1">
        <v>4.1</v>
      </c>
      <c r="J892" s="1" t="s">
        <v>419</v>
      </c>
      <c r="K892" s="1" t="s">
        <v>44</v>
      </c>
      <c r="L892" s="1">
        <v>304.0</v>
      </c>
      <c r="M892" s="1">
        <v>1974.0</v>
      </c>
      <c r="N892" s="1">
        <v>1924.0</v>
      </c>
      <c r="P892" s="2">
        <v>45140.0</v>
      </c>
      <c r="Q892" s="1" t="s">
        <v>32</v>
      </c>
      <c r="R892" s="1" t="s">
        <v>4065</v>
      </c>
      <c r="S892" s="1" t="s">
        <v>32</v>
      </c>
      <c r="W892" s="1">
        <v>0.0</v>
      </c>
      <c r="X892" s="1">
        <v>0.0</v>
      </c>
    </row>
    <row r="893" spans="1:24" ht="15.75" customHeight="1">
      <c r="A893" s="1">
        <v>1.9661616E7</v>
      </c>
      <c r="B893" s="1" t="s">
        <v>4066</v>
      </c>
      <c r="C893" s="1" t="s">
        <v>4060</v>
      </c>
      <c r="D893" s="1" t="s">
        <v>4061</v>
      </c>
      <c r="E893" s="1" t="s">
        <v>4067</v>
      </c>
      <c r="F893" s="1" t="str">
        <f t="shared" si="60" ref="F893:G893">""</f>
        <v/>
      </c>
      <c r="G893" s="1" t="str">
        <f t="shared" si="60"/>
        <v/>
      </c>
      <c r="H893" s="1">
        <v>0.0</v>
      </c>
      <c r="I893" s="1">
        <v>4.5</v>
      </c>
      <c r="J893" s="1" t="s">
        <v>419</v>
      </c>
      <c r="K893" s="1" t="s">
        <v>44</v>
      </c>
      <c r="L893" s="1">
        <v>288.0</v>
      </c>
      <c r="M893" s="1">
        <v>2003.0</v>
      </c>
      <c r="N893" s="1">
        <v>2003.0</v>
      </c>
      <c r="P893" s="2">
        <v>45140.0</v>
      </c>
      <c r="Q893" s="1" t="s">
        <v>32</v>
      </c>
      <c r="R893" s="1" t="s">
        <v>4068</v>
      </c>
      <c r="S893" s="1" t="s">
        <v>32</v>
      </c>
      <c r="W893" s="1">
        <v>0.0</v>
      </c>
      <c r="X893" s="1">
        <v>0.0</v>
      </c>
    </row>
    <row r="894" spans="1:24" ht="15.75" customHeight="1">
      <c r="A894" s="1">
        <v>2493.0</v>
      </c>
      <c r="B894" s="1" t="s">
        <v>4069</v>
      </c>
      <c r="C894" s="1" t="s">
        <v>4070</v>
      </c>
      <c r="D894" s="1" t="s">
        <v>4071</v>
      </c>
      <c r="E894" s="1" t="s">
        <v>4072</v>
      </c>
      <c r="F894" s="1" t="str">
        <f t="shared" si="61" ref="F894:G894">""</f>
        <v/>
      </c>
      <c r="G894" s="1" t="str">
        <f t="shared" si="61"/>
        <v/>
      </c>
      <c r="H894" s="1">
        <v>5.0</v>
      </c>
      <c r="I894" s="1">
        <v>3.89</v>
      </c>
      <c r="J894" s="1" t="s">
        <v>4073</v>
      </c>
      <c r="K894" s="1" t="s">
        <v>44</v>
      </c>
      <c r="L894" s="1">
        <v>118.0</v>
      </c>
      <c r="M894" s="1">
        <v>2002.0</v>
      </c>
      <c r="N894" s="1">
        <v>1895.0</v>
      </c>
      <c r="O894" s="2">
        <v>40964.0</v>
      </c>
      <c r="P894" s="2">
        <v>40952.0</v>
      </c>
      <c r="Q894" s="1" t="s">
        <v>1925</v>
      </c>
      <c r="R894" s="1" t="s">
        <v>4074</v>
      </c>
      <c r="S894" s="1" t="s">
        <v>271</v>
      </c>
      <c r="W894" s="1">
        <v>1.0</v>
      </c>
      <c r="X894" s="1">
        <v>0.0</v>
      </c>
    </row>
    <row r="895" spans="1:24" ht="15.75" customHeight="1">
      <c r="A895" s="81">
        <v>29966.0</v>
      </c>
      <c r="B895" s="81" t="s">
        <v>4075</v>
      </c>
      <c r="C895" s="81" t="s">
        <v>4070</v>
      </c>
      <c r="D895" s="81" t="s">
        <v>4071</v>
      </c>
      <c r="E895" s="81" t="s">
        <v>4076</v>
      </c>
      <c r="F895" s="81" t="str">
        <f>"0141441046"</f>
        <v>0141441046</v>
      </c>
      <c r="G895" s="81" t="str">
        <f>"9780141441047"</f>
        <v>9780141441047</v>
      </c>
      <c r="H895" s="81">
        <v>0.0</v>
      </c>
      <c r="I895" s="81">
        <v>3.55</v>
      </c>
      <c r="J895" s="81" t="s">
        <v>1023</v>
      </c>
      <c r="K895" s="81" t="s">
        <v>44</v>
      </c>
      <c r="L895" s="81">
        <v>576.0</v>
      </c>
      <c r="M895" s="81">
        <v>2005.0</v>
      </c>
      <c r="N895" s="81">
        <v>1933.0</v>
      </c>
      <c r="O895" s="82"/>
      <c r="P895" s="83">
        <v>45151.0</v>
      </c>
      <c r="Q895" s="84" t="s">
        <v>353</v>
      </c>
      <c r="R895" s="81" t="s">
        <v>4077</v>
      </c>
      <c r="S895" s="81" t="s">
        <v>32</v>
      </c>
      <c r="T895" s="82"/>
      <c r="U895" s="82"/>
      <c r="V895" s="82"/>
      <c r="W895" s="81">
        <v>0.0</v>
      </c>
      <c r="X895" s="81">
        <v>0.0</v>
      </c>
    </row>
    <row r="896" spans="1:24" ht="15.75" customHeight="1">
      <c r="A896" s="81">
        <v>8909.0</v>
      </c>
      <c r="B896" s="81" t="s">
        <v>4078</v>
      </c>
      <c r="C896" s="81" t="s">
        <v>4070</v>
      </c>
      <c r="D896" s="81" t="s">
        <v>4071</v>
      </c>
      <c r="E896" s="81" t="s">
        <v>4079</v>
      </c>
      <c r="F896" s="81" t="str">
        <f>"0375759239"</f>
        <v>0375759239</v>
      </c>
      <c r="G896" s="81" t="str">
        <f>"9780375759239"</f>
        <v>9780375759239</v>
      </c>
      <c r="H896" s="81">
        <v>0.0</v>
      </c>
      <c r="I896" s="81">
        <v>3.83</v>
      </c>
      <c r="J896" s="81" t="s">
        <v>3611</v>
      </c>
      <c r="K896" s="81" t="s">
        <v>44</v>
      </c>
      <c r="L896" s="81">
        <v>192.0</v>
      </c>
      <c r="M896" s="81">
        <v>2002.0</v>
      </c>
      <c r="N896" s="81">
        <v>1898.0</v>
      </c>
      <c r="O896" s="82"/>
      <c r="P896" s="85">
        <v>41231.0</v>
      </c>
      <c r="Q896" s="84" t="s">
        <v>353</v>
      </c>
      <c r="R896" s="81" t="s">
        <v>4080</v>
      </c>
      <c r="S896" s="81" t="s">
        <v>32</v>
      </c>
      <c r="T896" s="82"/>
      <c r="U896" s="82"/>
      <c r="V896" s="82"/>
      <c r="W896" s="81">
        <v>0.0</v>
      </c>
      <c r="X896" s="81">
        <v>0.0</v>
      </c>
    </row>
    <row r="897" spans="1:24" ht="15.75" customHeight="1">
      <c r="A897" s="1">
        <v>17184.0</v>
      </c>
      <c r="B897" s="1" t="s">
        <v>4081</v>
      </c>
      <c r="C897" s="1" t="s">
        <v>4070</v>
      </c>
      <c r="D897" s="1" t="s">
        <v>4071</v>
      </c>
      <c r="E897" s="1" t="s">
        <v>4082</v>
      </c>
      <c r="F897" s="1" t="str">
        <f>"0451528522"</f>
        <v>0451528522</v>
      </c>
      <c r="G897" s="1" t="str">
        <f>"9780451528520"</f>
        <v>9780451528520</v>
      </c>
      <c r="H897" s="1">
        <v>0.0</v>
      </c>
      <c r="I897" s="1">
        <v>3.64</v>
      </c>
      <c r="J897" s="1" t="s">
        <v>4083</v>
      </c>
      <c r="K897" s="1" t="s">
        <v>1225</v>
      </c>
      <c r="L897" s="1">
        <v>192.0</v>
      </c>
      <c r="M897" s="1">
        <v>2002.0</v>
      </c>
      <c r="N897" s="1">
        <v>1897.0</v>
      </c>
      <c r="P897" s="2">
        <v>40964.0</v>
      </c>
      <c r="S897" s="1" t="s">
        <v>271</v>
      </c>
      <c r="W897" s="1">
        <v>1.0</v>
      </c>
      <c r="X897" s="1">
        <v>0.0</v>
      </c>
    </row>
    <row r="898" spans="1:24" ht="15.75" customHeight="1">
      <c r="A898" s="1">
        <v>666634.0</v>
      </c>
      <c r="B898" s="1" t="s">
        <v>4084</v>
      </c>
      <c r="C898" s="1" t="s">
        <v>4085</v>
      </c>
      <c r="D898" s="1" t="s">
        <v>4086</v>
      </c>
      <c r="E898" s="1" t="s">
        <v>4087</v>
      </c>
      <c r="F898" s="1" t="str">
        <f>"0486201058"</f>
        <v>0486201058</v>
      </c>
      <c r="G898" s="1" t="str">
        <f>"9780486201054"</f>
        <v>9780486201054</v>
      </c>
      <c r="H898" s="1">
        <v>0.0</v>
      </c>
      <c r="I898" s="1">
        <v>4.02</v>
      </c>
      <c r="J898" s="1" t="s">
        <v>910</v>
      </c>
      <c r="K898" s="1" t="s">
        <v>44</v>
      </c>
      <c r="L898" s="1">
        <v>106.0</v>
      </c>
      <c r="M898" s="1">
        <v>1973.0</v>
      </c>
      <c r="N898" s="1">
        <v>1927.0</v>
      </c>
      <c r="P898" s="2">
        <v>45129.0</v>
      </c>
      <c r="Q898" s="1" t="s">
        <v>32</v>
      </c>
      <c r="R898" s="1" t="s">
        <v>4088</v>
      </c>
      <c r="S898" s="1" t="s">
        <v>32</v>
      </c>
      <c r="W898" s="1">
        <v>0.0</v>
      </c>
      <c r="X898" s="1">
        <v>0.0</v>
      </c>
    </row>
    <row r="899" spans="1:24" ht="15.75" customHeight="1">
      <c r="A899" s="1">
        <v>867197.0</v>
      </c>
      <c r="B899" s="1" t="s">
        <v>4089</v>
      </c>
      <c r="C899" s="1" t="s">
        <v>4090</v>
      </c>
      <c r="D899" s="1" t="s">
        <v>4091</v>
      </c>
      <c r="E899" s="1" t="s">
        <v>4092</v>
      </c>
      <c r="F899" s="1" t="str">
        <f>"0877288755"</f>
        <v>0877288755</v>
      </c>
      <c r="G899" s="1" t="str">
        <f>"9780877288756"</f>
        <v>9780877288756</v>
      </c>
      <c r="H899" s="1">
        <v>0.0</v>
      </c>
      <c r="I899" s="1">
        <v>4.14</v>
      </c>
      <c r="J899" s="1" t="s">
        <v>405</v>
      </c>
      <c r="K899" s="1" t="s">
        <v>44</v>
      </c>
      <c r="L899" s="1">
        <v>304.0</v>
      </c>
      <c r="M899" s="1">
        <v>1996.0</v>
      </c>
      <c r="P899" s="2">
        <v>45123.0</v>
      </c>
      <c r="Q899" s="1" t="s">
        <v>32</v>
      </c>
      <c r="R899" s="1" t="s">
        <v>4093</v>
      </c>
      <c r="S899" s="1" t="s">
        <v>32</v>
      </c>
      <c r="W899" s="1">
        <v>0.0</v>
      </c>
      <c r="X899" s="1">
        <v>0.0</v>
      </c>
    </row>
    <row r="900" spans="1:24" ht="15.75" customHeight="1">
      <c r="A900" s="1">
        <v>867202.0</v>
      </c>
      <c r="B900" s="1" t="s">
        <v>4094</v>
      </c>
      <c r="C900" s="1" t="s">
        <v>4090</v>
      </c>
      <c r="D900" s="1" t="s">
        <v>4091</v>
      </c>
      <c r="F900" s="1" t="str">
        <f>"0880795115"</f>
        <v>0880795115</v>
      </c>
      <c r="G900" s="1" t="str">
        <f>"9780880795111"</f>
        <v>9780880795111</v>
      </c>
      <c r="H900" s="1">
        <v>0.0</v>
      </c>
      <c r="I900" s="1">
        <v>3.94</v>
      </c>
      <c r="J900" s="1" t="s">
        <v>4095</v>
      </c>
      <c r="K900" s="1" t="s">
        <v>44</v>
      </c>
      <c r="L900" s="1">
        <v>184.0</v>
      </c>
      <c r="M900" s="1">
        <v>2003.0</v>
      </c>
      <c r="N900" s="1">
        <v>1986.0</v>
      </c>
      <c r="P900" s="2">
        <v>45123.0</v>
      </c>
      <c r="Q900" s="1" t="s">
        <v>32</v>
      </c>
      <c r="R900" s="1" t="s">
        <v>4096</v>
      </c>
      <c r="S900" s="1" t="s">
        <v>32</v>
      </c>
      <c r="W900" s="1">
        <v>0.0</v>
      </c>
      <c r="X900" s="1">
        <v>0.0</v>
      </c>
    </row>
    <row r="901" spans="1:24" ht="15.75" customHeight="1">
      <c r="A901" s="1">
        <v>242532.0</v>
      </c>
      <c r="B901" s="1" t="s">
        <v>4097</v>
      </c>
      <c r="C901" s="1" t="s">
        <v>4090</v>
      </c>
      <c r="D901" s="1" t="s">
        <v>4091</v>
      </c>
      <c r="E901" s="1" t="s">
        <v>4098</v>
      </c>
      <c r="F901" s="1" t="str">
        <f>"1578631173"</f>
        <v>1578631173</v>
      </c>
      <c r="G901" s="1" t="str">
        <f>"9781578631179"</f>
        <v>9781578631179</v>
      </c>
      <c r="H901" s="1">
        <v>0.0</v>
      </c>
      <c r="I901" s="1">
        <v>4.34</v>
      </c>
      <c r="J901" s="1" t="s">
        <v>405</v>
      </c>
      <c r="K901" s="1" t="s">
        <v>44</v>
      </c>
      <c r="L901" s="1">
        <v>236.0</v>
      </c>
      <c r="M901" s="1">
        <v>2000.0</v>
      </c>
      <c r="N901" s="1">
        <v>1997.0</v>
      </c>
      <c r="P901" s="2">
        <v>45122.0</v>
      </c>
      <c r="Q901" s="1" t="s">
        <v>32</v>
      </c>
      <c r="R901" s="1" t="s">
        <v>4099</v>
      </c>
      <c r="S901" s="1" t="s">
        <v>32</v>
      </c>
      <c r="W901" s="1">
        <v>0.0</v>
      </c>
      <c r="X901" s="1">
        <v>0.0</v>
      </c>
    </row>
    <row r="902" spans="1:24" ht="15.75" customHeight="1">
      <c r="A902" s="1">
        <v>4.0887358E7</v>
      </c>
      <c r="B902" s="1" t="s">
        <v>4100</v>
      </c>
      <c r="C902" s="1" t="s">
        <v>4101</v>
      </c>
      <c r="D902" s="1" t="s">
        <v>4102</v>
      </c>
      <c r="E902" s="1" t="s">
        <v>4103</v>
      </c>
      <c r="F902" s="1" t="str">
        <f>"030023824X"</f>
        <v>030023824X</v>
      </c>
      <c r="G902" s="1" t="str">
        <f>"9780300238242"</f>
        <v>9780300238242</v>
      </c>
      <c r="H902" s="1">
        <v>0.0</v>
      </c>
      <c r="I902" s="1">
        <v>3.88</v>
      </c>
      <c r="J902" s="1" t="s">
        <v>962</v>
      </c>
      <c r="K902" s="1" t="s">
        <v>37</v>
      </c>
      <c r="L902" s="1">
        <v>216.0</v>
      </c>
      <c r="M902" s="1">
        <v>2019.0</v>
      </c>
      <c r="P902" s="2">
        <v>45161.0</v>
      </c>
      <c r="Q902" s="1" t="s">
        <v>32</v>
      </c>
      <c r="R902" s="1" t="s">
        <v>4104</v>
      </c>
      <c r="S902" s="1" t="s">
        <v>32</v>
      </c>
      <c r="W902" s="1">
        <v>0.0</v>
      </c>
      <c r="X902" s="1">
        <v>0.0</v>
      </c>
    </row>
    <row r="903" spans="1:24" ht="15.75" customHeight="1">
      <c r="A903" s="1">
        <v>77287.0</v>
      </c>
      <c r="B903" s="1" t="s">
        <v>4105</v>
      </c>
      <c r="C903" s="1" t="s">
        <v>4106</v>
      </c>
      <c r="D903" s="1" t="s">
        <v>4107</v>
      </c>
      <c r="E903" s="1" t="s">
        <v>4108</v>
      </c>
      <c r="F903" s="1" t="str">
        <f>"0679767924"</f>
        <v>0679767924</v>
      </c>
      <c r="G903" s="1" t="str">
        <f>"9780679767923"</f>
        <v>9780679767923</v>
      </c>
      <c r="H903" s="1">
        <v>0.0</v>
      </c>
      <c r="I903" s="1">
        <v>4.14</v>
      </c>
      <c r="J903" s="1" t="s">
        <v>69</v>
      </c>
      <c r="K903" s="1" t="s">
        <v>44</v>
      </c>
      <c r="L903" s="1">
        <v>482.0</v>
      </c>
      <c r="M903" s="1">
        <v>1997.0</v>
      </c>
      <c r="N903" s="1">
        <v>1934.0</v>
      </c>
      <c r="P903" s="2">
        <v>44459.0</v>
      </c>
      <c r="Q903" s="1" t="s">
        <v>32</v>
      </c>
      <c r="R903" s="1" t="s">
        <v>4109</v>
      </c>
      <c r="S903" s="1" t="s">
        <v>32</v>
      </c>
      <c r="W903" s="1">
        <v>0.0</v>
      </c>
      <c r="X903" s="1">
        <v>0.0</v>
      </c>
    </row>
    <row r="904" spans="1:24" ht="15.75" customHeight="1">
      <c r="A904" s="1">
        <v>2.5489025E7</v>
      </c>
      <c r="B904" s="1" t="s">
        <v>4110</v>
      </c>
      <c r="C904" s="1" t="s">
        <v>4111</v>
      </c>
      <c r="D904" s="1" t="s">
        <v>4112</v>
      </c>
      <c r="E904" s="1" t="s">
        <v>4113</v>
      </c>
      <c r="F904" s="1" t="str">
        <f>"0553448188"</f>
        <v>0553448188</v>
      </c>
      <c r="G904" s="1" t="str">
        <f>"9780553448184"</f>
        <v>9780553448184</v>
      </c>
      <c r="H904" s="1">
        <v>0.0</v>
      </c>
      <c r="I904" s="1">
        <v>3.58</v>
      </c>
      <c r="J904" s="1" t="s">
        <v>4114</v>
      </c>
      <c r="K904" s="1" t="s">
        <v>37</v>
      </c>
      <c r="L904" s="1">
        <v>188.0</v>
      </c>
      <c r="M904" s="1">
        <v>2016.0</v>
      </c>
      <c r="N904" s="1">
        <v>2007.0</v>
      </c>
      <c r="P904" s="2">
        <v>42740.0</v>
      </c>
      <c r="Q904" s="1" t="s">
        <v>32</v>
      </c>
      <c r="R904" s="1" t="s">
        <v>4115</v>
      </c>
      <c r="S904" s="1" t="s">
        <v>32</v>
      </c>
      <c r="W904" s="1">
        <v>0.0</v>
      </c>
      <c r="X904" s="1">
        <v>0.0</v>
      </c>
    </row>
    <row r="905" spans="1:24" ht="15.75" customHeight="1">
      <c r="A905" s="1">
        <v>938816.0</v>
      </c>
      <c r="B905" s="1" t="s">
        <v>4116</v>
      </c>
      <c r="C905" s="1" t="s">
        <v>4117</v>
      </c>
      <c r="D905" s="1" t="s">
        <v>4118</v>
      </c>
      <c r="E905" s="1" t="s">
        <v>4119</v>
      </c>
      <c r="F905" s="1" t="str">
        <f t="shared" si="62" ref="F905:G905">""</f>
        <v/>
      </c>
      <c r="G905" s="1" t="str">
        <f t="shared" si="62"/>
        <v/>
      </c>
      <c r="H905" s="1">
        <v>0.0</v>
      </c>
      <c r="I905" s="1">
        <v>3.89</v>
      </c>
      <c r="J905" s="1" t="s">
        <v>4120</v>
      </c>
      <c r="K905" s="1" t="s">
        <v>44</v>
      </c>
      <c r="L905" s="1">
        <v>256.0</v>
      </c>
      <c r="M905" s="1">
        <v>1964.0</v>
      </c>
      <c r="N905" s="1">
        <v>1964.0</v>
      </c>
      <c r="P905" s="2">
        <v>43939.0</v>
      </c>
      <c r="Q905" s="1" t="s">
        <v>818</v>
      </c>
      <c r="R905" s="1" t="s">
        <v>4121</v>
      </c>
      <c r="S905" s="1" t="s">
        <v>32</v>
      </c>
      <c r="W905" s="1">
        <v>0.0</v>
      </c>
      <c r="X905" s="1">
        <v>1.0</v>
      </c>
    </row>
    <row r="906" spans="1:24" ht="15.75" customHeight="1">
      <c r="A906" s="1">
        <v>127227.0</v>
      </c>
      <c r="B906" s="1" t="s">
        <v>4122</v>
      </c>
      <c r="C906" s="1" t="s">
        <v>4123</v>
      </c>
      <c r="D906" s="1" t="s">
        <v>4124</v>
      </c>
      <c r="E906" s="1" t="s">
        <v>4125</v>
      </c>
      <c r="F906" s="1" t="str">
        <f>"0226025985"</f>
        <v>0226025985</v>
      </c>
      <c r="G906" s="1" t="str">
        <f>"9780226025988"</f>
        <v>9780226025988</v>
      </c>
      <c r="H906" s="1">
        <v>0.0</v>
      </c>
      <c r="I906" s="1">
        <v>4.21</v>
      </c>
      <c r="J906" s="1" t="s">
        <v>4126</v>
      </c>
      <c r="K906" s="1" t="s">
        <v>44</v>
      </c>
      <c r="L906" s="1">
        <v>349.0</v>
      </c>
      <c r="M906" s="1">
        <v>1998.0</v>
      </c>
      <c r="N906" s="1">
        <v>1958.0</v>
      </c>
      <c r="P906" s="2">
        <v>42856.0</v>
      </c>
      <c r="Q906" s="1" t="s">
        <v>45</v>
      </c>
      <c r="R906" s="1" t="s">
        <v>4127</v>
      </c>
      <c r="S906" s="1" t="s">
        <v>32</v>
      </c>
      <c r="W906" s="1">
        <v>0.0</v>
      </c>
      <c r="X906" s="1">
        <v>0.0</v>
      </c>
    </row>
    <row r="907" spans="1:24" ht="15.75" customHeight="1">
      <c r="A907" s="1">
        <v>1231982.0</v>
      </c>
      <c r="B907" s="1" t="s">
        <v>4128</v>
      </c>
      <c r="C907" s="1" t="s">
        <v>4123</v>
      </c>
      <c r="D907" s="1" t="s">
        <v>4124</v>
      </c>
      <c r="F907" s="1" t="str">
        <f>"0140044507"</f>
        <v>0140044507</v>
      </c>
      <c r="G907" s="1" t="str">
        <f>"9780140044508"</f>
        <v>9780140044508</v>
      </c>
      <c r="H907" s="1">
        <v>0.0</v>
      </c>
      <c r="I907" s="1">
        <v>4.2</v>
      </c>
      <c r="J907" s="1" t="s">
        <v>309</v>
      </c>
      <c r="K907" s="1" t="s">
        <v>44</v>
      </c>
      <c r="L907" s="1">
        <v>312.0</v>
      </c>
      <c r="M907" s="1">
        <v>1977.0</v>
      </c>
      <c r="N907" s="1">
        <v>1963.0</v>
      </c>
      <c r="P907" s="2">
        <v>43160.0</v>
      </c>
      <c r="Q907" s="1" t="s">
        <v>788</v>
      </c>
      <c r="R907" s="1" t="s">
        <v>4129</v>
      </c>
      <c r="S907" s="1" t="s">
        <v>32</v>
      </c>
      <c r="W907" s="1">
        <v>0.0</v>
      </c>
      <c r="X907" s="1">
        <v>1.0</v>
      </c>
    </row>
    <row r="908" spans="1:24" ht="15.75" customHeight="1">
      <c r="A908" s="1">
        <v>1.2053371E7</v>
      </c>
      <c r="B908" s="1" t="s">
        <v>4130</v>
      </c>
      <c r="C908" s="1" t="s">
        <v>4131</v>
      </c>
      <c r="D908" s="1" t="s">
        <v>4132</v>
      </c>
      <c r="F908" s="1" t="str">
        <f>"0807044431"</f>
        <v>0807044431</v>
      </c>
      <c r="G908" s="1" t="str">
        <f>"9780807044438"</f>
        <v>9780807044438</v>
      </c>
      <c r="H908" s="1">
        <v>5.0</v>
      </c>
      <c r="I908" s="1">
        <v>3.77</v>
      </c>
      <c r="J908" s="1" t="s">
        <v>758</v>
      </c>
      <c r="K908" s="1" t="s">
        <v>37</v>
      </c>
      <c r="L908" s="1">
        <v>228.0</v>
      </c>
      <c r="M908" s="1">
        <v>2012.0</v>
      </c>
      <c r="N908" s="1">
        <v>2012.0</v>
      </c>
      <c r="O908" s="2">
        <v>43155.0</v>
      </c>
      <c r="P908" s="2">
        <v>43046.0</v>
      </c>
      <c r="Q908" s="1" t="s">
        <v>4133</v>
      </c>
      <c r="R908" s="1" t="s">
        <v>4134</v>
      </c>
      <c r="S908" s="1" t="s">
        <v>271</v>
      </c>
      <c r="W908" s="1">
        <v>1.0</v>
      </c>
      <c r="X908" s="1">
        <v>1.0</v>
      </c>
    </row>
    <row r="909" spans="1:24" ht="15.75" customHeight="1">
      <c r="A909" s="1">
        <v>2.2822858E7</v>
      </c>
      <c r="B909" s="1" t="s">
        <v>4135</v>
      </c>
      <c r="C909" s="1" t="s">
        <v>4136</v>
      </c>
      <c r="D909" s="1" t="s">
        <v>4137</v>
      </c>
      <c r="F909" s="1" t="str">
        <f t="shared" si="63" ref="F909:G909">""</f>
        <v/>
      </c>
      <c r="G909" s="1" t="str">
        <f t="shared" si="63"/>
        <v/>
      </c>
      <c r="H909" s="1">
        <v>5.0</v>
      </c>
      <c r="I909" s="1">
        <v>4.34</v>
      </c>
      <c r="J909" s="1" t="s">
        <v>4138</v>
      </c>
      <c r="K909" s="1" t="s">
        <v>37</v>
      </c>
      <c r="L909" s="1">
        <v>720.0</v>
      </c>
      <c r="M909" s="1">
        <v>2015.0</v>
      </c>
      <c r="N909" s="1">
        <v>2015.0</v>
      </c>
      <c r="O909" s="3">
        <v>42338.0</v>
      </c>
      <c r="P909" s="3">
        <v>42321.0</v>
      </c>
      <c r="Q909" s="1" t="s">
        <v>4139</v>
      </c>
      <c r="R909" s="1" t="s">
        <v>4140</v>
      </c>
      <c r="S909" s="1" t="s">
        <v>271</v>
      </c>
      <c r="T909" s="1" t="s">
        <v>4141</v>
      </c>
      <c r="W909" s="1">
        <v>1.0</v>
      </c>
      <c r="X909" s="1">
        <v>1.0</v>
      </c>
    </row>
    <row r="910" spans="1:24" ht="15.75" customHeight="1">
      <c r="A910" s="1">
        <v>5.7739876E7</v>
      </c>
      <c r="B910" s="1" t="s">
        <v>4142</v>
      </c>
      <c r="C910" s="1" t="s">
        <v>4136</v>
      </c>
      <c r="D910" s="1" t="s">
        <v>4137</v>
      </c>
      <c r="F910" s="1" t="str">
        <f>"0385547935"</f>
        <v>0385547935</v>
      </c>
      <c r="G910" s="1" t="str">
        <f>"9780385547932"</f>
        <v>9780385547932</v>
      </c>
      <c r="H910" s="1">
        <v>0.0</v>
      </c>
      <c r="I910" s="1">
        <v>3.77</v>
      </c>
      <c r="J910" s="1" t="s">
        <v>4138</v>
      </c>
      <c r="K910" s="1" t="s">
        <v>37</v>
      </c>
      <c r="L910" s="1">
        <v>720.0</v>
      </c>
      <c r="M910" s="1">
        <v>2022.0</v>
      </c>
      <c r="N910" s="1">
        <v>2022.0</v>
      </c>
      <c r="P910" s="2">
        <v>44814.0</v>
      </c>
      <c r="Q910" s="1" t="s">
        <v>502</v>
      </c>
      <c r="R910" s="1" t="s">
        <v>4143</v>
      </c>
      <c r="S910" s="1" t="s">
        <v>32</v>
      </c>
      <c r="W910" s="1">
        <v>0.0</v>
      </c>
      <c r="X910" s="1">
        <v>0.0</v>
      </c>
    </row>
    <row r="911" spans="1:24" ht="15.75" customHeight="1">
      <c r="A911" s="1">
        <v>1.8310181E7</v>
      </c>
      <c r="B911" s="1" t="s">
        <v>4144</v>
      </c>
      <c r="C911" s="1" t="s">
        <v>4136</v>
      </c>
      <c r="D911" s="1" t="s">
        <v>4137</v>
      </c>
      <c r="F911" s="1" t="str">
        <f t="shared" si="64" ref="F911:G911">""</f>
        <v/>
      </c>
      <c r="G911" s="1" t="str">
        <f t="shared" si="64"/>
        <v/>
      </c>
      <c r="H911" s="1">
        <v>5.0</v>
      </c>
      <c r="I911" s="1">
        <v>3.74</v>
      </c>
      <c r="J911" s="1" t="s">
        <v>1325</v>
      </c>
      <c r="K911" s="1" t="s">
        <v>44</v>
      </c>
      <c r="L911" s="1">
        <v>473.0</v>
      </c>
      <c r="M911" s="1">
        <v>2014.0</v>
      </c>
      <c r="N911" s="1">
        <v>2013.0</v>
      </c>
      <c r="O911" s="2">
        <v>42375.0</v>
      </c>
      <c r="P911" s="2">
        <v>42339.0</v>
      </c>
      <c r="Q911" s="1" t="s">
        <v>4145</v>
      </c>
      <c r="R911" s="1" t="s">
        <v>4146</v>
      </c>
      <c r="S911" s="1" t="s">
        <v>271</v>
      </c>
      <c r="W911" s="1">
        <v>1.0</v>
      </c>
      <c r="X911" s="1">
        <v>0.0</v>
      </c>
    </row>
    <row r="912" spans="1:24" ht="15.75" customHeight="1">
      <c r="A912" s="1">
        <v>1.1076138E7</v>
      </c>
      <c r="B912" s="1" t="s">
        <v>4147</v>
      </c>
      <c r="C912" s="1" t="s">
        <v>4148</v>
      </c>
      <c r="D912" s="1" t="s">
        <v>4149</v>
      </c>
      <c r="F912" s="1" t="str">
        <f>"024114311X"</f>
        <v>024114311X</v>
      </c>
      <c r="G912" s="1" t="str">
        <f>"9780241143117"</f>
        <v>9780241143117</v>
      </c>
      <c r="H912" s="1">
        <v>0.0</v>
      </c>
      <c r="I912" s="1">
        <v>3.65</v>
      </c>
      <c r="J912" s="1" t="s">
        <v>1378</v>
      </c>
      <c r="K912" s="1" t="s">
        <v>44</v>
      </c>
      <c r="L912" s="1">
        <v>383.0</v>
      </c>
      <c r="M912" s="1">
        <v>2011.0</v>
      </c>
      <c r="N912" s="1">
        <v>2011.0</v>
      </c>
      <c r="P912" s="2">
        <v>44459.0</v>
      </c>
      <c r="Q912" s="1" t="s">
        <v>32</v>
      </c>
      <c r="R912" s="1" t="s">
        <v>4150</v>
      </c>
      <c r="S912" s="1" t="s">
        <v>32</v>
      </c>
      <c r="W912" s="1">
        <v>0.0</v>
      </c>
      <c r="X912" s="1">
        <v>0.0</v>
      </c>
    </row>
    <row r="913" spans="1:24" ht="15.75" customHeight="1">
      <c r="A913" s="38">
        <v>415459.0</v>
      </c>
      <c r="B913" s="38" t="s">
        <v>4151</v>
      </c>
      <c r="C913" s="38" t="s">
        <v>4152</v>
      </c>
      <c r="D913" s="38" t="s">
        <v>4153</v>
      </c>
      <c r="E913" s="38" t="s">
        <v>4154</v>
      </c>
      <c r="F913" s="38" t="str">
        <f>"0441363954"</f>
        <v>0441363954</v>
      </c>
      <c r="G913" s="38" t="str">
        <f>"9780441363957"</f>
        <v>9780441363957</v>
      </c>
      <c r="H913" s="38">
        <v>0.0</v>
      </c>
      <c r="I913" s="38">
        <v>3.9</v>
      </c>
      <c r="J913" s="38" t="s">
        <v>4155</v>
      </c>
      <c r="K913" s="38" t="s">
        <v>1225</v>
      </c>
      <c r="L913" s="38">
        <v>134.0</v>
      </c>
      <c r="M913" s="38">
        <v>1967.0</v>
      </c>
      <c r="N913" s="38">
        <v>1967.0</v>
      </c>
      <c r="O913" s="39"/>
      <c r="P913" s="40">
        <v>45168.0</v>
      </c>
      <c r="Q913" s="41" t="s">
        <v>871</v>
      </c>
      <c r="R913" s="38" t="s">
        <v>4156</v>
      </c>
      <c r="S913" s="38" t="s">
        <v>32</v>
      </c>
      <c r="T913" s="39"/>
      <c r="U913" s="39"/>
      <c r="V913" s="39"/>
      <c r="W913" s="38">
        <v>0.0</v>
      </c>
      <c r="X913" s="38">
        <v>0.0</v>
      </c>
    </row>
    <row r="914" spans="1:24" ht="15.75" customHeight="1">
      <c r="A914" s="38">
        <v>182549.0</v>
      </c>
      <c r="B914" s="38" t="s">
        <v>4157</v>
      </c>
      <c r="C914" s="38" t="s">
        <v>4152</v>
      </c>
      <c r="D914" s="38" t="s">
        <v>4153</v>
      </c>
      <c r="E914" s="39"/>
      <c r="F914" s="38" t="str">
        <f>"0759229945"</f>
        <v>0759229945</v>
      </c>
      <c r="G914" s="38" t="str">
        <f>"9780759229945"</f>
        <v>9780759229945</v>
      </c>
      <c r="H914" s="38">
        <v>0.0</v>
      </c>
      <c r="I914" s="38">
        <v>4.05</v>
      </c>
      <c r="J914" s="38" t="s">
        <v>4158</v>
      </c>
      <c r="K914" s="38" t="s">
        <v>44</v>
      </c>
      <c r="L914" s="38">
        <v>172.0</v>
      </c>
      <c r="M914" s="38">
        <v>1999.0</v>
      </c>
      <c r="N914" s="38">
        <v>1965.0</v>
      </c>
      <c r="O914" s="39"/>
      <c r="P914" s="40">
        <v>45168.0</v>
      </c>
      <c r="Q914" s="41" t="s">
        <v>871</v>
      </c>
      <c r="R914" s="38" t="s">
        <v>4159</v>
      </c>
      <c r="S914" s="38" t="s">
        <v>32</v>
      </c>
      <c r="T914" s="39"/>
      <c r="U914" s="39"/>
      <c r="V914" s="39"/>
      <c r="W914" s="38">
        <v>0.0</v>
      </c>
      <c r="X914" s="38">
        <v>0.0</v>
      </c>
    </row>
    <row r="915" spans="1:24" ht="15.75" customHeight="1">
      <c r="A915" s="1">
        <v>66776.0</v>
      </c>
      <c r="B915" s="1" t="s">
        <v>4160</v>
      </c>
      <c r="C915" s="1" t="s">
        <v>4161</v>
      </c>
      <c r="D915" s="1" t="s">
        <v>4162</v>
      </c>
      <c r="F915" s="1" t="str">
        <f>"0486447871"</f>
        <v>0486447871</v>
      </c>
      <c r="G915" s="1" t="str">
        <f>"9780486447872"</f>
        <v>9780486447872</v>
      </c>
      <c r="H915" s="1">
        <v>0.0</v>
      </c>
      <c r="I915" s="1">
        <v>4.2</v>
      </c>
      <c r="J915" s="1" t="s">
        <v>910</v>
      </c>
      <c r="K915" s="1" t="s">
        <v>44</v>
      </c>
      <c r="L915" s="1">
        <v>784.0</v>
      </c>
      <c r="M915" s="1">
        <v>2006.0</v>
      </c>
      <c r="N915" s="1">
        <v>1974.0</v>
      </c>
      <c r="P915" s="2">
        <v>44959.0</v>
      </c>
      <c r="Q915" s="1" t="s">
        <v>935</v>
      </c>
      <c r="R915" s="1" t="s">
        <v>4163</v>
      </c>
      <c r="S915" s="1" t="s">
        <v>32</v>
      </c>
      <c r="W915" s="1">
        <v>0.0</v>
      </c>
      <c r="X915" s="1">
        <v>0.0</v>
      </c>
    </row>
    <row r="916" spans="1:24" ht="15.75" customHeight="1">
      <c r="A916" s="1">
        <v>20941.0</v>
      </c>
      <c r="B916" s="1" t="s">
        <v>4164</v>
      </c>
      <c r="C916" s="1" t="s">
        <v>3270</v>
      </c>
      <c r="D916" s="1" t="s">
        <v>4165</v>
      </c>
      <c r="F916" s="1" t="str">
        <f>"1573225142"</f>
        <v>1573225142</v>
      </c>
      <c r="G916" s="1" t="str">
        <f>"9781573225144"</f>
        <v>9781573225144</v>
      </c>
      <c r="H916" s="1">
        <v>0.0</v>
      </c>
      <c r="I916" s="1">
        <v>3.86</v>
      </c>
      <c r="J916" s="1" t="s">
        <v>2218</v>
      </c>
      <c r="K916" s="1" t="s">
        <v>44</v>
      </c>
      <c r="L916" s="1">
        <v>546.0</v>
      </c>
      <c r="M916" s="1">
        <v>1995.0</v>
      </c>
      <c r="N916" s="1">
        <v>1994.0</v>
      </c>
      <c r="P916" s="2">
        <v>45109.0</v>
      </c>
      <c r="Q916" s="1" t="s">
        <v>3722</v>
      </c>
      <c r="R916" s="1" t="s">
        <v>4166</v>
      </c>
      <c r="S916" s="1" t="s">
        <v>32</v>
      </c>
      <c r="W916" s="1">
        <v>0.0</v>
      </c>
      <c r="X916" s="1">
        <v>0.0</v>
      </c>
    </row>
    <row r="917" spans="1:24" ht="15.75" customHeight="1">
      <c r="A917" s="1">
        <v>20942.0</v>
      </c>
      <c r="B917" s="1" t="s">
        <v>4167</v>
      </c>
      <c r="C917" s="1" t="s">
        <v>3270</v>
      </c>
      <c r="D917" s="1" t="s">
        <v>4165</v>
      </c>
      <c r="F917" s="1" t="str">
        <f>"157322751X"</f>
        <v>157322751X</v>
      </c>
      <c r="G917" s="1" t="str">
        <f>"9781573227513"</f>
        <v>9781573227513</v>
      </c>
      <c r="H917" s="1">
        <v>0.0</v>
      </c>
      <c r="I917" s="1">
        <v>4.03</v>
      </c>
      <c r="J917" s="1" t="s">
        <v>4168</v>
      </c>
      <c r="K917" s="1" t="s">
        <v>44</v>
      </c>
      <c r="L917" s="1">
        <v>745.0</v>
      </c>
      <c r="M917" s="1">
        <v>1999.0</v>
      </c>
      <c r="N917" s="1">
        <v>1998.0</v>
      </c>
      <c r="P917" s="2">
        <v>45181.0</v>
      </c>
      <c r="Q917" s="1" t="s">
        <v>249</v>
      </c>
      <c r="R917" s="1" t="s">
        <v>4169</v>
      </c>
      <c r="S917" s="1" t="s">
        <v>32</v>
      </c>
      <c r="W917" s="1">
        <v>0.0</v>
      </c>
      <c r="X917" s="1">
        <v>0.0</v>
      </c>
    </row>
    <row r="918" spans="1:24" ht="15.75" customHeight="1">
      <c r="A918" s="1">
        <v>20943.0</v>
      </c>
      <c r="B918" s="1" t="s">
        <v>4170</v>
      </c>
      <c r="C918" s="1" t="s">
        <v>3270</v>
      </c>
      <c r="D918" s="1" t="s">
        <v>4165</v>
      </c>
      <c r="F918" s="1" t="str">
        <f>"0684859076"</f>
        <v>0684859076</v>
      </c>
      <c r="G918" s="1" t="str">
        <f>"9780684859071"</f>
        <v>9780684859071</v>
      </c>
      <c r="H918" s="1">
        <v>0.0</v>
      </c>
      <c r="I918" s="1">
        <v>3.6</v>
      </c>
      <c r="J918" s="1" t="s">
        <v>88</v>
      </c>
      <c r="K918" s="1" t="s">
        <v>44</v>
      </c>
      <c r="L918" s="1">
        <v>288.0</v>
      </c>
      <c r="M918" s="1">
        <v>2001.0</v>
      </c>
      <c r="N918" s="1">
        <v>2000.0</v>
      </c>
      <c r="P918" s="2">
        <v>45111.0</v>
      </c>
      <c r="Q918" s="1" t="s">
        <v>32</v>
      </c>
      <c r="R918" s="1" t="s">
        <v>4171</v>
      </c>
      <c r="S918" s="1" t="s">
        <v>32</v>
      </c>
      <c r="W918" s="1">
        <v>0.0</v>
      </c>
      <c r="X918" s="1">
        <v>0.0</v>
      </c>
    </row>
    <row r="919" spans="1:24" ht="15.75" customHeight="1">
      <c r="A919" s="1">
        <v>1.4781555E7</v>
      </c>
      <c r="B919" s="1" t="s">
        <v>4172</v>
      </c>
      <c r="C919" s="1" t="s">
        <v>4173</v>
      </c>
      <c r="D919" s="1" t="s">
        <v>4174</v>
      </c>
      <c r="F919" s="1" t="str">
        <f>"0316277177"</f>
        <v>0316277177</v>
      </c>
      <c r="G919" s="1" t="str">
        <f>"9780316277174"</f>
        <v>9780316277174</v>
      </c>
      <c r="H919" s="1">
        <v>0.0</v>
      </c>
      <c r="I919" s="1">
        <v>3.64</v>
      </c>
      <c r="J919" s="1" t="s">
        <v>1963</v>
      </c>
      <c r="K919" s="1" t="s">
        <v>37</v>
      </c>
      <c r="L919" s="1">
        <v>416.0</v>
      </c>
      <c r="M919" s="1">
        <v>2017.0</v>
      </c>
      <c r="N919" s="1">
        <v>2017.0</v>
      </c>
      <c r="P919" s="2">
        <v>42952.0</v>
      </c>
      <c r="Q919" s="1" t="s">
        <v>32</v>
      </c>
      <c r="R919" s="1" t="s">
        <v>4175</v>
      </c>
      <c r="S919" s="1" t="s">
        <v>32</v>
      </c>
      <c r="W919" s="1">
        <v>0.0</v>
      </c>
      <c r="X919" s="1">
        <v>0.0</v>
      </c>
    </row>
    <row r="920" spans="1:24" ht="15.75" customHeight="1">
      <c r="A920" s="1">
        <v>6496061.0</v>
      </c>
      <c r="B920" s="1" t="s">
        <v>4176</v>
      </c>
      <c r="C920" s="1" t="s">
        <v>4177</v>
      </c>
      <c r="D920" s="1" t="s">
        <v>4178</v>
      </c>
      <c r="F920" s="1" t="str">
        <f>"0673583503"</f>
        <v>0673583503</v>
      </c>
      <c r="G920" s="1" t="str">
        <f>"9780673583505"</f>
        <v>9780673583505</v>
      </c>
      <c r="H920" s="1">
        <v>0.0</v>
      </c>
      <c r="I920" s="1">
        <v>4.26</v>
      </c>
      <c r="J920" s="1" t="s">
        <v>4179</v>
      </c>
      <c r="K920" s="1" t="s">
        <v>37</v>
      </c>
      <c r="L920" s="1">
        <v>281.0</v>
      </c>
      <c r="M920" s="1">
        <v>1982.0</v>
      </c>
      <c r="N920" s="1">
        <v>1960.0</v>
      </c>
      <c r="P920" s="2">
        <v>44814.0</v>
      </c>
      <c r="Q920" s="1" t="s">
        <v>502</v>
      </c>
      <c r="R920" s="1" t="s">
        <v>4180</v>
      </c>
      <c r="S920" s="1" t="s">
        <v>32</v>
      </c>
      <c r="W920" s="1">
        <v>0.0</v>
      </c>
      <c r="X920" s="1">
        <v>0.0</v>
      </c>
    </row>
    <row r="921" spans="1:24" ht="15.75" customHeight="1">
      <c r="A921" s="1">
        <v>2657.0</v>
      </c>
      <c r="B921" s="1" t="s">
        <v>4176</v>
      </c>
      <c r="C921" s="1" t="s">
        <v>4177</v>
      </c>
      <c r="D921" s="1" t="s">
        <v>4178</v>
      </c>
      <c r="F921" s="1" t="str">
        <f t="shared" si="65" ref="F921:G921">""</f>
        <v/>
      </c>
      <c r="G921" s="1" t="str">
        <f t="shared" si="65"/>
        <v/>
      </c>
      <c r="H921" s="1">
        <v>5.0</v>
      </c>
      <c r="I921" s="1">
        <v>4.26</v>
      </c>
      <c r="J921" s="1" t="s">
        <v>397</v>
      </c>
      <c r="K921" s="1" t="s">
        <v>44</v>
      </c>
      <c r="L921" s="1">
        <v>323.0</v>
      </c>
      <c r="M921" s="1">
        <v>2006.0</v>
      </c>
      <c r="N921" s="1">
        <v>1960.0</v>
      </c>
      <c r="O921" s="2">
        <v>41323.0</v>
      </c>
      <c r="P921" s="2">
        <v>41310.0</v>
      </c>
      <c r="S921" s="1" t="s">
        <v>271</v>
      </c>
      <c r="W921" s="1">
        <v>1.0</v>
      </c>
      <c r="X921" s="1">
        <v>0.0</v>
      </c>
    </row>
    <row r="922" spans="1:24" ht="15.75" customHeight="1">
      <c r="A922" s="1">
        <v>1.22435777E8</v>
      </c>
      <c r="B922" s="1" t="s">
        <v>4181</v>
      </c>
      <c r="C922" s="1" t="s">
        <v>4182</v>
      </c>
      <c r="D922" s="1" t="s">
        <v>4183</v>
      </c>
      <c r="F922" s="1" t="str">
        <f>""</f>
        <v/>
      </c>
      <c r="G922" s="1" t="str">
        <f>"9798840306406"</f>
        <v>9798840306406</v>
      </c>
      <c r="H922" s="1">
        <v>0.0</v>
      </c>
      <c r="I922" s="1">
        <v>3.9</v>
      </c>
      <c r="J922" s="1" t="s">
        <v>4184</v>
      </c>
      <c r="K922" s="1" t="s">
        <v>44</v>
      </c>
      <c r="L922" s="1">
        <v>566.0</v>
      </c>
      <c r="M922" s="1">
        <v>2022.0</v>
      </c>
      <c r="N922" s="1">
        <v>1852.0</v>
      </c>
      <c r="P922" s="2">
        <v>45163.0</v>
      </c>
      <c r="Q922" s="1" t="s">
        <v>818</v>
      </c>
      <c r="R922" s="1" t="s">
        <v>4185</v>
      </c>
      <c r="S922" s="1" t="s">
        <v>32</v>
      </c>
      <c r="V922" s="1" t="s">
        <v>3620</v>
      </c>
      <c r="W922" s="1">
        <v>0.0</v>
      </c>
      <c r="X922" s="1">
        <v>1.0</v>
      </c>
    </row>
    <row r="923" spans="1:24" ht="15.75" customHeight="1">
      <c r="A923" s="1">
        <v>5.6213251E7</v>
      </c>
      <c r="B923" s="1" t="s">
        <v>4186</v>
      </c>
      <c r="C923" s="1" t="s">
        <v>4187</v>
      </c>
      <c r="D923" s="1" t="s">
        <v>4188</v>
      </c>
      <c r="F923" s="1" t="str">
        <f>"0691226032"</f>
        <v>0691226032</v>
      </c>
      <c r="G923" s="1" t="str">
        <f>"9780691226033"</f>
        <v>9780691226033</v>
      </c>
      <c r="H923" s="1">
        <v>0.0</v>
      </c>
      <c r="I923" s="1">
        <v>3.58</v>
      </c>
      <c r="J923" s="1" t="s">
        <v>1011</v>
      </c>
      <c r="K923" s="1" t="s">
        <v>37</v>
      </c>
      <c r="L923" s="1">
        <v>80.0</v>
      </c>
      <c r="M923" s="1">
        <v>2021.0</v>
      </c>
      <c r="N923" s="1">
        <v>1986.0</v>
      </c>
      <c r="P923" s="2">
        <v>45113.0</v>
      </c>
      <c r="Q923" s="1" t="s">
        <v>1207</v>
      </c>
      <c r="R923" s="1" t="s">
        <v>4189</v>
      </c>
      <c r="S923" s="1" t="s">
        <v>32</v>
      </c>
      <c r="W923" s="1">
        <v>0.0</v>
      </c>
      <c r="X923" s="1">
        <v>1.0</v>
      </c>
    </row>
    <row r="924" spans="1:24" ht="15.75" customHeight="1">
      <c r="A924" s="1">
        <v>4929.0</v>
      </c>
      <c r="B924" s="1" t="s">
        <v>4190</v>
      </c>
      <c r="C924" s="1" t="s">
        <v>4191</v>
      </c>
      <c r="D924" s="1" t="s">
        <v>4192</v>
      </c>
      <c r="E924" s="1" t="s">
        <v>4193</v>
      </c>
      <c r="F924" s="1" t="str">
        <f>"1400079276"</f>
        <v>1400079276</v>
      </c>
      <c r="G924" s="1" t="str">
        <f>"9781400079278"</f>
        <v>9781400079278</v>
      </c>
      <c r="H924" s="1">
        <v>3.0</v>
      </c>
      <c r="I924" s="1">
        <v>4.13</v>
      </c>
      <c r="J924" s="1" t="s">
        <v>317</v>
      </c>
      <c r="K924" s="1" t="s">
        <v>44</v>
      </c>
      <c r="L924" s="1">
        <v>467.0</v>
      </c>
      <c r="M924" s="1">
        <v>2006.0</v>
      </c>
      <c r="N924" s="1">
        <v>2002.0</v>
      </c>
      <c r="O924" s="2">
        <v>41488.0</v>
      </c>
      <c r="P924" s="2">
        <v>41063.0</v>
      </c>
      <c r="Q924" s="1" t="s">
        <v>594</v>
      </c>
      <c r="R924" s="1" t="s">
        <v>4194</v>
      </c>
      <c r="S924" s="1" t="s">
        <v>271</v>
      </c>
      <c r="T924" s="1" t="s">
        <v>4195</v>
      </c>
      <c r="W924" s="1">
        <v>1.0</v>
      </c>
      <c r="X924" s="1">
        <v>1.0</v>
      </c>
    </row>
    <row r="925" spans="1:24" ht="15.75" customHeight="1">
      <c r="A925" s="1">
        <v>2032280.0</v>
      </c>
      <c r="B925" s="1" t="s">
        <v>4196</v>
      </c>
      <c r="C925" s="1" t="s">
        <v>4197</v>
      </c>
      <c r="D925" s="1" t="s">
        <v>4198</v>
      </c>
      <c r="F925" s="1" t="str">
        <f>"0880483636"</f>
        <v>0880483636</v>
      </c>
      <c r="G925" s="1" t="str">
        <f>"9780880483636"</f>
        <v>9780880483636</v>
      </c>
      <c r="H925" s="1">
        <v>0.0</v>
      </c>
      <c r="I925" s="1">
        <v>4.54</v>
      </c>
      <c r="J925" s="1" t="s">
        <v>4199</v>
      </c>
      <c r="K925" s="1" t="s">
        <v>37</v>
      </c>
      <c r="L925" s="1">
        <v>312.0</v>
      </c>
      <c r="M925" s="1">
        <v>1990.0</v>
      </c>
      <c r="N925" s="1">
        <v>1990.0</v>
      </c>
      <c r="P925" s="3">
        <v>45271.0</v>
      </c>
      <c r="Q925" s="1" t="s">
        <v>479</v>
      </c>
      <c r="R925" s="1" t="s">
        <v>4200</v>
      </c>
      <c r="S925" s="1" t="s">
        <v>32</v>
      </c>
      <c r="W925" s="1">
        <v>0.0</v>
      </c>
      <c r="X925" s="1">
        <v>0.0</v>
      </c>
    </row>
    <row r="926" spans="1:24" ht="15.75" customHeight="1">
      <c r="A926" s="1">
        <v>5.8724737E7</v>
      </c>
      <c r="B926" s="1" t="s">
        <v>4201</v>
      </c>
      <c r="C926" s="1" t="s">
        <v>4202</v>
      </c>
      <c r="D926" s="1" t="s">
        <v>4203</v>
      </c>
      <c r="F926" s="1" t="str">
        <f>"1250281849"</f>
        <v>1250281849</v>
      </c>
      <c r="G926" s="1" t="str">
        <f>"9781250281845"</f>
        <v>9781250281845</v>
      </c>
      <c r="H926" s="1">
        <v>0.0</v>
      </c>
      <c r="I926" s="1">
        <v>4.25</v>
      </c>
      <c r="J926" s="1" t="s">
        <v>2484</v>
      </c>
      <c r="K926" s="1" t="s">
        <v>37</v>
      </c>
      <c r="L926" s="1">
        <v>288.0</v>
      </c>
      <c r="M926" s="1">
        <v>2022.0</v>
      </c>
      <c r="N926" s="1">
        <v>2022.0</v>
      </c>
      <c r="P926" s="2">
        <v>45143.0</v>
      </c>
      <c r="Q926" s="1" t="s">
        <v>55</v>
      </c>
      <c r="R926" s="1" t="s">
        <v>4204</v>
      </c>
      <c r="S926" s="1" t="s">
        <v>32</v>
      </c>
      <c r="W926" s="1">
        <v>0.0</v>
      </c>
      <c r="X926" s="1">
        <v>0.0</v>
      </c>
    </row>
    <row r="927" spans="1:24" ht="15.75" customHeight="1">
      <c r="A927" s="1">
        <v>152058.0</v>
      </c>
      <c r="B927" s="1" t="s">
        <v>4205</v>
      </c>
      <c r="C927" s="1" t="s">
        <v>4206</v>
      </c>
      <c r="D927" s="1" t="s">
        <v>4207</v>
      </c>
      <c r="F927" s="1" t="str">
        <f>"0060520604"</f>
        <v>0060520604</v>
      </c>
      <c r="G927" s="1" t="str">
        <f>"9780060520601"</f>
        <v>9780060520601</v>
      </c>
      <c r="H927" s="1">
        <v>0.0</v>
      </c>
      <c r="I927" s="1">
        <v>4.14</v>
      </c>
      <c r="J927" s="1" t="s">
        <v>917</v>
      </c>
      <c r="K927" s="1" t="s">
        <v>44</v>
      </c>
      <c r="L927" s="1">
        <v>464.0</v>
      </c>
      <c r="M927" s="1">
        <v>2006.0</v>
      </c>
      <c r="N927" s="1">
        <v>2005.0</v>
      </c>
      <c r="P927" s="2">
        <v>44242.0</v>
      </c>
      <c r="Q927" s="1" t="s">
        <v>109</v>
      </c>
      <c r="R927" s="1" t="s">
        <v>4208</v>
      </c>
      <c r="S927" s="1" t="s">
        <v>32</v>
      </c>
      <c r="W927" s="1">
        <v>0.0</v>
      </c>
      <c r="X927" s="1">
        <v>0.0</v>
      </c>
    </row>
    <row r="928" spans="1:24" ht="15.75" customHeight="1">
      <c r="A928" s="1">
        <v>5.0391716E7</v>
      </c>
      <c r="B928" s="1" t="s">
        <v>4209</v>
      </c>
      <c r="C928" s="1" t="s">
        <v>4210</v>
      </c>
      <c r="D928" s="1" t="s">
        <v>4211</v>
      </c>
      <c r="F928" s="1" t="str">
        <f>"1989783015"</f>
        <v>1989783015</v>
      </c>
      <c r="G928" s="1" t="str">
        <f>"9781989783016"</f>
        <v>9781989783016</v>
      </c>
      <c r="H928" s="1">
        <v>0.0</v>
      </c>
      <c r="I928" s="1">
        <v>4.57</v>
      </c>
      <c r="J928" s="1" t="s">
        <v>4212</v>
      </c>
      <c r="K928" s="1" t="s">
        <v>44</v>
      </c>
      <c r="L928" s="1">
        <v>437.0</v>
      </c>
      <c r="M928" s="1">
        <v>2020.0</v>
      </c>
      <c r="N928" s="1">
        <v>2020.0</v>
      </c>
      <c r="P928" s="2">
        <v>43992.0</v>
      </c>
      <c r="Q928" s="1" t="s">
        <v>32</v>
      </c>
      <c r="R928" s="1" t="s">
        <v>4213</v>
      </c>
      <c r="S928" s="1" t="s">
        <v>32</v>
      </c>
      <c r="W928" s="1">
        <v>0.0</v>
      </c>
      <c r="X928" s="1">
        <v>0.0</v>
      </c>
    </row>
    <row r="929" spans="1:24" ht="15.75" customHeight="1">
      <c r="A929" s="1">
        <v>5.4785524E7</v>
      </c>
      <c r="B929" s="1" t="s">
        <v>4214</v>
      </c>
      <c r="C929" s="1" t="s">
        <v>4215</v>
      </c>
      <c r="D929" s="1" t="s">
        <v>4216</v>
      </c>
      <c r="F929" s="1" t="str">
        <f>"0374115265"</f>
        <v>0374115265</v>
      </c>
      <c r="G929" s="1" t="str">
        <f>"9780374115265"</f>
        <v>9780374115265</v>
      </c>
      <c r="H929" s="1">
        <v>0.0</v>
      </c>
      <c r="I929" s="1">
        <v>3.56</v>
      </c>
      <c r="J929" s="1" t="s">
        <v>438</v>
      </c>
      <c r="K929" s="1" t="s">
        <v>37</v>
      </c>
      <c r="L929" s="1">
        <v>176.0</v>
      </c>
      <c r="M929" s="1">
        <v>2021.0</v>
      </c>
      <c r="N929" s="1">
        <v>2021.0</v>
      </c>
      <c r="P929" s="2">
        <v>45168.0</v>
      </c>
      <c r="Q929" s="1" t="s">
        <v>32</v>
      </c>
      <c r="R929" s="1" t="s">
        <v>4217</v>
      </c>
      <c r="S929" s="1" t="s">
        <v>32</v>
      </c>
      <c r="W929" s="1">
        <v>0.0</v>
      </c>
      <c r="X929" s="1">
        <v>0.0</v>
      </c>
    </row>
    <row r="930" spans="1:24" ht="15.75" customHeight="1">
      <c r="A930" s="1">
        <v>3.7969722E7</v>
      </c>
      <c r="B930" s="1" t="s">
        <v>4218</v>
      </c>
      <c r="C930" s="1" t="s">
        <v>4219</v>
      </c>
      <c r="D930" s="1" t="s">
        <v>4220</v>
      </c>
      <c r="F930" s="1" t="str">
        <f>"0385542887"</f>
        <v>0385542887</v>
      </c>
      <c r="G930" s="1" t="str">
        <f>"9780385542883"</f>
        <v>9780385542883</v>
      </c>
      <c r="H930" s="1">
        <v>0.0</v>
      </c>
      <c r="I930" s="1">
        <v>3.65</v>
      </c>
      <c r="J930" s="1" t="s">
        <v>4138</v>
      </c>
      <c r="K930" s="1" t="s">
        <v>37</v>
      </c>
      <c r="L930" s="1">
        <v>240.0</v>
      </c>
      <c r="M930" s="1">
        <v>2018.0</v>
      </c>
      <c r="N930" s="1">
        <v>2018.0</v>
      </c>
      <c r="P930" s="2">
        <v>43919.0</v>
      </c>
      <c r="Q930" s="1" t="s">
        <v>338</v>
      </c>
      <c r="R930" s="1" t="s">
        <v>4221</v>
      </c>
      <c r="S930" s="1" t="s">
        <v>32</v>
      </c>
      <c r="W930" s="1">
        <v>0.0</v>
      </c>
      <c r="X930" s="1">
        <v>0.0</v>
      </c>
    </row>
    <row r="931" spans="1:24" ht="15.75" customHeight="1">
      <c r="A931" s="1">
        <v>1.3128268E7</v>
      </c>
      <c r="B931" s="1" t="s">
        <v>4222</v>
      </c>
      <c r="C931" s="1" t="s">
        <v>4223</v>
      </c>
      <c r="D931" s="1" t="s">
        <v>4224</v>
      </c>
      <c r="F931" s="1" t="str">
        <f>"9870415938"</f>
        <v>9870415938</v>
      </c>
      <c r="G931" s="1" t="str">
        <f>"9789870415930"</f>
        <v>9789870415930</v>
      </c>
      <c r="H931" s="1">
        <v>0.0</v>
      </c>
      <c r="I931" s="1">
        <v>4.4</v>
      </c>
      <c r="J931" s="1" t="s">
        <v>4225</v>
      </c>
      <c r="K931" s="1" t="s">
        <v>44</v>
      </c>
      <c r="L931" s="1">
        <v>512.0</v>
      </c>
      <c r="M931" s="1">
        <v>2010.0</v>
      </c>
      <c r="N931" s="1">
        <v>2010.0</v>
      </c>
      <c r="P931" s="3">
        <v>44118.0</v>
      </c>
      <c r="Q931" s="1" t="s">
        <v>32</v>
      </c>
      <c r="R931" s="1" t="s">
        <v>4226</v>
      </c>
      <c r="S931" s="1" t="s">
        <v>32</v>
      </c>
      <c r="W931" s="1">
        <v>0.0</v>
      </c>
      <c r="X931" s="1">
        <v>0.0</v>
      </c>
    </row>
    <row r="932" spans="1:24" ht="15.75" customHeight="1">
      <c r="A932" s="1">
        <v>9954162.0</v>
      </c>
      <c r="B932" s="1" t="s">
        <v>4227</v>
      </c>
      <c r="C932" s="1" t="s">
        <v>4228</v>
      </c>
      <c r="D932" s="1" t="s">
        <v>4229</v>
      </c>
      <c r="F932" s="1" t="str">
        <f>"9681654269"</f>
        <v>9681654269</v>
      </c>
      <c r="G932" s="1" t="str">
        <f>"9789681654269"</f>
        <v>9789681654269</v>
      </c>
      <c r="H932" s="1">
        <v>0.0</v>
      </c>
      <c r="I932" s="1">
        <v>4.38</v>
      </c>
      <c r="J932" s="1" t="s">
        <v>1783</v>
      </c>
      <c r="K932" s="1" t="s">
        <v>44</v>
      </c>
      <c r="L932" s="1">
        <v>202.0</v>
      </c>
      <c r="M932" s="1">
        <v>1997.0</v>
      </c>
      <c r="N932" s="1">
        <v>1995.0</v>
      </c>
      <c r="P932" s="2">
        <v>43976.0</v>
      </c>
      <c r="Q932" s="1" t="s">
        <v>32</v>
      </c>
      <c r="R932" s="1" t="s">
        <v>4230</v>
      </c>
      <c r="S932" s="1" t="s">
        <v>32</v>
      </c>
      <c r="W932" s="1">
        <v>0.0</v>
      </c>
      <c r="X932" s="1">
        <v>0.0</v>
      </c>
    </row>
    <row r="933" spans="1:24" ht="15.75" customHeight="1">
      <c r="A933" s="1">
        <v>3.5242824E7</v>
      </c>
      <c r="B933" s="1" t="s">
        <v>4231</v>
      </c>
      <c r="C933" s="1" t="s">
        <v>4232</v>
      </c>
      <c r="D933" s="1" t="s">
        <v>4233</v>
      </c>
      <c r="F933" s="1" t="str">
        <f>"0143196421"</f>
        <v>0143196421</v>
      </c>
      <c r="G933" s="1" t="str">
        <f>"9780143196426"</f>
        <v>9780143196426</v>
      </c>
      <c r="H933" s="1">
        <v>0.0</v>
      </c>
      <c r="I933" s="1">
        <v>3.43</v>
      </c>
      <c r="J933" s="1" t="s">
        <v>1378</v>
      </c>
      <c r="K933" s="1" t="s">
        <v>44</v>
      </c>
      <c r="L933" s="1">
        <v>320.0</v>
      </c>
      <c r="M933" s="1">
        <v>2018.0</v>
      </c>
      <c r="N933" s="1">
        <v>2018.0</v>
      </c>
      <c r="P933" s="3">
        <v>44152.0</v>
      </c>
      <c r="Q933" s="1" t="s">
        <v>32</v>
      </c>
      <c r="R933" s="1" t="s">
        <v>4234</v>
      </c>
      <c r="S933" s="1" t="s">
        <v>32</v>
      </c>
      <c r="W933" s="1">
        <v>0.0</v>
      </c>
      <c r="X933" s="1">
        <v>0.0</v>
      </c>
    </row>
    <row r="934" spans="1:24" ht="15.75" customHeight="1">
      <c r="A934" s="1">
        <v>1.7560327E7</v>
      </c>
      <c r="B934" s="1" t="s">
        <v>4235</v>
      </c>
      <c r="C934" s="1" t="s">
        <v>4236</v>
      </c>
      <c r="D934" s="1" t="s">
        <v>4237</v>
      </c>
      <c r="F934" s="1" t="str">
        <f t="shared" si="66" ref="F934:G934">""</f>
        <v/>
      </c>
      <c r="G934" s="1" t="str">
        <f t="shared" si="66"/>
        <v/>
      </c>
      <c r="H934" s="1">
        <v>0.0</v>
      </c>
      <c r="I934" s="1">
        <v>4.04</v>
      </c>
      <c r="J934" s="1" t="s">
        <v>4238</v>
      </c>
      <c r="K934" s="1" t="s">
        <v>44</v>
      </c>
      <c r="L934" s="1">
        <v>194.0</v>
      </c>
      <c r="M934" s="1">
        <v>2013.0</v>
      </c>
      <c r="N934" s="1">
        <v>2012.0</v>
      </c>
      <c r="P934" s="2">
        <v>41466.0</v>
      </c>
      <c r="Q934" s="1" t="s">
        <v>32</v>
      </c>
      <c r="R934" s="1" t="s">
        <v>4239</v>
      </c>
      <c r="S934" s="1" t="s">
        <v>32</v>
      </c>
      <c r="W934" s="1">
        <v>0.0</v>
      </c>
      <c r="X934" s="1">
        <v>0.0</v>
      </c>
    </row>
    <row r="935" spans="1:24" ht="15.75" customHeight="1">
      <c r="A935" s="1">
        <v>71471.0</v>
      </c>
      <c r="B935" s="1" t="s">
        <v>4240</v>
      </c>
      <c r="C935" s="1" t="s">
        <v>4241</v>
      </c>
      <c r="D935" s="1" t="s">
        <v>4242</v>
      </c>
      <c r="F935" s="1" t="str">
        <f>"1919713603"</f>
        <v>1919713603</v>
      </c>
      <c r="G935" s="1" t="str">
        <f>"9781919713601"</f>
        <v>9781919713601</v>
      </c>
      <c r="H935" s="1">
        <v>0.0</v>
      </c>
      <c r="I935" s="1">
        <v>3.4</v>
      </c>
      <c r="J935" s="1" t="s">
        <v>4243</v>
      </c>
      <c r="K935" s="1" t="s">
        <v>44</v>
      </c>
      <c r="L935" s="1">
        <v>338.0</v>
      </c>
      <c r="M935" s="1">
        <v>2004.0</v>
      </c>
      <c r="N935" s="1">
        <v>1998.0</v>
      </c>
      <c r="P935" s="3">
        <v>45274.0</v>
      </c>
      <c r="Q935" s="1" t="s">
        <v>479</v>
      </c>
      <c r="R935" s="1" t="s">
        <v>4244</v>
      </c>
      <c r="S935" s="1" t="s">
        <v>32</v>
      </c>
      <c r="W935" s="1">
        <v>0.0</v>
      </c>
      <c r="X935" s="1">
        <v>0.0</v>
      </c>
    </row>
    <row r="936" spans="1:24" ht="15.75" customHeight="1">
      <c r="A936" s="1">
        <v>6.4467729E7</v>
      </c>
      <c r="B936" s="1" t="s">
        <v>4245</v>
      </c>
      <c r="C936" s="1" t="s">
        <v>4246</v>
      </c>
      <c r="D936" s="1" t="s">
        <v>4247</v>
      </c>
      <c r="F936" s="1" t="str">
        <f>"9879395905"</f>
        <v>9879395905</v>
      </c>
      <c r="G936" s="1" t="str">
        <f>"9789879395905"</f>
        <v>9789879395905</v>
      </c>
      <c r="H936" s="1">
        <v>0.0</v>
      </c>
      <c r="I936" s="1">
        <v>4.0</v>
      </c>
      <c r="J936" s="1" t="s">
        <v>4248</v>
      </c>
      <c r="K936" s="1" t="s">
        <v>44</v>
      </c>
      <c r="L936" s="1">
        <v>0.0</v>
      </c>
      <c r="M936" s="1">
        <v>2013.0</v>
      </c>
      <c r="P936" s="2">
        <v>45143.0</v>
      </c>
      <c r="Q936" s="1" t="s">
        <v>4249</v>
      </c>
      <c r="R936" s="1" t="s">
        <v>4250</v>
      </c>
      <c r="S936" s="1" t="s">
        <v>32</v>
      </c>
      <c r="W936" s="1">
        <v>0.0</v>
      </c>
      <c r="X936" s="1">
        <v>1.0</v>
      </c>
    </row>
    <row r="937" spans="1:24" ht="15.75" customHeight="1">
      <c r="A937" s="1">
        <v>771091.0</v>
      </c>
      <c r="B937" s="1" t="s">
        <v>4251</v>
      </c>
      <c r="C937" s="1" t="s">
        <v>4252</v>
      </c>
      <c r="D937" s="1" t="s">
        <v>4253</v>
      </c>
      <c r="E937" s="1" t="s">
        <v>4254</v>
      </c>
      <c r="F937" s="1" t="str">
        <f>"0486228029"</f>
        <v>0486228029</v>
      </c>
      <c r="G937" s="1" t="str">
        <f>"9780486228020"</f>
        <v>9780486228020</v>
      </c>
      <c r="H937" s="1">
        <v>0.0</v>
      </c>
      <c r="I937" s="1">
        <v>3.19</v>
      </c>
      <c r="J937" s="1" t="s">
        <v>942</v>
      </c>
      <c r="K937" s="1" t="s">
        <v>44</v>
      </c>
      <c r="L937" s="1">
        <v>323.0</v>
      </c>
      <c r="M937" s="1">
        <v>1971.0</v>
      </c>
      <c r="N937" s="1">
        <v>1485.0</v>
      </c>
      <c r="P937" s="2">
        <v>45070.0</v>
      </c>
      <c r="Q937" s="1" t="s">
        <v>32</v>
      </c>
      <c r="R937" s="1" t="s">
        <v>4255</v>
      </c>
      <c r="S937" s="1" t="s">
        <v>32</v>
      </c>
      <c r="W937" s="1">
        <v>0.0</v>
      </c>
      <c r="X937" s="1">
        <v>0.0</v>
      </c>
    </row>
    <row r="938" spans="1:24" ht="15.75" customHeight="1">
      <c r="A938" s="1">
        <v>398145.0</v>
      </c>
      <c r="B938" s="1" t="s">
        <v>4256</v>
      </c>
      <c r="C938" s="1" t="s">
        <v>4257</v>
      </c>
      <c r="D938" s="1" t="s">
        <v>4258</v>
      </c>
      <c r="E938" s="1" t="s">
        <v>4259</v>
      </c>
      <c r="F938" s="1" t="str">
        <f>"0976140721"</f>
        <v>0976140721</v>
      </c>
      <c r="G938" s="1" t="str">
        <f>"9780976140726"</f>
        <v>9780976140726</v>
      </c>
      <c r="H938" s="1">
        <v>0.0</v>
      </c>
      <c r="I938" s="1">
        <v>3.54</v>
      </c>
      <c r="J938" s="1" t="s">
        <v>2462</v>
      </c>
      <c r="K938" s="1" t="s">
        <v>44</v>
      </c>
      <c r="L938" s="1">
        <v>133.0</v>
      </c>
      <c r="M938" s="1">
        <v>2005.0</v>
      </c>
      <c r="N938" s="1">
        <v>1810.0</v>
      </c>
      <c r="P938" s="2">
        <v>43935.0</v>
      </c>
      <c r="Q938" s="1" t="s">
        <v>32</v>
      </c>
      <c r="R938" s="1" t="s">
        <v>4260</v>
      </c>
      <c r="S938" s="1" t="s">
        <v>32</v>
      </c>
      <c r="W938" s="1">
        <v>0.0</v>
      </c>
      <c r="X938" s="1">
        <v>0.0</v>
      </c>
    </row>
    <row r="939" spans="1:24" ht="15.75" customHeight="1">
      <c r="A939" s="1">
        <v>2.3131105E7</v>
      </c>
      <c r="B939" s="1" t="s">
        <v>4261</v>
      </c>
      <c r="C939" s="1" t="s">
        <v>4262</v>
      </c>
      <c r="D939" s="1" t="s">
        <v>4263</v>
      </c>
      <c r="F939" s="1" t="str">
        <f>"0062384392"</f>
        <v>0062384392</v>
      </c>
      <c r="G939" s="1" t="str">
        <f>"9780062384393"</f>
        <v>9780062384393</v>
      </c>
      <c r="H939" s="1">
        <v>0.0</v>
      </c>
      <c r="I939" s="1">
        <v>3.75</v>
      </c>
      <c r="J939" s="1" t="s">
        <v>558</v>
      </c>
      <c r="K939" s="1" t="s">
        <v>37</v>
      </c>
      <c r="L939" s="1">
        <v>328.0</v>
      </c>
      <c r="M939" s="1">
        <v>2015.0</v>
      </c>
      <c r="N939" s="1">
        <v>2014.0</v>
      </c>
      <c r="P939" s="2">
        <v>44214.0</v>
      </c>
      <c r="Q939" s="1" t="s">
        <v>1848</v>
      </c>
      <c r="R939" s="1" t="s">
        <v>4264</v>
      </c>
      <c r="S939" s="1" t="s">
        <v>32</v>
      </c>
      <c r="W939" s="1">
        <v>0.0</v>
      </c>
      <c r="X939" s="1">
        <v>0.0</v>
      </c>
    </row>
    <row r="940" spans="1:24" ht="15.75" customHeight="1">
      <c r="A940" s="1">
        <v>7249642.0</v>
      </c>
      <c r="B940" s="1" t="s">
        <v>4265</v>
      </c>
      <c r="C940" s="1" t="s">
        <v>4266</v>
      </c>
      <c r="D940" s="1" t="s">
        <v>4267</v>
      </c>
      <c r="F940" s="1" t="str">
        <f>"1848850530"</f>
        <v>1848850530</v>
      </c>
      <c r="G940" s="1" t="str">
        <f>"9781848850538"</f>
        <v>9781848850538</v>
      </c>
      <c r="H940" s="1">
        <v>0.0</v>
      </c>
      <c r="I940" s="1">
        <v>3.92</v>
      </c>
      <c r="J940" s="1" t="s">
        <v>4268</v>
      </c>
      <c r="K940" s="1" t="s">
        <v>37</v>
      </c>
      <c r="L940" s="1">
        <v>270.0</v>
      </c>
      <c r="M940" s="1">
        <v>2009.0</v>
      </c>
      <c r="N940" s="1">
        <v>2009.0</v>
      </c>
      <c r="P940" s="2">
        <v>44808.0</v>
      </c>
      <c r="Q940" s="1" t="s">
        <v>463</v>
      </c>
      <c r="R940" s="1" t="s">
        <v>4269</v>
      </c>
      <c r="S940" s="1" t="s">
        <v>32</v>
      </c>
      <c r="W940" s="1">
        <v>0.0</v>
      </c>
      <c r="X940" s="1">
        <v>0.0</v>
      </c>
    </row>
    <row r="941" spans="1:24" ht="15.75" customHeight="1">
      <c r="A941" s="1">
        <v>1570434.0</v>
      </c>
      <c r="B941" s="1" t="s">
        <v>4270</v>
      </c>
      <c r="C941" s="1" t="s">
        <v>4271</v>
      </c>
      <c r="D941" s="1" t="s">
        <v>4272</v>
      </c>
      <c r="F941" s="1" t="str">
        <f>"0816631298"</f>
        <v>0816631298</v>
      </c>
      <c r="G941" s="1" t="str">
        <f>"9780816631292"</f>
        <v>9780816631292</v>
      </c>
      <c r="H941" s="1">
        <v>0.0</v>
      </c>
      <c r="I941" s="1">
        <v>4.25</v>
      </c>
      <c r="J941" s="1" t="s">
        <v>1052</v>
      </c>
      <c r="K941" s="1" t="s">
        <v>44</v>
      </c>
      <c r="L941" s="1">
        <v>320.0</v>
      </c>
      <c r="M941" s="1">
        <v>1999.0</v>
      </c>
      <c r="N941" s="1">
        <v>1969.0</v>
      </c>
      <c r="P941" s="2">
        <v>43922.0</v>
      </c>
      <c r="Q941" s="1" t="s">
        <v>32</v>
      </c>
      <c r="R941" s="1" t="s">
        <v>4273</v>
      </c>
      <c r="S941" s="1" t="s">
        <v>32</v>
      </c>
      <c r="W941" s="1">
        <v>0.0</v>
      </c>
      <c r="X941" s="1">
        <v>0.0</v>
      </c>
    </row>
    <row r="942" spans="1:24" ht="15.75" customHeight="1">
      <c r="A942" s="1">
        <v>393711.0</v>
      </c>
      <c r="B942" s="1" t="s">
        <v>4274</v>
      </c>
      <c r="C942" s="1" t="s">
        <v>4275</v>
      </c>
      <c r="D942" s="1" t="s">
        <v>4276</v>
      </c>
      <c r="F942" s="1" t="str">
        <f>"1557000026"</f>
        <v>1557000026</v>
      </c>
      <c r="G942" s="1" t="str">
        <f>"9781557000026"</f>
        <v>9781557000026</v>
      </c>
      <c r="H942" s="1">
        <v>0.0</v>
      </c>
      <c r="I942" s="1">
        <v>3.93</v>
      </c>
      <c r="J942" s="1" t="s">
        <v>4277</v>
      </c>
      <c r="K942" s="1" t="s">
        <v>44</v>
      </c>
      <c r="L942" s="1">
        <v>1571.0</v>
      </c>
      <c r="M942" s="1">
        <v>1999.0</v>
      </c>
      <c r="N942" s="1">
        <v>1888.0</v>
      </c>
      <c r="P942" s="2">
        <v>44959.0</v>
      </c>
      <c r="Q942" s="1" t="s">
        <v>491</v>
      </c>
      <c r="R942" s="1" t="s">
        <v>4278</v>
      </c>
      <c r="S942" s="1" t="s">
        <v>32</v>
      </c>
      <c r="W942" s="1">
        <v>0.0</v>
      </c>
      <c r="X942" s="1">
        <v>0.0</v>
      </c>
    </row>
    <row r="943" spans="1:24" ht="15.75" customHeight="1">
      <c r="A943" s="1">
        <v>349831.0</v>
      </c>
      <c r="B943" s="1" t="s">
        <v>4279</v>
      </c>
      <c r="C943" s="1" t="s">
        <v>4280</v>
      </c>
      <c r="D943" s="1" t="s">
        <v>4281</v>
      </c>
      <c r="F943" s="1" t="str">
        <f>"0826208886"</f>
        <v>0826208886</v>
      </c>
      <c r="G943" s="1" t="str">
        <f>"9780826208880"</f>
        <v>9780826208880</v>
      </c>
      <c r="H943" s="1">
        <v>0.0</v>
      </c>
      <c r="I943" s="1">
        <v>0.0</v>
      </c>
      <c r="J943" s="1" t="s">
        <v>4282</v>
      </c>
      <c r="K943" s="1" t="s">
        <v>37</v>
      </c>
      <c r="L943" s="1">
        <v>248.0</v>
      </c>
      <c r="M943" s="1">
        <v>1993.0</v>
      </c>
      <c r="N943" s="1">
        <v>1993.0</v>
      </c>
      <c r="P943" s="2">
        <v>45113.0</v>
      </c>
      <c r="Q943" s="1" t="s">
        <v>788</v>
      </c>
      <c r="R943" s="1" t="s">
        <v>4283</v>
      </c>
      <c r="S943" s="1" t="s">
        <v>32</v>
      </c>
      <c r="W943" s="1">
        <v>0.0</v>
      </c>
      <c r="X943" s="1">
        <v>1.0</v>
      </c>
    </row>
    <row r="944" spans="1:24" ht="15.75" customHeight="1">
      <c r="A944" s="1">
        <v>6356810.0</v>
      </c>
      <c r="B944" s="1" t="s">
        <v>4284</v>
      </c>
      <c r="C944" s="1" t="s">
        <v>4285</v>
      </c>
      <c r="D944" s="1" t="s">
        <v>4286</v>
      </c>
      <c r="F944" s="1" t="str">
        <f>"0745643000"</f>
        <v>0745643000</v>
      </c>
      <c r="G944" s="1" t="str">
        <f>"9780745643007"</f>
        <v>9780745643007</v>
      </c>
      <c r="H944" s="1">
        <v>0.0</v>
      </c>
      <c r="I944" s="1">
        <v>4.14</v>
      </c>
      <c r="J944" s="1" t="s">
        <v>4287</v>
      </c>
      <c r="K944" s="1" t="s">
        <v>44</v>
      </c>
      <c r="L944" s="1">
        <v>176.0</v>
      </c>
      <c r="M944" s="1">
        <v>2009.0</v>
      </c>
      <c r="N944" s="1">
        <v>2006.0</v>
      </c>
      <c r="P944" s="2">
        <v>43967.0</v>
      </c>
      <c r="Q944" s="1" t="s">
        <v>32</v>
      </c>
      <c r="R944" s="1" t="s">
        <v>4288</v>
      </c>
      <c r="S944" s="1" t="s">
        <v>32</v>
      </c>
      <c r="W944" s="1">
        <v>0.0</v>
      </c>
      <c r="X944" s="1">
        <v>0.0</v>
      </c>
    </row>
    <row r="945" spans="1:24" ht="15.75" customHeight="1">
      <c r="A945" s="1">
        <v>123091.0</v>
      </c>
      <c r="B945" s="1" t="s">
        <v>4289</v>
      </c>
      <c r="C945" s="1" t="s">
        <v>4290</v>
      </c>
      <c r="D945" s="1" t="s">
        <v>4291</v>
      </c>
      <c r="F945" s="1" t="str">
        <f>"089733356X"</f>
        <v>089733356X</v>
      </c>
      <c r="G945" s="1" t="str">
        <f>"9780897333566"</f>
        <v>9780897333566</v>
      </c>
      <c r="H945" s="1">
        <v>0.0</v>
      </c>
      <c r="I945" s="1">
        <v>4.09</v>
      </c>
      <c r="J945" s="1" t="s">
        <v>4292</v>
      </c>
      <c r="K945" s="1" t="s">
        <v>44</v>
      </c>
      <c r="L945" s="1">
        <v>592.0</v>
      </c>
      <c r="M945" s="1">
        <v>2005.0</v>
      </c>
      <c r="N945" s="1">
        <v>1949.0</v>
      </c>
      <c r="P945" s="2">
        <v>45115.0</v>
      </c>
      <c r="Q945" s="1" t="s">
        <v>502</v>
      </c>
      <c r="R945" s="1" t="s">
        <v>4293</v>
      </c>
      <c r="S945" s="1" t="s">
        <v>32</v>
      </c>
      <c r="W945" s="1">
        <v>0.0</v>
      </c>
      <c r="X945" s="1">
        <v>0.0</v>
      </c>
    </row>
    <row r="946" spans="1:24" ht="15.75" customHeight="1">
      <c r="A946" s="1">
        <v>160895.0</v>
      </c>
      <c r="B946" s="1" t="s">
        <v>4294</v>
      </c>
      <c r="C946" s="1" t="s">
        <v>4295</v>
      </c>
      <c r="D946" s="1" t="s">
        <v>4296</v>
      </c>
      <c r="E946" s="1" t="s">
        <v>4297</v>
      </c>
      <c r="F946" s="1" t="str">
        <f>"0803259603"</f>
        <v>0803259603</v>
      </c>
      <c r="G946" s="1" t="str">
        <f>"9780803259607"</f>
        <v>9780803259607</v>
      </c>
      <c r="H946" s="1">
        <v>0.0</v>
      </c>
      <c r="I946" s="1">
        <v>4.21</v>
      </c>
      <c r="J946" s="1" t="s">
        <v>667</v>
      </c>
      <c r="K946" s="1" t="s">
        <v>44</v>
      </c>
      <c r="L946" s="1">
        <v>102.0</v>
      </c>
      <c r="M946" s="1">
        <v>2006.0</v>
      </c>
      <c r="N946" s="1">
        <v>1958.0</v>
      </c>
      <c r="P946" s="2">
        <v>45299.0</v>
      </c>
      <c r="Q946" s="1" t="s">
        <v>30</v>
      </c>
      <c r="R946" s="1" t="s">
        <v>4298</v>
      </c>
      <c r="S946" s="1" t="s">
        <v>32</v>
      </c>
      <c r="W946" s="1">
        <v>0.0</v>
      </c>
      <c r="X946" s="1">
        <v>0.0</v>
      </c>
    </row>
    <row r="947" spans="1:24" ht="15.75" customHeight="1">
      <c r="A947" s="1">
        <v>48180.0</v>
      </c>
      <c r="B947" s="1" t="s">
        <v>4299</v>
      </c>
      <c r="C947" s="1" t="s">
        <v>4300</v>
      </c>
      <c r="D947" s="1" t="s">
        <v>4301</v>
      </c>
      <c r="E947" s="1" t="s">
        <v>4302</v>
      </c>
      <c r="F947" s="1" t="str">
        <f>"1885983018"</f>
        <v>1885983018</v>
      </c>
      <c r="G947" s="1" t="str">
        <f>"9781885983015"</f>
        <v>9781885983015</v>
      </c>
      <c r="H947" s="1">
        <v>0.0</v>
      </c>
      <c r="I947" s="1">
        <v>3.59</v>
      </c>
      <c r="J947" s="1" t="s">
        <v>4303</v>
      </c>
      <c r="K947" s="1" t="s">
        <v>44</v>
      </c>
      <c r="L947" s="1">
        <v>255.0</v>
      </c>
      <c r="M947" s="1">
        <v>1995.0</v>
      </c>
      <c r="N947" s="1">
        <v>1908.0</v>
      </c>
      <c r="P947" s="2">
        <v>41763.0</v>
      </c>
      <c r="Q947" s="1" t="s">
        <v>32</v>
      </c>
      <c r="R947" s="1" t="s">
        <v>4304</v>
      </c>
      <c r="S947" s="1" t="s">
        <v>32</v>
      </c>
      <c r="W947" s="1">
        <v>0.0</v>
      </c>
      <c r="X947" s="1">
        <v>0.0</v>
      </c>
    </row>
    <row r="948" spans="1:24" ht="15.75" customHeight="1">
      <c r="A948" s="1">
        <v>382593.0</v>
      </c>
      <c r="B948" s="1" t="s">
        <v>4305</v>
      </c>
      <c r="C948" s="1" t="s">
        <v>4306</v>
      </c>
      <c r="D948" s="1" t="s">
        <v>4307</v>
      </c>
      <c r="F948" s="1" t="str">
        <f>"0806523263"</f>
        <v>0806523263</v>
      </c>
      <c r="G948" s="1" t="str">
        <f>"9780806523262"</f>
        <v>9780806523262</v>
      </c>
      <c r="H948" s="1">
        <v>0.0</v>
      </c>
      <c r="I948" s="1">
        <v>4.06</v>
      </c>
      <c r="J948" s="1" t="s">
        <v>4308</v>
      </c>
      <c r="K948" s="1" t="s">
        <v>44</v>
      </c>
      <c r="L948" s="1">
        <v>256.0</v>
      </c>
      <c r="M948" s="1">
        <v>2002.0</v>
      </c>
      <c r="N948" s="1">
        <v>1934.0</v>
      </c>
      <c r="P948" s="2">
        <v>45113.0</v>
      </c>
      <c r="Q948" s="1" t="s">
        <v>32</v>
      </c>
      <c r="R948" s="1" t="s">
        <v>4309</v>
      </c>
      <c r="S948" s="1" t="s">
        <v>32</v>
      </c>
      <c r="W948" s="1">
        <v>0.0</v>
      </c>
      <c r="X948" s="1">
        <v>0.0</v>
      </c>
    </row>
    <row r="949" spans="1:24" ht="15.75" customHeight="1">
      <c r="A949" s="1">
        <v>1.14721149E8</v>
      </c>
      <c r="B949" s="1" t="s">
        <v>4310</v>
      </c>
      <c r="C949" s="1" t="s">
        <v>4311</v>
      </c>
      <c r="D949" s="1" t="s">
        <v>4312</v>
      </c>
      <c r="E949" s="1" t="s">
        <v>4313</v>
      </c>
      <c r="F949" s="1" t="str">
        <f>"168137742X"</f>
        <v>168137742X</v>
      </c>
      <c r="G949" s="1" t="str">
        <f>"9781681377421"</f>
        <v>9781681377421</v>
      </c>
      <c r="H949" s="1">
        <v>0.0</v>
      </c>
      <c r="I949" s="1">
        <v>3.35</v>
      </c>
      <c r="J949" s="1" t="s">
        <v>204</v>
      </c>
      <c r="K949" s="1" t="s">
        <v>44</v>
      </c>
      <c r="L949" s="1">
        <v>96.0</v>
      </c>
      <c r="M949" s="1">
        <v>2023.0</v>
      </c>
      <c r="N949" s="1">
        <v>1945.0</v>
      </c>
      <c r="P949" s="2">
        <v>45102.0</v>
      </c>
      <c r="Q949" s="1" t="s">
        <v>32</v>
      </c>
      <c r="R949" s="1" t="s">
        <v>4314</v>
      </c>
      <c r="S949" s="1" t="s">
        <v>32</v>
      </c>
      <c r="W949" s="1">
        <v>0.0</v>
      </c>
      <c r="X949" s="1">
        <v>0.0</v>
      </c>
    </row>
    <row r="950" spans="1:24" ht="15.75" customHeight="1">
      <c r="A950" s="1">
        <v>65145.0</v>
      </c>
      <c r="B950" s="1" t="s">
        <v>4315</v>
      </c>
      <c r="C950" s="1" t="s">
        <v>4316</v>
      </c>
      <c r="D950" s="1" t="s">
        <v>4317</v>
      </c>
      <c r="E950" s="1" t="s">
        <v>4318</v>
      </c>
      <c r="F950" s="1" t="str">
        <f>"0226356795"</f>
        <v>0226356795</v>
      </c>
      <c r="G950" s="1" t="str">
        <f>"9780226356792"</f>
        <v>9780226356792</v>
      </c>
      <c r="H950" s="1">
        <v>0.0</v>
      </c>
      <c r="I950" s="1">
        <v>3.86</v>
      </c>
      <c r="J950" s="1" t="s">
        <v>78</v>
      </c>
      <c r="K950" s="1" t="s">
        <v>44</v>
      </c>
      <c r="L950" s="1">
        <v>166.0</v>
      </c>
      <c r="M950" s="1">
        <v>1981.0</v>
      </c>
      <c r="N950" s="1">
        <v>1899.0</v>
      </c>
      <c r="P950" s="2">
        <v>45070.0</v>
      </c>
      <c r="Q950" s="1" t="s">
        <v>4319</v>
      </c>
      <c r="R950" s="1" t="s">
        <v>4320</v>
      </c>
      <c r="S950" s="1" t="s">
        <v>32</v>
      </c>
      <c r="W950" s="1">
        <v>0.0</v>
      </c>
      <c r="X950" s="1">
        <v>0.0</v>
      </c>
    </row>
    <row r="951" spans="1:24" ht="15.75" customHeight="1">
      <c r="A951" s="1">
        <v>1443432.0</v>
      </c>
      <c r="B951" s="1" t="s">
        <v>4321</v>
      </c>
      <c r="C951" s="1" t="s">
        <v>4322</v>
      </c>
      <c r="D951" s="1" t="s">
        <v>4323</v>
      </c>
      <c r="F951" s="1" t="str">
        <f>"1844671917"</f>
        <v>1844671917</v>
      </c>
      <c r="G951" s="1" t="str">
        <f>"9781844671915"</f>
        <v>9781844671915</v>
      </c>
      <c r="H951" s="1">
        <v>0.0</v>
      </c>
      <c r="I951" s="1">
        <v>4.09</v>
      </c>
      <c r="J951" s="1" t="s">
        <v>720</v>
      </c>
      <c r="K951" s="1" t="s">
        <v>44</v>
      </c>
      <c r="L951" s="1">
        <v>312.0</v>
      </c>
      <c r="M951" s="1">
        <v>2008.0</v>
      </c>
      <c r="N951" s="1">
        <v>1947.0</v>
      </c>
      <c r="P951" s="2">
        <v>45170.0</v>
      </c>
      <c r="Q951" s="1" t="s">
        <v>32</v>
      </c>
      <c r="R951" s="1" t="s">
        <v>4324</v>
      </c>
      <c r="S951" s="1" t="s">
        <v>32</v>
      </c>
      <c r="W951" s="1">
        <v>0.0</v>
      </c>
      <c r="X951" s="1">
        <v>0.0</v>
      </c>
    </row>
    <row r="952" spans="1:24" ht="15.75" customHeight="1">
      <c r="A952" s="1">
        <v>2.1422875E7</v>
      </c>
      <c r="B952" s="1" t="s">
        <v>4325</v>
      </c>
      <c r="C952" s="1" t="s">
        <v>4322</v>
      </c>
      <c r="D952" s="1" t="s">
        <v>4323</v>
      </c>
      <c r="E952" s="1" t="s">
        <v>4326</v>
      </c>
      <c r="F952" s="1" t="str">
        <f>"1584351594"</f>
        <v>1584351594</v>
      </c>
      <c r="G952" s="1" t="str">
        <f>"9781584351597"</f>
        <v>9781584351597</v>
      </c>
      <c r="H952" s="1">
        <v>0.0</v>
      </c>
      <c r="I952" s="1">
        <v>4.1</v>
      </c>
      <c r="J952" s="1" t="s">
        <v>2564</v>
      </c>
      <c r="K952" s="1" t="s">
        <v>44</v>
      </c>
      <c r="L952" s="1">
        <v>84.0</v>
      </c>
      <c r="M952" s="1">
        <v>2014.0</v>
      </c>
      <c r="N952" s="1">
        <v>2011.0</v>
      </c>
      <c r="P952" s="2">
        <v>44340.0</v>
      </c>
      <c r="Q952" s="1" t="s">
        <v>32</v>
      </c>
      <c r="R952" s="1" t="s">
        <v>4327</v>
      </c>
      <c r="S952" s="1" t="s">
        <v>32</v>
      </c>
      <c r="W952" s="1">
        <v>0.0</v>
      </c>
      <c r="X952" s="1">
        <v>0.0</v>
      </c>
    </row>
    <row r="953" spans="1:24" ht="15.75" customHeight="1">
      <c r="A953" s="1">
        <v>141078.0</v>
      </c>
      <c r="B953" s="1" t="s">
        <v>4328</v>
      </c>
      <c r="C953" s="1" t="s">
        <v>4329</v>
      </c>
      <c r="D953" s="1" t="s">
        <v>4330</v>
      </c>
      <c r="E953" s="1" t="s">
        <v>3515</v>
      </c>
      <c r="F953" s="1" t="str">
        <f>"0802137687"</f>
        <v>0802137687</v>
      </c>
      <c r="G953" s="1" t="str">
        <f>"9780802137685"</f>
        <v>9780802137685</v>
      </c>
      <c r="H953" s="1">
        <v>0.0</v>
      </c>
      <c r="I953" s="1">
        <v>4.33</v>
      </c>
      <c r="J953" s="1" t="s">
        <v>663</v>
      </c>
      <c r="K953" s="1" t="s">
        <v>44</v>
      </c>
      <c r="L953" s="1">
        <v>896.0</v>
      </c>
      <c r="M953" s="1">
        <v>2001.0</v>
      </c>
      <c r="N953" s="1">
        <v>1965.0</v>
      </c>
      <c r="P953" s="3">
        <v>43430.0</v>
      </c>
      <c r="Q953" s="1" t="s">
        <v>32</v>
      </c>
      <c r="R953" s="1" t="s">
        <v>4331</v>
      </c>
      <c r="S953" s="1" t="s">
        <v>32</v>
      </c>
      <c r="W953" s="1">
        <v>0.0</v>
      </c>
      <c r="X953" s="1">
        <v>0.0</v>
      </c>
    </row>
    <row r="954" spans="1:24" ht="15.75" customHeight="1">
      <c r="A954" s="1">
        <v>239927.0</v>
      </c>
      <c r="B954" s="1" t="s">
        <v>4332</v>
      </c>
      <c r="C954" s="1" t="s">
        <v>4333</v>
      </c>
      <c r="D954" s="1" t="s">
        <v>4334</v>
      </c>
      <c r="F954" s="1" t="str">
        <f>"0415905192"</f>
        <v>0415905192</v>
      </c>
      <c r="G954" s="1" t="str">
        <f>"9780415905190"</f>
        <v>9780415905190</v>
      </c>
      <c r="H954" s="1">
        <v>0.0</v>
      </c>
      <c r="I954" s="1">
        <v>4.13</v>
      </c>
      <c r="J954" s="1" t="s">
        <v>280</v>
      </c>
      <c r="K954" s="1" t="s">
        <v>44</v>
      </c>
      <c r="L954" s="1">
        <v>688.0</v>
      </c>
      <c r="M954" s="1">
        <v>1993.0</v>
      </c>
      <c r="N954" s="1">
        <v>1993.0</v>
      </c>
      <c r="P954" s="2">
        <v>45172.0</v>
      </c>
      <c r="Q954" s="1" t="s">
        <v>32</v>
      </c>
      <c r="R954" s="1" t="s">
        <v>4335</v>
      </c>
      <c r="S954" s="1" t="s">
        <v>32</v>
      </c>
      <c r="W954" s="1">
        <v>0.0</v>
      </c>
      <c r="X954" s="1">
        <v>0.0</v>
      </c>
    </row>
    <row r="955" spans="1:24" ht="15.75" customHeight="1">
      <c r="A955" s="1">
        <v>450996.0</v>
      </c>
      <c r="B955" s="1" t="s">
        <v>4336</v>
      </c>
      <c r="C955" s="1" t="s">
        <v>4337</v>
      </c>
      <c r="D955" s="1" t="s">
        <v>4338</v>
      </c>
      <c r="E955" s="1" t="s">
        <v>4339</v>
      </c>
      <c r="F955" s="1" t="str">
        <f>"0300110081"</f>
        <v>0300110081</v>
      </c>
      <c r="G955" s="1" t="str">
        <f>"9780300110081"</f>
        <v>9780300110081</v>
      </c>
      <c r="H955" s="1">
        <v>0.0</v>
      </c>
      <c r="I955" s="1">
        <v>3.78</v>
      </c>
      <c r="J955" s="1" t="s">
        <v>962</v>
      </c>
      <c r="K955" s="1" t="s">
        <v>44</v>
      </c>
      <c r="L955" s="1">
        <v>427.0</v>
      </c>
      <c r="M955" s="1">
        <v>2006.0</v>
      </c>
      <c r="N955" s="1">
        <v>1854.0</v>
      </c>
      <c r="P955" s="2">
        <v>45152.0</v>
      </c>
      <c r="Q955" s="1" t="s">
        <v>788</v>
      </c>
      <c r="R955" s="1" t="s">
        <v>4340</v>
      </c>
      <c r="S955" s="1" t="s">
        <v>32</v>
      </c>
      <c r="W955" s="1">
        <v>1.0</v>
      </c>
      <c r="X955" s="1">
        <v>1.0</v>
      </c>
    </row>
    <row r="956" spans="1:24" ht="15.75" customHeight="1">
      <c r="A956" s="1">
        <v>12948.0</v>
      </c>
      <c r="B956" s="1" t="s">
        <v>4341</v>
      </c>
      <c r="C956" s="1" t="s">
        <v>4342</v>
      </c>
      <c r="D956" s="1" t="s">
        <v>4343</v>
      </c>
      <c r="F956" s="1" t="str">
        <f>"0140620613"</f>
        <v>0140620613</v>
      </c>
      <c r="G956" s="1" t="str">
        <f>"9780140620610"</f>
        <v>9780140620610</v>
      </c>
      <c r="H956" s="1">
        <v>0.0</v>
      </c>
      <c r="I956" s="1">
        <v>3.39</v>
      </c>
      <c r="J956" s="1" t="s">
        <v>309</v>
      </c>
      <c r="K956" s="1" t="s">
        <v>44</v>
      </c>
      <c r="L956" s="1">
        <v>121.0</v>
      </c>
      <c r="M956" s="1">
        <v>1994.0</v>
      </c>
      <c r="N956" s="1">
        <v>1898.0</v>
      </c>
      <c r="P956" s="2">
        <v>41341.0</v>
      </c>
      <c r="Q956" s="1" t="s">
        <v>32</v>
      </c>
      <c r="R956" s="1" t="s">
        <v>4344</v>
      </c>
      <c r="S956" s="1" t="s">
        <v>32</v>
      </c>
      <c r="W956" s="1">
        <v>0.0</v>
      </c>
      <c r="X956" s="1">
        <v>0.0</v>
      </c>
    </row>
    <row r="957" spans="1:24" ht="15.75" customHeight="1">
      <c r="A957" s="1">
        <v>249.0</v>
      </c>
      <c r="B957" s="1" t="s">
        <v>4345</v>
      </c>
      <c r="C957" s="1" t="s">
        <v>4346</v>
      </c>
      <c r="D957" s="1" t="s">
        <v>4347</v>
      </c>
      <c r="E957" s="1" t="s">
        <v>4348</v>
      </c>
      <c r="F957" s="1" t="str">
        <f>"0802131786"</f>
        <v>0802131786</v>
      </c>
      <c r="G957" s="1" t="str">
        <f>"9780802131782"</f>
        <v>9780802131782</v>
      </c>
      <c r="H957" s="1">
        <v>0.0</v>
      </c>
      <c r="I957" s="1">
        <v>3.67</v>
      </c>
      <c r="J957" s="1" t="s">
        <v>663</v>
      </c>
      <c r="K957" s="1" t="s">
        <v>44</v>
      </c>
      <c r="L957" s="1">
        <v>318.0</v>
      </c>
      <c r="M957" s="1">
        <v>1994.0</v>
      </c>
      <c r="N957" s="1">
        <v>1934.0</v>
      </c>
      <c r="P957" s="2">
        <v>45143.0</v>
      </c>
      <c r="Q957" s="1" t="s">
        <v>818</v>
      </c>
      <c r="R957" s="1" t="s">
        <v>4349</v>
      </c>
      <c r="S957" s="1" t="s">
        <v>32</v>
      </c>
      <c r="W957" s="1">
        <v>0.0</v>
      </c>
      <c r="X957" s="1">
        <v>1.0</v>
      </c>
    </row>
    <row r="958" spans="1:24" ht="15.75" customHeight="1">
      <c r="A958" s="1">
        <v>253.0</v>
      </c>
      <c r="B958" s="1" t="s">
        <v>4350</v>
      </c>
      <c r="C958" s="1" t="s">
        <v>4346</v>
      </c>
      <c r="D958" s="1" t="s">
        <v>4347</v>
      </c>
      <c r="F958" s="1" t="str">
        <f>"0811201066"</f>
        <v>0811201066</v>
      </c>
      <c r="G958" s="1" t="str">
        <f>"9780811201063"</f>
        <v>9780811201063</v>
      </c>
      <c r="H958" s="1">
        <v>0.0</v>
      </c>
      <c r="I958" s="1">
        <v>3.82</v>
      </c>
      <c r="J958" s="1" t="s">
        <v>419</v>
      </c>
      <c r="K958" s="1" t="s">
        <v>44</v>
      </c>
      <c r="L958" s="1">
        <v>292.0</v>
      </c>
      <c r="M958" s="1">
        <v>1970.0</v>
      </c>
      <c r="N958" s="1">
        <v>1945.0</v>
      </c>
      <c r="P958" s="2">
        <v>45115.0</v>
      </c>
      <c r="Q958" s="1" t="s">
        <v>32</v>
      </c>
      <c r="R958" s="1" t="s">
        <v>4351</v>
      </c>
      <c r="S958" s="1" t="s">
        <v>32</v>
      </c>
      <c r="W958" s="1">
        <v>0.0</v>
      </c>
      <c r="X958" s="1">
        <v>0.0</v>
      </c>
    </row>
    <row r="959" spans="1:24" ht="15.75" customHeight="1">
      <c r="A959" s="1">
        <v>560230.0</v>
      </c>
      <c r="B959" s="1" t="s">
        <v>4352</v>
      </c>
      <c r="C959" s="1" t="s">
        <v>4353</v>
      </c>
      <c r="D959" s="1" t="s">
        <v>4354</v>
      </c>
      <c r="E959" s="1" t="s">
        <v>1073</v>
      </c>
      <c r="F959" s="1" t="str">
        <f>"0415046017"</f>
        <v>0415046017</v>
      </c>
      <c r="G959" s="1" t="str">
        <f>"9780415046015"</f>
        <v>9780415046015</v>
      </c>
      <c r="H959" s="1">
        <v>0.0</v>
      </c>
      <c r="I959" s="1">
        <v>3.54</v>
      </c>
      <c r="J959" s="1" t="s">
        <v>280</v>
      </c>
      <c r="K959" s="1" t="s">
        <v>44</v>
      </c>
      <c r="L959" s="1">
        <v>376.0</v>
      </c>
      <c r="M959" s="1">
        <v>1990.0</v>
      </c>
      <c r="N959" s="1">
        <v>1928.0</v>
      </c>
      <c r="P959" s="2">
        <v>45127.0</v>
      </c>
      <c r="Q959" s="1" t="s">
        <v>32</v>
      </c>
      <c r="R959" s="1" t="s">
        <v>4355</v>
      </c>
      <c r="S959" s="1" t="s">
        <v>32</v>
      </c>
      <c r="W959" s="1">
        <v>0.0</v>
      </c>
      <c r="X959" s="1">
        <v>0.0</v>
      </c>
    </row>
    <row r="960" spans="1:24" ht="15.75" customHeight="1">
      <c r="A960" s="86">
        <v>349619.0</v>
      </c>
      <c r="B960" s="86" t="s">
        <v>4356</v>
      </c>
      <c r="C960" s="86" t="s">
        <v>4357</v>
      </c>
      <c r="D960" s="86" t="s">
        <v>4358</v>
      </c>
      <c r="E960" s="87"/>
      <c r="F960" s="86" t="str">
        <f>"185343048X"</f>
        <v>185343048X</v>
      </c>
      <c r="G960" s="86" t="str">
        <f>"9781853430480"</f>
        <v>9781853430480</v>
      </c>
      <c r="H960" s="86">
        <v>0.0</v>
      </c>
      <c r="I960" s="86">
        <v>4.05</v>
      </c>
      <c r="J960" s="86" t="s">
        <v>4359</v>
      </c>
      <c r="K960" s="86" t="s">
        <v>44</v>
      </c>
      <c r="L960" s="86">
        <v>320.0</v>
      </c>
      <c r="M960" s="86">
        <v>1989.0</v>
      </c>
      <c r="N960" s="86">
        <v>1968.0</v>
      </c>
      <c r="O960" s="87"/>
      <c r="P960" s="88">
        <v>43950.0</v>
      </c>
      <c r="Q960" s="89" t="s">
        <v>1702</v>
      </c>
      <c r="R960" s="86" t="s">
        <v>4361</v>
      </c>
      <c r="S960" s="86" t="s">
        <v>32</v>
      </c>
      <c r="T960" s="87"/>
      <c r="U960" s="87"/>
      <c r="V960" s="87"/>
      <c r="W960" s="86">
        <v>0.0</v>
      </c>
      <c r="X960" s="86">
        <v>0.0</v>
      </c>
    </row>
    <row r="961" spans="1:24" ht="15.75" customHeight="1">
      <c r="A961" s="86">
        <v>1450665.0</v>
      </c>
      <c r="B961" s="86" t="s">
        <v>4362</v>
      </c>
      <c r="C961" s="86" t="s">
        <v>4357</v>
      </c>
      <c r="D961" s="86" t="s">
        <v>4358</v>
      </c>
      <c r="E961" s="87"/>
      <c r="F961" s="86" t="str">
        <f>"1844672093"</f>
        <v>1844672093</v>
      </c>
      <c r="G961" s="86" t="str">
        <f>"9781844672097"</f>
        <v>9781844672097</v>
      </c>
      <c r="H961" s="86">
        <v>0.0</v>
      </c>
      <c r="I961" s="86">
        <v>3.91</v>
      </c>
      <c r="J961" s="86" t="s">
        <v>367</v>
      </c>
      <c r="K961" s="86" t="s">
        <v>4363</v>
      </c>
      <c r="L961" s="87"/>
      <c r="M961" s="86">
        <v>2008.0</v>
      </c>
      <c r="N961" s="86">
        <v>2008.0</v>
      </c>
      <c r="O961" s="87"/>
      <c r="P961" s="88">
        <v>43046.0</v>
      </c>
      <c r="Q961" s="89" t="s">
        <v>1702</v>
      </c>
      <c r="R961" s="86" t="s">
        <v>4364</v>
      </c>
      <c r="S961" s="86" t="s">
        <v>32</v>
      </c>
      <c r="T961" s="87"/>
      <c r="U961" s="87"/>
      <c r="V961" s="87"/>
      <c r="W961" s="86">
        <v>0.0</v>
      </c>
      <c r="X961" s="86">
        <v>0.0</v>
      </c>
    </row>
    <row r="962" spans="1:24" ht="15.75" customHeight="1">
      <c r="A962" s="86">
        <v>349622.0</v>
      </c>
      <c r="B962" s="86" t="s">
        <v>4365</v>
      </c>
      <c r="C962" s="86" t="s">
        <v>4357</v>
      </c>
      <c r="D962" s="86" t="s">
        <v>4358</v>
      </c>
      <c r="E962" s="87"/>
      <c r="F962" s="86" t="str">
        <f>"0807005959"</f>
        <v>0807005959</v>
      </c>
      <c r="G962" s="86" t="str">
        <f>"9780807005958"</f>
        <v>9780807005958</v>
      </c>
      <c r="H962" s="86">
        <v>0.0</v>
      </c>
      <c r="I962" s="86">
        <v>3.8</v>
      </c>
      <c r="J962" s="86" t="s">
        <v>758</v>
      </c>
      <c r="K962" s="86" t="s">
        <v>4363</v>
      </c>
      <c r="L962" s="86">
        <v>108.0</v>
      </c>
      <c r="M962" s="86">
        <v>1971.0</v>
      </c>
      <c r="N962" s="86">
        <v>1969.0</v>
      </c>
      <c r="O962" s="87"/>
      <c r="P962" s="88">
        <v>43950.0</v>
      </c>
      <c r="Q962" s="89" t="s">
        <v>1702</v>
      </c>
      <c r="R962" s="86" t="s">
        <v>4366</v>
      </c>
      <c r="S962" s="86" t="s">
        <v>32</v>
      </c>
      <c r="T962" s="87"/>
      <c r="U962" s="87"/>
      <c r="V962" s="87"/>
      <c r="W962" s="86">
        <v>0.0</v>
      </c>
      <c r="X962" s="86">
        <v>0.0</v>
      </c>
    </row>
    <row r="963" spans="1:24" ht="15.75" customHeight="1">
      <c r="A963" s="1">
        <v>200686.0</v>
      </c>
      <c r="B963" s="1" t="s">
        <v>4367</v>
      </c>
      <c r="C963" s="1" t="s">
        <v>4368</v>
      </c>
      <c r="D963" s="1" t="s">
        <v>4369</v>
      </c>
      <c r="E963" s="1" t="s">
        <v>4370</v>
      </c>
      <c r="F963" s="1" t="str">
        <f>"0394508211"</f>
        <v>0394508211</v>
      </c>
      <c r="G963" s="1" t="str">
        <f>"9780394508214"</f>
        <v>9780394508214</v>
      </c>
      <c r="H963" s="1">
        <v>0.0</v>
      </c>
      <c r="I963" s="1">
        <v>3.78</v>
      </c>
      <c r="J963" s="1" t="s">
        <v>4371</v>
      </c>
      <c r="K963" s="1" t="s">
        <v>44</v>
      </c>
      <c r="L963" s="1">
        <v>219.0</v>
      </c>
      <c r="M963" s="1">
        <v>1980.0</v>
      </c>
      <c r="N963" s="1">
        <v>1978.0</v>
      </c>
      <c r="P963" s="3">
        <v>43423.0</v>
      </c>
      <c r="Q963" s="1" t="s">
        <v>4372</v>
      </c>
      <c r="R963" s="1" t="s">
        <v>4373</v>
      </c>
      <c r="S963" s="1" t="s">
        <v>32</v>
      </c>
      <c r="W963" s="1">
        <v>0.0</v>
      </c>
      <c r="X963" s="1">
        <v>0.0</v>
      </c>
    </row>
    <row r="964" spans="1:24" ht="15.75" customHeight="1">
      <c r="A964" s="1">
        <v>6.1107329E7</v>
      </c>
      <c r="B964" s="1" t="s">
        <v>4374</v>
      </c>
      <c r="C964" s="1" t="s">
        <v>4375</v>
      </c>
      <c r="D964" s="1" t="s">
        <v>4376</v>
      </c>
      <c r="E964" s="1" t="s">
        <v>4377</v>
      </c>
      <c r="F964" s="1" t="str">
        <f>"1939663881"</f>
        <v>1939663881</v>
      </c>
      <c r="G964" s="1" t="str">
        <f>"9781939663887"</f>
        <v>9781939663887</v>
      </c>
      <c r="H964" s="1">
        <v>0.0</v>
      </c>
      <c r="I964" s="1">
        <v>4.1</v>
      </c>
      <c r="J964" s="1" t="s">
        <v>4378</v>
      </c>
      <c r="K964" s="1" t="s">
        <v>44</v>
      </c>
      <c r="L964" s="1">
        <v>208.0</v>
      </c>
      <c r="M964" s="1">
        <v>2022.0</v>
      </c>
      <c r="N964" s="1">
        <v>1988.0</v>
      </c>
      <c r="P964" s="2">
        <v>45136.0</v>
      </c>
      <c r="Q964" s="1" t="s">
        <v>32</v>
      </c>
      <c r="R964" s="1" t="s">
        <v>4379</v>
      </c>
      <c r="S964" s="1" t="s">
        <v>32</v>
      </c>
      <c r="W964" s="1">
        <v>0.0</v>
      </c>
      <c r="X964" s="1">
        <v>0.0</v>
      </c>
    </row>
    <row r="965" spans="1:24" ht="15.75" customHeight="1">
      <c r="A965" s="17">
        <v>5954.0</v>
      </c>
      <c r="B965" s="17" t="s">
        <v>4380</v>
      </c>
      <c r="C965" s="17" t="s">
        <v>4381</v>
      </c>
      <c r="D965" s="17" t="s">
        <v>4382</v>
      </c>
      <c r="E965" s="17" t="s">
        <v>4383</v>
      </c>
      <c r="F965" s="17" t="str">
        <f>"0374506841"</f>
        <v>0374506841</v>
      </c>
      <c r="G965" s="17" t="str">
        <f>"9780374506841"</f>
        <v>9780374506841</v>
      </c>
      <c r="H965" s="17">
        <v>0.0</v>
      </c>
      <c r="I965" s="17">
        <v>4.22</v>
      </c>
      <c r="J965" s="17" t="s">
        <v>4384</v>
      </c>
      <c r="K965" s="17" t="s">
        <v>44</v>
      </c>
      <c r="L965" s="17">
        <v>320.0</v>
      </c>
      <c r="M965" s="17">
        <v>1997.0</v>
      </c>
      <c r="N965" s="17">
        <v>1930.0</v>
      </c>
      <c r="O965" s="18"/>
      <c r="P965" s="19">
        <v>44103.0</v>
      </c>
      <c r="Q965" s="20" t="s">
        <v>4360</v>
      </c>
      <c r="R965" s="17" t="s">
        <v>4386</v>
      </c>
      <c r="S965" s="17" t="s">
        <v>32</v>
      </c>
      <c r="T965" s="18"/>
      <c r="U965" s="18"/>
      <c r="V965" s="18"/>
      <c r="W965" s="17">
        <v>0.0</v>
      </c>
      <c r="X965" s="17">
        <v>0.0</v>
      </c>
    </row>
    <row r="966" spans="1:24" ht="15.75" customHeight="1">
      <c r="A966" s="17">
        <v>52036.0</v>
      </c>
      <c r="B966" s="17" t="s">
        <v>4387</v>
      </c>
      <c r="C966" s="17" t="s">
        <v>4381</v>
      </c>
      <c r="D966" s="17" t="s">
        <v>4382</v>
      </c>
      <c r="E966" s="17" t="s">
        <v>4388</v>
      </c>
      <c r="F966" s="17" t="str">
        <f t="shared" si="67" ref="F966:G966">""</f>
        <v/>
      </c>
      <c r="G966" s="17" t="str">
        <f t="shared" si="67"/>
        <v/>
      </c>
      <c r="H966" s="17">
        <v>0.0</v>
      </c>
      <c r="I966" s="17">
        <v>4.07</v>
      </c>
      <c r="J966" s="17" t="s">
        <v>4389</v>
      </c>
      <c r="K966" s="17" t="s">
        <v>1225</v>
      </c>
      <c r="L966" s="17">
        <v>152.0</v>
      </c>
      <c r="M966" s="17">
        <v>1981.0</v>
      </c>
      <c r="N966" s="17">
        <v>1922.0</v>
      </c>
      <c r="O966" s="18"/>
      <c r="P966" s="19">
        <v>41020.0</v>
      </c>
      <c r="Q966" s="20" t="s">
        <v>4360</v>
      </c>
      <c r="R966" s="17" t="s">
        <v>4390</v>
      </c>
      <c r="S966" s="17" t="s">
        <v>32</v>
      </c>
      <c r="T966" s="18"/>
      <c r="U966" s="18"/>
      <c r="V966" s="18"/>
      <c r="W966" s="17">
        <v>0.0</v>
      </c>
      <c r="X966" s="17">
        <v>0.0</v>
      </c>
    </row>
    <row r="967" spans="1:24" ht="15.75" customHeight="1">
      <c r="A967" s="17">
        <v>16631.0</v>
      </c>
      <c r="B967" s="17" t="s">
        <v>4391</v>
      </c>
      <c r="C967" s="17" t="s">
        <v>4381</v>
      </c>
      <c r="D967" s="17" t="s">
        <v>4382</v>
      </c>
      <c r="E967" s="17" t="s">
        <v>4392</v>
      </c>
      <c r="F967" s="17" t="str">
        <f>"0140282580"</f>
        <v>0140282580</v>
      </c>
      <c r="G967" s="17" t="str">
        <f>"9780140282580"</f>
        <v>9780140282580</v>
      </c>
      <c r="H967" s="17">
        <v>0.0</v>
      </c>
      <c r="I967" s="17">
        <v>4.13</v>
      </c>
      <c r="J967" s="17" t="s">
        <v>61</v>
      </c>
      <c r="K967" s="17" t="s">
        <v>44</v>
      </c>
      <c r="L967" s="17">
        <v>256.0</v>
      </c>
      <c r="M967" s="17">
        <v>1999.0</v>
      </c>
      <c r="N967" s="17">
        <v>1927.0</v>
      </c>
      <c r="O967" s="18"/>
      <c r="P967" s="19">
        <v>41020.0</v>
      </c>
      <c r="Q967" s="20" t="s">
        <v>4360</v>
      </c>
      <c r="R967" s="17" t="s">
        <v>4393</v>
      </c>
      <c r="S967" s="17" t="s">
        <v>32</v>
      </c>
      <c r="T967" s="18"/>
      <c r="U967" s="18"/>
      <c r="V967" s="18"/>
      <c r="W967" s="17">
        <v>0.0</v>
      </c>
      <c r="X967" s="17">
        <v>0.0</v>
      </c>
    </row>
    <row r="968" spans="1:24" ht="15.75" customHeight="1">
      <c r="A968" s="1">
        <v>14982.0</v>
      </c>
      <c r="B968" s="1" t="s">
        <v>4394</v>
      </c>
      <c r="C968" s="1" t="s">
        <v>4395</v>
      </c>
      <c r="D968" s="1" t="s">
        <v>4396</v>
      </c>
      <c r="E968" s="1" t="s">
        <v>4397</v>
      </c>
      <c r="F968" s="1" t="str">
        <f>"3791321447"</f>
        <v>3791321447</v>
      </c>
      <c r="G968" s="1" t="str">
        <f>"9783791321448"</f>
        <v>9783791321448</v>
      </c>
      <c r="H968" s="1">
        <v>0.0</v>
      </c>
      <c r="I968" s="1">
        <v>4.54</v>
      </c>
      <c r="J968" s="1" t="s">
        <v>4398</v>
      </c>
      <c r="K968" s="1" t="s">
        <v>37</v>
      </c>
      <c r="L968" s="1">
        <v>360.0</v>
      </c>
      <c r="M968" s="1">
        <v>2000.0</v>
      </c>
      <c r="N968" s="1">
        <v>1982.0</v>
      </c>
      <c r="P968" s="2">
        <v>45145.0</v>
      </c>
      <c r="Q968" s="1" t="s">
        <v>3661</v>
      </c>
      <c r="R968" s="1" t="s">
        <v>4399</v>
      </c>
      <c r="S968" s="1" t="s">
        <v>32</v>
      </c>
      <c r="W968" s="1">
        <v>0.0</v>
      </c>
      <c r="X968" s="1">
        <v>0.0</v>
      </c>
    </row>
    <row r="969" spans="1:24" ht="15.75" customHeight="1">
      <c r="A969" s="1">
        <v>1799468.0</v>
      </c>
      <c r="B969" s="1" t="s">
        <v>4400</v>
      </c>
      <c r="C969" s="1" t="s">
        <v>4401</v>
      </c>
      <c r="D969" s="1" t="s">
        <v>4402</v>
      </c>
      <c r="F969" s="1" t="str">
        <f>"0586044876"</f>
        <v>0586044876</v>
      </c>
      <c r="G969" s="1" t="str">
        <f>"9780586044872"</f>
        <v>9780586044872</v>
      </c>
      <c r="H969" s="1">
        <v>0.0</v>
      </c>
      <c r="I969" s="1">
        <v>3.94</v>
      </c>
      <c r="J969" s="1" t="s">
        <v>4403</v>
      </c>
      <c r="K969" s="1" t="s">
        <v>44</v>
      </c>
      <c r="L969" s="1">
        <v>394.0</v>
      </c>
      <c r="M969" s="1">
        <v>1978.0</v>
      </c>
      <c r="N969" s="1">
        <v>1957.0</v>
      </c>
      <c r="P969" s="2">
        <v>42620.0</v>
      </c>
      <c r="Q969" s="1" t="s">
        <v>32</v>
      </c>
      <c r="R969" s="1" t="s">
        <v>4404</v>
      </c>
      <c r="S969" s="1" t="s">
        <v>32</v>
      </c>
      <c r="W969" s="1">
        <v>0.0</v>
      </c>
      <c r="X969" s="1">
        <v>0.0</v>
      </c>
    </row>
    <row r="970" spans="1:24" ht="15.75" customHeight="1">
      <c r="A970" s="1">
        <v>5.1953114E7</v>
      </c>
      <c r="B970" s="1" t="s">
        <v>4405</v>
      </c>
      <c r="C970" s="1" t="s">
        <v>4406</v>
      </c>
      <c r="D970" s="1" t="s">
        <v>4407</v>
      </c>
      <c r="E970" s="1" t="s">
        <v>4408</v>
      </c>
      <c r="F970" s="1" t="str">
        <f>"8415215509"</f>
        <v>8415215509</v>
      </c>
      <c r="G970" s="1" t="str">
        <f>"9788415215509"</f>
        <v>9788415215509</v>
      </c>
      <c r="H970" s="1">
        <v>0.0</v>
      </c>
      <c r="I970" s="1">
        <v>3.67</v>
      </c>
      <c r="J970" s="1" t="s">
        <v>4409</v>
      </c>
      <c r="K970" s="1" t="s">
        <v>44</v>
      </c>
      <c r="L970" s="1">
        <v>427.0</v>
      </c>
      <c r="M970" s="1">
        <v>2021.0</v>
      </c>
      <c r="P970" s="2">
        <v>45238.0</v>
      </c>
      <c r="Q970" s="1" t="s">
        <v>606</v>
      </c>
      <c r="R970" s="1" t="s">
        <v>4410</v>
      </c>
      <c r="S970" s="1" t="s">
        <v>32</v>
      </c>
      <c r="W970" s="1">
        <v>0.0</v>
      </c>
      <c r="X970" s="1">
        <v>1.0</v>
      </c>
    </row>
    <row r="971" spans="1:24" ht="15.75" customHeight="1">
      <c r="A971" s="1">
        <v>681667.0</v>
      </c>
      <c r="B971" s="1" t="s">
        <v>4411</v>
      </c>
      <c r="C971" s="1" t="s">
        <v>4406</v>
      </c>
      <c r="D971" s="1" t="s">
        <v>4407</v>
      </c>
      <c r="E971" s="1" t="s">
        <v>1511</v>
      </c>
      <c r="F971" s="1" t="str">
        <f>"0521425433"</f>
        <v>0521425433</v>
      </c>
      <c r="G971" s="1" t="str">
        <f>"9780521425438"</f>
        <v>9780521425438</v>
      </c>
      <c r="H971" s="1">
        <v>0.0</v>
      </c>
      <c r="I971" s="1">
        <v>4.39</v>
      </c>
      <c r="J971" s="1" t="s">
        <v>388</v>
      </c>
      <c r="K971" s="1" t="s">
        <v>44</v>
      </c>
      <c r="L971" s="1">
        <v>408.0</v>
      </c>
      <c r="M971" s="1">
        <v>1995.0</v>
      </c>
      <c r="N971" s="1">
        <v>-300.0</v>
      </c>
      <c r="P971" s="2">
        <v>45070.0</v>
      </c>
      <c r="Q971" s="1" t="s">
        <v>32</v>
      </c>
      <c r="R971" s="1" t="s">
        <v>4412</v>
      </c>
      <c r="S971" s="1" t="s">
        <v>32</v>
      </c>
      <c r="W971" s="1">
        <v>0.0</v>
      </c>
      <c r="X971" s="1">
        <v>0.0</v>
      </c>
    </row>
    <row r="972" spans="1:24" ht="15.75" customHeight="1">
      <c r="A972" s="1">
        <v>463533.0</v>
      </c>
      <c r="B972" s="1" t="s">
        <v>4413</v>
      </c>
      <c r="C972" s="1" t="s">
        <v>4414</v>
      </c>
      <c r="D972" s="1" t="s">
        <v>4415</v>
      </c>
      <c r="E972" s="1" t="s">
        <v>4416</v>
      </c>
      <c r="F972" s="1" t="str">
        <f>"0375421092"</f>
        <v>0375421092</v>
      </c>
      <c r="G972" s="1" t="str">
        <f>"9780375421099"</f>
        <v>9780375421099</v>
      </c>
      <c r="H972" s="1">
        <v>0.0</v>
      </c>
      <c r="I972" s="1">
        <v>4.0</v>
      </c>
      <c r="J972" s="1" t="s">
        <v>4417</v>
      </c>
      <c r="K972" s="1" t="s">
        <v>37</v>
      </c>
      <c r="L972" s="1">
        <v>953.0</v>
      </c>
      <c r="M972" s="1">
        <v>2007.0</v>
      </c>
      <c r="N972" s="1">
        <v>-430.0</v>
      </c>
      <c r="P972" s="2">
        <v>45116.0</v>
      </c>
      <c r="Q972" s="1" t="s">
        <v>4418</v>
      </c>
      <c r="R972" s="1" t="s">
        <v>4419</v>
      </c>
      <c r="S972" s="1" t="s">
        <v>32</v>
      </c>
      <c r="W972" s="1">
        <v>0.0</v>
      </c>
      <c r="X972" s="1">
        <v>0.0</v>
      </c>
    </row>
    <row r="973" spans="1:24" ht="15.75" customHeight="1">
      <c r="A973" s="1">
        <v>1.9337365E7</v>
      </c>
      <c r="B973" s="1" t="s">
        <v>4420</v>
      </c>
      <c r="C973" s="1" t="s">
        <v>4421</v>
      </c>
      <c r="D973" s="1" t="s">
        <v>4422</v>
      </c>
      <c r="E973" s="1" t="s">
        <v>4423</v>
      </c>
      <c r="F973" s="1" t="str">
        <f>"1937658228"</f>
        <v>1937658228</v>
      </c>
      <c r="G973" s="1" t="str">
        <f>"9781937658229"</f>
        <v>9781937658229</v>
      </c>
      <c r="H973" s="1">
        <v>0.0</v>
      </c>
      <c r="I973" s="1">
        <v>4.37</v>
      </c>
      <c r="J973" s="1" t="s">
        <v>4424</v>
      </c>
      <c r="K973" s="1" t="s">
        <v>4425</v>
      </c>
      <c r="L973" s="1">
        <v>584.0</v>
      </c>
      <c r="M973" s="1">
        <v>2014.0</v>
      </c>
      <c r="N973" s="1">
        <v>2001.0</v>
      </c>
      <c r="P973" s="3">
        <v>44118.0</v>
      </c>
      <c r="Q973" s="1" t="s">
        <v>32</v>
      </c>
      <c r="R973" s="1" t="s">
        <v>4426</v>
      </c>
      <c r="S973" s="1" t="s">
        <v>32</v>
      </c>
      <c r="W973" s="1">
        <v>0.0</v>
      </c>
      <c r="X973" s="1">
        <v>0.0</v>
      </c>
    </row>
    <row r="974" spans="1:24" ht="15.75" customHeight="1">
      <c r="A974" s="1">
        <v>6.3185084E7</v>
      </c>
      <c r="B974" s="1" t="s">
        <v>4427</v>
      </c>
      <c r="C974" s="1" t="s">
        <v>4428</v>
      </c>
      <c r="D974" s="1" t="s">
        <v>4429</v>
      </c>
      <c r="E974" s="1" t="s">
        <v>4430</v>
      </c>
      <c r="F974" s="1" t="str">
        <f>"0593539648"</f>
        <v>0593539648</v>
      </c>
      <c r="G974" s="1" t="str">
        <f>"9780593539644"</f>
        <v>9780593539644</v>
      </c>
      <c r="H974" s="1">
        <v>0.0</v>
      </c>
      <c r="I974" s="1">
        <v>3.6</v>
      </c>
      <c r="J974" s="1" t="s">
        <v>2218</v>
      </c>
      <c r="K974" s="1" t="s">
        <v>37</v>
      </c>
      <c r="L974" s="1">
        <v>272.0</v>
      </c>
      <c r="M974" s="1">
        <v>2023.0</v>
      </c>
      <c r="N974" s="1">
        <v>2021.0</v>
      </c>
      <c r="P974" s="2">
        <v>45176.0</v>
      </c>
      <c r="Q974" s="1" t="s">
        <v>502</v>
      </c>
      <c r="R974" s="1" t="s">
        <v>4431</v>
      </c>
      <c r="S974" s="1" t="s">
        <v>32</v>
      </c>
      <c r="W974" s="1">
        <v>0.0</v>
      </c>
      <c r="X974" s="1">
        <v>0.0</v>
      </c>
    </row>
    <row r="975" spans="1:24" ht="15.75" customHeight="1">
      <c r="A975" s="1">
        <v>1.3507212E7</v>
      </c>
      <c r="B975" s="1" t="s">
        <v>4432</v>
      </c>
      <c r="C975" s="1" t="s">
        <v>4433</v>
      </c>
      <c r="D975" s="1" t="s">
        <v>4434</v>
      </c>
      <c r="F975" s="1" t="str">
        <f t="shared" si="68" ref="F975:G975">""</f>
        <v/>
      </c>
      <c r="G975" s="1" t="str">
        <f t="shared" si="68"/>
        <v/>
      </c>
      <c r="H975" s="1">
        <v>0.0</v>
      </c>
      <c r="I975" s="1">
        <v>4.29</v>
      </c>
      <c r="J975" s="1" t="s">
        <v>4435</v>
      </c>
      <c r="K975" s="1" t="s">
        <v>37</v>
      </c>
      <c r="L975" s="1">
        <v>412.0</v>
      </c>
      <c r="M975" s="1">
        <v>2012.0</v>
      </c>
      <c r="N975" s="1">
        <v>2012.0</v>
      </c>
      <c r="P975" s="2">
        <v>45111.0</v>
      </c>
      <c r="Q975" s="1" t="s">
        <v>70</v>
      </c>
      <c r="R975" s="1" t="s">
        <v>4436</v>
      </c>
      <c r="S975" s="1" t="s">
        <v>32</v>
      </c>
      <c r="W975" s="1">
        <v>0.0</v>
      </c>
      <c r="X975" s="1">
        <v>0.0</v>
      </c>
    </row>
    <row r="976" spans="1:24" ht="15.75" customHeight="1">
      <c r="A976" s="1">
        <v>6101138.0</v>
      </c>
      <c r="B976" s="1" t="s">
        <v>4437</v>
      </c>
      <c r="C976" s="1" t="s">
        <v>4433</v>
      </c>
      <c r="D976" s="1" t="s">
        <v>4434</v>
      </c>
      <c r="F976" s="1" t="str">
        <f>"0007230184"</f>
        <v>0007230184</v>
      </c>
      <c r="G976" s="1" t="str">
        <f>""</f>
        <v/>
      </c>
      <c r="H976" s="1">
        <v>0.0</v>
      </c>
      <c r="I976" s="1">
        <v>3.9</v>
      </c>
      <c r="J976" s="1" t="s">
        <v>4438</v>
      </c>
      <c r="K976" s="1" t="s">
        <v>44</v>
      </c>
      <c r="L976" s="1">
        <v>653.0</v>
      </c>
      <c r="M976" s="1">
        <v>2010.0</v>
      </c>
      <c r="N976" s="1">
        <v>2009.0</v>
      </c>
      <c r="P976" s="2">
        <v>45111.0</v>
      </c>
      <c r="Q976" s="1" t="s">
        <v>70</v>
      </c>
      <c r="R976" s="1" t="s">
        <v>4439</v>
      </c>
      <c r="S976" s="1" t="s">
        <v>32</v>
      </c>
      <c r="W976" s="1">
        <v>0.0</v>
      </c>
      <c r="X976" s="1">
        <v>0.0</v>
      </c>
    </row>
    <row r="977" spans="1:24" ht="15.75" customHeight="1">
      <c r="A977" s="1">
        <v>1.8209522E7</v>
      </c>
      <c r="B977" s="1" t="s">
        <v>4440</v>
      </c>
      <c r="C977" s="1" t="s">
        <v>4441</v>
      </c>
      <c r="D977" s="1" t="s">
        <v>4442</v>
      </c>
      <c r="E977" s="1" t="s">
        <v>4443</v>
      </c>
      <c r="F977" s="1" t="str">
        <f>"1612193455"</f>
        <v>1612193455</v>
      </c>
      <c r="G977" s="1" t="str">
        <f>"9781612193458"</f>
        <v>9781612193458</v>
      </c>
      <c r="H977" s="1">
        <v>0.0</v>
      </c>
      <c r="I977" s="1">
        <v>3.81</v>
      </c>
      <c r="J977" s="1" t="s">
        <v>2462</v>
      </c>
      <c r="K977" s="1" t="s">
        <v>44</v>
      </c>
      <c r="L977" s="1">
        <v>92.0</v>
      </c>
      <c r="M977" s="1">
        <v>2014.0</v>
      </c>
      <c r="N977" s="1">
        <v>1986.0</v>
      </c>
      <c r="P977" s="2">
        <v>45239.0</v>
      </c>
      <c r="Q977" s="1" t="s">
        <v>145</v>
      </c>
      <c r="R977" s="1" t="s">
        <v>4444</v>
      </c>
      <c r="S977" s="1" t="s">
        <v>32</v>
      </c>
      <c r="W977" s="1">
        <v>0.0</v>
      </c>
      <c r="X977" s="1">
        <v>0.0</v>
      </c>
    </row>
    <row r="978" spans="1:24" ht="15.75" customHeight="1">
      <c r="A978" s="1">
        <v>3.8241087E7</v>
      </c>
      <c r="B978" s="1" t="s">
        <v>4445</v>
      </c>
      <c r="C978" s="1" t="s">
        <v>4446</v>
      </c>
      <c r="D978" s="1" t="s">
        <v>4447</v>
      </c>
      <c r="E978" s="1" t="s">
        <v>4448</v>
      </c>
      <c r="F978" s="1" t="str">
        <f>"0892075430"</f>
        <v>0892075430</v>
      </c>
      <c r="G978" s="1" t="str">
        <f>"9780892075430"</f>
        <v>9780892075430</v>
      </c>
      <c r="H978" s="1">
        <v>0.0</v>
      </c>
      <c r="I978" s="1">
        <v>4.51</v>
      </c>
      <c r="J978" s="1" t="s">
        <v>4449</v>
      </c>
      <c r="K978" s="1" t="s">
        <v>37</v>
      </c>
      <c r="L978" s="1">
        <v>239.0</v>
      </c>
      <c r="M978" s="1">
        <v>2018.0</v>
      </c>
      <c r="P978" s="2">
        <v>45137.0</v>
      </c>
      <c r="Q978" s="1" t="s">
        <v>1821</v>
      </c>
      <c r="R978" s="1" t="s">
        <v>4450</v>
      </c>
      <c r="S978" s="1" t="s">
        <v>32</v>
      </c>
      <c r="W978" s="1">
        <v>0.0</v>
      </c>
      <c r="X978" s="1">
        <v>1.0</v>
      </c>
    </row>
    <row r="979" spans="1:24" ht="15.75" customHeight="1">
      <c r="A979" s="1">
        <v>3.9105311E7</v>
      </c>
      <c r="B979" s="1" t="s">
        <v>4451</v>
      </c>
      <c r="C979" s="1" t="s">
        <v>4446</v>
      </c>
      <c r="D979" s="1" t="s">
        <v>4447</v>
      </c>
      <c r="E979" s="1" t="s">
        <v>4452</v>
      </c>
      <c r="F979" s="1" t="str">
        <f>"022659193X"</f>
        <v>022659193X</v>
      </c>
      <c r="G979" s="1" t="str">
        <f>"9780226591933"</f>
        <v>9780226591933</v>
      </c>
      <c r="H979" s="1">
        <v>0.0</v>
      </c>
      <c r="I979" s="1">
        <v>4.59</v>
      </c>
      <c r="J979" s="1" t="s">
        <v>78</v>
      </c>
      <c r="K979" s="1" t="s">
        <v>37</v>
      </c>
      <c r="L979" s="1">
        <v>288.0</v>
      </c>
      <c r="M979" s="1">
        <v>2018.0</v>
      </c>
      <c r="P979" s="2">
        <v>45175.0</v>
      </c>
      <c r="Q979" s="1" t="s">
        <v>32</v>
      </c>
      <c r="R979" s="1" t="s">
        <v>4453</v>
      </c>
      <c r="S979" s="1" t="s">
        <v>32</v>
      </c>
      <c r="W979" s="1">
        <v>0.0</v>
      </c>
      <c r="X979" s="1">
        <v>0.0</v>
      </c>
    </row>
    <row r="980" spans="1:24" ht="15.75" customHeight="1">
      <c r="A980" s="1">
        <v>1.3239419E7</v>
      </c>
      <c r="B980" s="1" t="s">
        <v>4454</v>
      </c>
      <c r="C980" s="1" t="s">
        <v>4455</v>
      </c>
      <c r="D980" s="1" t="s">
        <v>4456</v>
      </c>
      <c r="F980" s="1" t="str">
        <f>"1936365812"</f>
        <v>1936365812</v>
      </c>
      <c r="G980" s="1" t="str">
        <f>"9781936365814"</f>
        <v>9781936365814</v>
      </c>
      <c r="H980" s="1">
        <v>0.0</v>
      </c>
      <c r="I980" s="1">
        <v>3.88</v>
      </c>
      <c r="J980" s="1" t="s">
        <v>2541</v>
      </c>
      <c r="K980" s="1" t="s">
        <v>37</v>
      </c>
      <c r="L980" s="1">
        <v>344.0</v>
      </c>
      <c r="M980" s="1">
        <v>2013.0</v>
      </c>
      <c r="N980" s="1">
        <v>2013.0</v>
      </c>
      <c r="P980" s="2">
        <v>42574.0</v>
      </c>
      <c r="Q980" s="1" t="s">
        <v>32</v>
      </c>
      <c r="R980" s="1" t="s">
        <v>4457</v>
      </c>
      <c r="S980" s="1" t="s">
        <v>32</v>
      </c>
      <c r="W980" s="1">
        <v>0.0</v>
      </c>
      <c r="X980" s="1">
        <v>0.0</v>
      </c>
    </row>
    <row r="981" spans="1:24" ht="15.75" customHeight="1">
      <c r="A981" s="1">
        <v>278316.0</v>
      </c>
      <c r="B981" s="1" t="s">
        <v>4458</v>
      </c>
      <c r="C981" s="1" t="s">
        <v>4459</v>
      </c>
      <c r="D981" s="1" t="s">
        <v>4460</v>
      </c>
      <c r="E981" s="1" t="s">
        <v>4461</v>
      </c>
      <c r="F981" s="1" t="str">
        <f>"0140437827"</f>
        <v>0140437827</v>
      </c>
      <c r="G981" s="1" t="str">
        <f>"9780140437829"</f>
        <v>9780140437829</v>
      </c>
      <c r="H981" s="1">
        <v>0.0</v>
      </c>
      <c r="I981" s="1">
        <v>4.04</v>
      </c>
      <c r="J981" s="1" t="s">
        <v>1023</v>
      </c>
      <c r="K981" s="1" t="s">
        <v>44</v>
      </c>
      <c r="L981" s="1">
        <v>174.0</v>
      </c>
      <c r="M981" s="1">
        <v>2003.0</v>
      </c>
      <c r="N981" s="1">
        <v>-699.0</v>
      </c>
      <c r="P981" s="2">
        <v>45126.0</v>
      </c>
      <c r="Q981" s="1" t="s">
        <v>725</v>
      </c>
      <c r="R981" s="1" t="s">
        <v>4462</v>
      </c>
      <c r="S981" s="1" t="s">
        <v>32</v>
      </c>
      <c r="W981" s="1">
        <v>0.0</v>
      </c>
      <c r="X981" s="1">
        <v>0.0</v>
      </c>
    </row>
    <row r="982" spans="1:24" ht="15.75" customHeight="1">
      <c r="A982" s="1">
        <v>1371.0</v>
      </c>
      <c r="B982" s="1" t="s">
        <v>4463</v>
      </c>
      <c r="C982" s="1" t="s">
        <v>4459</v>
      </c>
      <c r="D982" s="1" t="s">
        <v>4460</v>
      </c>
      <c r="E982" s="1" t="s">
        <v>4464</v>
      </c>
      <c r="F982" s="1" t="str">
        <f>"0140275363"</f>
        <v>0140275363</v>
      </c>
      <c r="G982" s="1" t="str">
        <f>"9780140275360"</f>
        <v>9780140275360</v>
      </c>
      <c r="H982" s="1">
        <v>0.0</v>
      </c>
      <c r="I982" s="1">
        <v>3.91</v>
      </c>
      <c r="J982" s="1" t="s">
        <v>1023</v>
      </c>
      <c r="K982" s="1" t="s">
        <v>1745</v>
      </c>
      <c r="L982" s="1">
        <v>704.0</v>
      </c>
      <c r="M982" s="1">
        <v>1999.0</v>
      </c>
      <c r="N982" s="1">
        <v>-660.0</v>
      </c>
      <c r="P982" s="2">
        <v>44814.0</v>
      </c>
      <c r="Q982" s="1" t="s">
        <v>4465</v>
      </c>
      <c r="R982" s="1" t="s">
        <v>4466</v>
      </c>
      <c r="S982" s="1" t="s">
        <v>32</v>
      </c>
      <c r="W982" s="1">
        <v>0.0</v>
      </c>
      <c r="X982" s="1">
        <v>1.0</v>
      </c>
    </row>
    <row r="983" spans="1:24" ht="15.75" customHeight="1">
      <c r="A983" s="1">
        <v>72052.0</v>
      </c>
      <c r="B983" s="1" t="s">
        <v>4467</v>
      </c>
      <c r="C983" s="1" t="s">
        <v>4468</v>
      </c>
      <c r="D983" s="1" t="s">
        <v>4469</v>
      </c>
      <c r="E983" s="1" t="s">
        <v>4470</v>
      </c>
      <c r="F983" s="1" t="str">
        <f>"0811215091"</f>
        <v>0811215091</v>
      </c>
      <c r="G983" s="1" t="str">
        <f>"9780811215091"</f>
        <v>9780811215091</v>
      </c>
      <c r="H983" s="1">
        <v>0.0</v>
      </c>
      <c r="I983" s="1">
        <v>4.43</v>
      </c>
      <c r="J983" s="1" t="s">
        <v>419</v>
      </c>
      <c r="K983" s="1" t="s">
        <v>44</v>
      </c>
      <c r="L983" s="1">
        <v>312.0</v>
      </c>
      <c r="M983" s="1">
        <v>2002.0</v>
      </c>
      <c r="N983" s="1">
        <v>2006.0</v>
      </c>
      <c r="P983" s="2">
        <v>44252.0</v>
      </c>
      <c r="Q983" s="1" t="s">
        <v>421</v>
      </c>
      <c r="R983" s="1" t="s">
        <v>4471</v>
      </c>
      <c r="S983" s="1" t="s">
        <v>32</v>
      </c>
      <c r="W983" s="1">
        <v>0.0</v>
      </c>
      <c r="X983" s="1">
        <v>0.0</v>
      </c>
    </row>
    <row r="984" spans="1:24" ht="15.75" customHeight="1">
      <c r="A984" s="1">
        <v>725946.0</v>
      </c>
      <c r="B984" s="1" t="s">
        <v>4472</v>
      </c>
      <c r="C984" s="1" t="s">
        <v>4468</v>
      </c>
      <c r="D984" s="1" t="s">
        <v>4469</v>
      </c>
      <c r="F984" s="1" t="str">
        <f>"0394741757"</f>
        <v>0394741757</v>
      </c>
      <c r="G984" s="1" t="str">
        <f>"9780394741758"</f>
        <v>9780394741758</v>
      </c>
      <c r="H984" s="1">
        <v>0.0</v>
      </c>
      <c r="I984" s="1">
        <v>3.93</v>
      </c>
      <c r="J984" s="1" t="s">
        <v>4473</v>
      </c>
      <c r="K984" s="1" t="s">
        <v>44</v>
      </c>
      <c r="L984" s="1">
        <v>200.0</v>
      </c>
      <c r="M984" s="1">
        <v>1986.0</v>
      </c>
      <c r="N984" s="1">
        <v>1967.0</v>
      </c>
      <c r="P984" s="3">
        <v>44479.0</v>
      </c>
      <c r="Q984" s="1" t="s">
        <v>725</v>
      </c>
      <c r="R984" s="1" t="s">
        <v>4474</v>
      </c>
      <c r="S984" s="1" t="s">
        <v>32</v>
      </c>
      <c r="W984" s="1">
        <v>0.0</v>
      </c>
      <c r="X984" s="1">
        <v>0.0</v>
      </c>
    </row>
    <row r="985" spans="1:24" ht="15.75" customHeight="1">
      <c r="A985" s="1">
        <v>3.4941841E7</v>
      </c>
      <c r="B985" s="1" t="s">
        <v>4475</v>
      </c>
      <c r="C985" s="1" t="s">
        <v>4476</v>
      </c>
      <c r="D985" s="1" t="s">
        <v>4477</v>
      </c>
      <c r="E985" s="1" t="s">
        <v>4478</v>
      </c>
      <c r="F985" s="1" t="str">
        <f>"168137126X"</f>
        <v>168137126X</v>
      </c>
      <c r="G985" s="1" t="str">
        <f>"9781681371269"</f>
        <v>9781681371269</v>
      </c>
      <c r="H985" s="1">
        <v>0.0</v>
      </c>
      <c r="I985" s="1">
        <v>3.8</v>
      </c>
      <c r="J985" s="1" t="s">
        <v>204</v>
      </c>
      <c r="K985" s="1" t="s">
        <v>29</v>
      </c>
      <c r="L985" s="1">
        <v>272.0</v>
      </c>
      <c r="M985" s="1">
        <v>2018.0</v>
      </c>
      <c r="N985" s="1">
        <v>1842.0</v>
      </c>
      <c r="P985" s="2">
        <v>45102.0</v>
      </c>
      <c r="Q985" s="1" t="s">
        <v>502</v>
      </c>
      <c r="R985" s="1" t="s">
        <v>4479</v>
      </c>
      <c r="S985" s="1" t="s">
        <v>32</v>
      </c>
      <c r="W985" s="1">
        <v>0.0</v>
      </c>
      <c r="X985" s="1">
        <v>0.0</v>
      </c>
    </row>
    <row r="986" spans="1:24" ht="15.75" customHeight="1">
      <c r="A986" s="1">
        <v>2635557.0</v>
      </c>
      <c r="B986" s="1" t="s">
        <v>4480</v>
      </c>
      <c r="C986" s="1" t="s">
        <v>4481</v>
      </c>
      <c r="D986" s="1" t="s">
        <v>4482</v>
      </c>
      <c r="E986" s="1" t="s">
        <v>1834</v>
      </c>
      <c r="F986" s="1" t="str">
        <f>"0811217078"</f>
        <v>0811217078</v>
      </c>
      <c r="G986" s="1" t="str">
        <f>"9780811217071"</f>
        <v>9780811217071</v>
      </c>
      <c r="H986" s="1">
        <v>0.0</v>
      </c>
      <c r="I986" s="1">
        <v>3.78</v>
      </c>
      <c r="J986" s="1" t="s">
        <v>419</v>
      </c>
      <c r="K986" s="1" t="s">
        <v>44</v>
      </c>
      <c r="L986" s="1">
        <v>142.0</v>
      </c>
      <c r="M986" s="1">
        <v>2008.0</v>
      </c>
      <c r="N986" s="1">
        <v>2004.0</v>
      </c>
      <c r="P986" s="2">
        <v>44257.0</v>
      </c>
      <c r="Q986" s="1" t="s">
        <v>145</v>
      </c>
      <c r="R986" s="1" t="s">
        <v>4483</v>
      </c>
      <c r="S986" s="1" t="s">
        <v>32</v>
      </c>
      <c r="W986" s="1">
        <v>0.0</v>
      </c>
      <c r="X986" s="1">
        <v>0.0</v>
      </c>
    </row>
    <row r="987" spans="1:24" ht="15.75" customHeight="1">
      <c r="A987" s="1">
        <v>2.6125916E7</v>
      </c>
      <c r="B987" s="1" t="s">
        <v>4484</v>
      </c>
      <c r="C987" s="1" t="s">
        <v>4481</v>
      </c>
      <c r="D987" s="1" t="s">
        <v>4482</v>
      </c>
      <c r="F987" s="1" t="str">
        <f t="shared" si="69" ref="F987:G987">""</f>
        <v/>
      </c>
      <c r="G987" s="1" t="str">
        <f t="shared" si="69"/>
        <v/>
      </c>
      <c r="H987" s="1">
        <v>0.0</v>
      </c>
      <c r="I987" s="1">
        <v>3.1</v>
      </c>
      <c r="J987" s="1" t="s">
        <v>4485</v>
      </c>
      <c r="N987" s="1">
        <v>2015.0</v>
      </c>
      <c r="P987" s="2">
        <v>44257.0</v>
      </c>
      <c r="Q987" s="1" t="s">
        <v>32</v>
      </c>
      <c r="R987" s="1" t="s">
        <v>4486</v>
      </c>
      <c r="S987" s="1" t="s">
        <v>32</v>
      </c>
      <c r="W987" s="1">
        <v>0.0</v>
      </c>
      <c r="X987" s="1">
        <v>0.0</v>
      </c>
    </row>
    <row r="988" spans="1:24" ht="15.75" customHeight="1">
      <c r="A988" s="1">
        <v>3.6649474E7</v>
      </c>
      <c r="B988" s="1" t="s">
        <v>4487</v>
      </c>
      <c r="C988" s="1" t="s">
        <v>4488</v>
      </c>
      <c r="D988" s="1" t="s">
        <v>4489</v>
      </c>
      <c r="F988" s="1" t="str">
        <f t="shared" si="70" ref="F988:G988">""</f>
        <v/>
      </c>
      <c r="G988" s="1" t="str">
        <f t="shared" si="70"/>
        <v/>
      </c>
      <c r="H988" s="1">
        <v>0.0</v>
      </c>
      <c r="I988" s="1">
        <v>3.92</v>
      </c>
      <c r="J988" s="1" t="s">
        <v>4490</v>
      </c>
      <c r="K988" s="1" t="s">
        <v>44</v>
      </c>
      <c r="L988" s="1">
        <v>120.0</v>
      </c>
      <c r="M988" s="1">
        <v>1972.0</v>
      </c>
      <c r="N988" s="1">
        <v>1918.0</v>
      </c>
      <c r="P988" s="2">
        <v>45159.0</v>
      </c>
      <c r="Q988" s="1" t="s">
        <v>115</v>
      </c>
      <c r="R988" s="1" t="s">
        <v>4491</v>
      </c>
      <c r="S988" s="1" t="s">
        <v>32</v>
      </c>
      <c r="W988" s="1">
        <v>0.0</v>
      </c>
      <c r="X988" s="1">
        <v>1.0</v>
      </c>
    </row>
    <row r="989" spans="1:24" ht="15.75" customHeight="1">
      <c r="A989" s="1">
        <v>501817.0</v>
      </c>
      <c r="B989" s="1" t="s">
        <v>4492</v>
      </c>
      <c r="C989" s="1" t="s">
        <v>4488</v>
      </c>
      <c r="D989" s="1" t="s">
        <v>4489</v>
      </c>
      <c r="F989" s="1" t="str">
        <f>"1406832588"</f>
        <v>1406832588</v>
      </c>
      <c r="G989" s="1" t="str">
        <f>"9781406832587"</f>
        <v>9781406832587</v>
      </c>
      <c r="H989" s="1">
        <v>0.0</v>
      </c>
      <c r="I989" s="1">
        <v>4.0</v>
      </c>
      <c r="J989" s="1" t="s">
        <v>2882</v>
      </c>
      <c r="K989" s="1" t="s">
        <v>44</v>
      </c>
      <c r="L989" s="1">
        <v>151.0</v>
      </c>
      <c r="M989" s="1">
        <v>2006.0</v>
      </c>
      <c r="N989" s="1">
        <v>1917.0</v>
      </c>
      <c r="P989" s="2">
        <v>44093.0</v>
      </c>
      <c r="Q989" s="1" t="s">
        <v>32</v>
      </c>
      <c r="R989" s="1" t="s">
        <v>4493</v>
      </c>
      <c r="S989" s="1" t="s">
        <v>32</v>
      </c>
      <c r="W989" s="1">
        <v>0.0</v>
      </c>
      <c r="X989" s="1">
        <v>0.0</v>
      </c>
    </row>
    <row r="990" spans="1:24" ht="15.75" customHeight="1">
      <c r="A990" s="1">
        <v>288473.0</v>
      </c>
      <c r="B990" s="1" t="s">
        <v>4494</v>
      </c>
      <c r="C990" s="1" t="s">
        <v>4495</v>
      </c>
      <c r="D990" s="1" t="s">
        <v>4496</v>
      </c>
      <c r="F990" s="1" t="str">
        <f>"0312756127"</f>
        <v>0312756127</v>
      </c>
      <c r="G990" s="1" t="str">
        <f>"9780312756123"</f>
        <v>9780312756123</v>
      </c>
      <c r="H990" s="1">
        <v>0.0</v>
      </c>
      <c r="I990" s="1">
        <v>4.0</v>
      </c>
      <c r="J990" s="1" t="s">
        <v>4497</v>
      </c>
      <c r="K990" s="1" t="s">
        <v>37</v>
      </c>
      <c r="L990" s="1">
        <v>203.0</v>
      </c>
      <c r="M990" s="1">
        <v>1984.0</v>
      </c>
      <c r="N990" s="1">
        <v>1984.0</v>
      </c>
      <c r="P990" s="3">
        <v>45273.0</v>
      </c>
      <c r="Q990" s="1" t="s">
        <v>479</v>
      </c>
      <c r="R990" s="1" t="s">
        <v>4498</v>
      </c>
      <c r="S990" s="1" t="s">
        <v>32</v>
      </c>
      <c r="W990" s="1">
        <v>0.0</v>
      </c>
      <c r="X990" s="1">
        <v>0.0</v>
      </c>
    </row>
    <row r="991" spans="1:24" ht="15.75" customHeight="1">
      <c r="A991" s="1">
        <v>2.4341585E7</v>
      </c>
      <c r="B991" s="1" t="s">
        <v>4499</v>
      </c>
      <c r="C991" s="1" t="s">
        <v>4500</v>
      </c>
      <c r="D991" s="1" t="s">
        <v>4501</v>
      </c>
      <c r="F991" s="1" t="str">
        <f>"0807075469"</f>
        <v>0807075469</v>
      </c>
      <c r="G991" s="1" t="str">
        <f>"9780807075463"</f>
        <v>9780807075463</v>
      </c>
      <c r="H991" s="1">
        <v>0.0</v>
      </c>
      <c r="I991" s="1">
        <v>3.72</v>
      </c>
      <c r="J991" s="1" t="s">
        <v>758</v>
      </c>
      <c r="K991" s="1" t="s">
        <v>44</v>
      </c>
      <c r="L991" s="1">
        <v>211.0</v>
      </c>
      <c r="M991" s="1">
        <v>2015.0</v>
      </c>
      <c r="N991" s="1">
        <v>2015.0</v>
      </c>
      <c r="P991" s="2">
        <v>45172.0</v>
      </c>
      <c r="Q991" s="1" t="s">
        <v>32</v>
      </c>
      <c r="R991" s="1" t="s">
        <v>4502</v>
      </c>
      <c r="S991" s="1" t="s">
        <v>32</v>
      </c>
      <c r="W991" s="1">
        <v>0.0</v>
      </c>
      <c r="X991" s="1">
        <v>0.0</v>
      </c>
    </row>
    <row r="992" spans="1:24" ht="15.75" customHeight="1">
      <c r="A992" s="1">
        <v>8664368.0</v>
      </c>
      <c r="B992" s="1" t="s">
        <v>4503</v>
      </c>
      <c r="C992" s="1" t="s">
        <v>4504</v>
      </c>
      <c r="D992" s="1" t="s">
        <v>4505</v>
      </c>
      <c r="F992" s="1" t="str">
        <f>"1408808870"</f>
        <v>1408808870</v>
      </c>
      <c r="G992" s="1" t="str">
        <f>"9781408808870"</f>
        <v>9781408808870</v>
      </c>
      <c r="H992" s="1">
        <v>0.0</v>
      </c>
      <c r="I992" s="1">
        <v>2.83</v>
      </c>
      <c r="J992" s="1" t="s">
        <v>260</v>
      </c>
      <c r="K992" s="1" t="s">
        <v>37</v>
      </c>
      <c r="L992" s="1">
        <v>307.0</v>
      </c>
      <c r="M992" s="1">
        <v>2010.0</v>
      </c>
      <c r="N992" s="1">
        <v>2010.0</v>
      </c>
      <c r="P992" s="2">
        <v>45111.0</v>
      </c>
      <c r="Q992" s="1" t="s">
        <v>261</v>
      </c>
      <c r="R992" s="1" t="s">
        <v>4506</v>
      </c>
      <c r="S992" s="1" t="s">
        <v>32</v>
      </c>
      <c r="W992" s="1">
        <v>0.0</v>
      </c>
      <c r="X992" s="1">
        <v>0.0</v>
      </c>
    </row>
    <row r="993" spans="1:24" ht="15.75" customHeight="1">
      <c r="A993" s="1">
        <v>424092.0</v>
      </c>
      <c r="B993" s="1" t="s">
        <v>4507</v>
      </c>
      <c r="C993" s="1" t="s">
        <v>4508</v>
      </c>
      <c r="D993" s="1" t="s">
        <v>4509</v>
      </c>
      <c r="F993" s="1" t="str">
        <f>"140285708X"</f>
        <v>140285708X</v>
      </c>
      <c r="G993" s="1" t="str">
        <f>"9781402857089"</f>
        <v>9781402857089</v>
      </c>
      <c r="H993" s="1">
        <v>0.0</v>
      </c>
      <c r="I993" s="1">
        <v>3.86</v>
      </c>
      <c r="K993" s="1" t="s">
        <v>44</v>
      </c>
      <c r="L993" s="1">
        <v>284.0</v>
      </c>
      <c r="M993" s="1">
        <v>2002.0</v>
      </c>
      <c r="N993" s="1">
        <v>1988.0</v>
      </c>
      <c r="P993" s="2">
        <v>45175.0</v>
      </c>
      <c r="Q993" s="1" t="s">
        <v>49</v>
      </c>
      <c r="R993" s="1" t="s">
        <v>4510</v>
      </c>
      <c r="S993" s="1" t="s">
        <v>32</v>
      </c>
      <c r="W993" s="1">
        <v>0.0</v>
      </c>
      <c r="X993" s="1">
        <v>0.0</v>
      </c>
    </row>
    <row r="994" spans="1:24" ht="15.75" customHeight="1">
      <c r="A994" s="1">
        <v>46945.0</v>
      </c>
      <c r="B994" s="1" t="s">
        <v>4511</v>
      </c>
      <c r="C994" s="1" t="s">
        <v>4512</v>
      </c>
      <c r="D994" s="1" t="s">
        <v>4513</v>
      </c>
      <c r="E994" s="1" t="s">
        <v>4514</v>
      </c>
      <c r="F994" s="1" t="str">
        <f>"1560252480"</f>
        <v>1560252480</v>
      </c>
      <c r="G994" s="1" t="str">
        <f>"9781560252481"</f>
        <v>9781560252481</v>
      </c>
      <c r="H994" s="1">
        <v>0.0</v>
      </c>
      <c r="I994" s="1">
        <v>4.11</v>
      </c>
      <c r="J994" s="1" t="s">
        <v>564</v>
      </c>
      <c r="K994" s="1" t="s">
        <v>44</v>
      </c>
      <c r="L994" s="1">
        <v>279.0</v>
      </c>
      <c r="M994" s="1">
        <v>1999.0</v>
      </c>
      <c r="N994" s="1">
        <v>1978.0</v>
      </c>
      <c r="O994" s="2">
        <v>41057.0</v>
      </c>
      <c r="P994" s="2">
        <v>41035.0</v>
      </c>
      <c r="Q994" s="1" t="s">
        <v>1925</v>
      </c>
      <c r="R994" s="1" t="s">
        <v>4515</v>
      </c>
      <c r="S994" s="1" t="s">
        <v>271</v>
      </c>
      <c r="W994" s="1">
        <v>1.0</v>
      </c>
      <c r="X994" s="1">
        <v>0.0</v>
      </c>
    </row>
    <row r="995" spans="1:24" ht="15.75" customHeight="1">
      <c r="A995" s="1">
        <v>794287.0</v>
      </c>
      <c r="B995" s="1" t="s">
        <v>4516</v>
      </c>
      <c r="C995" s="1" t="s">
        <v>4517</v>
      </c>
      <c r="D995" s="1" t="s">
        <v>4518</v>
      </c>
      <c r="F995" s="1" t="str">
        <f>"0520046889"</f>
        <v>0520046889</v>
      </c>
      <c r="G995" s="1" t="str">
        <f>"9780520046887"</f>
        <v>9780520046887</v>
      </c>
      <c r="H995" s="1">
        <v>0.0</v>
      </c>
      <c r="I995" s="1">
        <v>3.7</v>
      </c>
      <c r="J995" s="1" t="s">
        <v>552</v>
      </c>
      <c r="K995" s="1" t="s">
        <v>44</v>
      </c>
      <c r="L995" s="1">
        <v>288.0</v>
      </c>
      <c r="M995" s="1">
        <v>1983.0</v>
      </c>
      <c r="N995" s="1">
        <v>1971.0</v>
      </c>
      <c r="P995" s="2">
        <v>45120.0</v>
      </c>
      <c r="Q995" s="1" t="s">
        <v>725</v>
      </c>
      <c r="R995" s="1" t="s">
        <v>4519</v>
      </c>
      <c r="S995" s="1" t="s">
        <v>32</v>
      </c>
      <c r="W995" s="1">
        <v>0.0</v>
      </c>
      <c r="X995" s="1">
        <v>0.0</v>
      </c>
    </row>
    <row r="996" spans="1:24" ht="15.75" customHeight="1">
      <c r="A996" s="1">
        <v>5.5773286E7</v>
      </c>
      <c r="B996" s="1" t="s">
        <v>4520</v>
      </c>
      <c r="C996" s="1" t="s">
        <v>4521</v>
      </c>
      <c r="D996" s="1" t="s">
        <v>4522</v>
      </c>
      <c r="E996" s="1" t="s">
        <v>4523</v>
      </c>
      <c r="F996" s="1" t="str">
        <f t="shared" si="71" ref="F996:G996">""</f>
        <v/>
      </c>
      <c r="G996" s="1" t="str">
        <f t="shared" si="71"/>
        <v/>
      </c>
      <c r="H996" s="1">
        <v>0.0</v>
      </c>
      <c r="I996" s="1">
        <v>4.72</v>
      </c>
      <c r="J996" s="1" t="s">
        <v>4524</v>
      </c>
      <c r="M996" s="1">
        <v>2020.0</v>
      </c>
      <c r="N996" s="1">
        <v>2020.0</v>
      </c>
      <c r="P996" s="3">
        <v>44131.0</v>
      </c>
      <c r="Q996" s="1" t="s">
        <v>4525</v>
      </c>
      <c r="R996" s="1" t="s">
        <v>4526</v>
      </c>
      <c r="S996" s="1" t="s">
        <v>32</v>
      </c>
      <c r="W996" s="1">
        <v>0.0</v>
      </c>
      <c r="X996" s="1">
        <v>0.0</v>
      </c>
    </row>
    <row r="997" spans="1:24" ht="15.75" customHeight="1">
      <c r="A997" s="1">
        <v>5.8950685E7</v>
      </c>
      <c r="B997" s="1" t="s">
        <v>4527</v>
      </c>
      <c r="C997" s="1" t="s">
        <v>4528</v>
      </c>
      <c r="D997" s="1" t="s">
        <v>4529</v>
      </c>
      <c r="F997" s="1" t="str">
        <f>"1668605031"</f>
        <v>1668605031</v>
      </c>
      <c r="G997" s="1" t="str">
        <f>"9781668605035"</f>
        <v>9781668605035</v>
      </c>
      <c r="H997" s="1">
        <v>0.0</v>
      </c>
      <c r="I997" s="1">
        <v>4.46</v>
      </c>
      <c r="J997" s="1" t="s">
        <v>121</v>
      </c>
      <c r="K997" s="1" t="s">
        <v>2036</v>
      </c>
      <c r="M997" s="1">
        <v>2022.0</v>
      </c>
      <c r="N997" s="1">
        <v>2022.0</v>
      </c>
      <c r="P997" s="3">
        <v>44852.0</v>
      </c>
      <c r="Q997" s="1" t="s">
        <v>3850</v>
      </c>
      <c r="R997" s="1" t="s">
        <v>4530</v>
      </c>
      <c r="S997" s="1" t="s">
        <v>32</v>
      </c>
      <c r="W997" s="1">
        <v>0.0</v>
      </c>
      <c r="X997" s="1">
        <v>0.0</v>
      </c>
    </row>
    <row r="998" spans="1:24" ht="15.75" customHeight="1">
      <c r="A998" s="1">
        <v>5.9012057E7</v>
      </c>
      <c r="B998" s="1" t="s">
        <v>4531</v>
      </c>
      <c r="C998" s="1" t="s">
        <v>4532</v>
      </c>
      <c r="D998" s="1" t="s">
        <v>4533</v>
      </c>
      <c r="E998" s="1" t="s">
        <v>4534</v>
      </c>
      <c r="F998" s="1" t="str">
        <f>"1839763272"</f>
        <v>1839763272</v>
      </c>
      <c r="G998" s="1" t="str">
        <f>"9781839763274"</f>
        <v>9781839763274</v>
      </c>
      <c r="H998" s="1">
        <v>0.0</v>
      </c>
      <c r="I998" s="1">
        <v>3.56</v>
      </c>
      <c r="J998" s="1" t="s">
        <v>367</v>
      </c>
      <c r="K998" s="1" t="s">
        <v>37</v>
      </c>
      <c r="L998" s="1">
        <v>368.0</v>
      </c>
      <c r="M998" s="1">
        <v>2022.0</v>
      </c>
      <c r="N998" s="1">
        <v>2022.0</v>
      </c>
      <c r="P998" s="2">
        <v>45163.0</v>
      </c>
      <c r="Q998" s="1" t="s">
        <v>55</v>
      </c>
      <c r="R998" s="1" t="s">
        <v>4535</v>
      </c>
      <c r="S998" s="1" t="s">
        <v>32</v>
      </c>
      <c r="W998" s="1">
        <v>0.0</v>
      </c>
      <c r="X998" s="1">
        <v>0.0</v>
      </c>
    </row>
    <row r="999" spans="1:24" ht="15.75" customHeight="1">
      <c r="A999" s="1">
        <v>51330.0</v>
      </c>
      <c r="B999" s="1" t="s">
        <v>4536</v>
      </c>
      <c r="C999" s="1" t="s">
        <v>4537</v>
      </c>
      <c r="D999" s="1" t="s">
        <v>4538</v>
      </c>
      <c r="F999" s="1" t="str">
        <f>"0385260326"</f>
        <v>0385260326</v>
      </c>
      <c r="G999" s="1" t="str">
        <f>"9780385260329"</f>
        <v>9780385260329</v>
      </c>
      <c r="H999" s="1">
        <v>4.0</v>
      </c>
      <c r="I999" s="1">
        <v>3.97</v>
      </c>
      <c r="J999" s="1" t="s">
        <v>287</v>
      </c>
      <c r="K999" s="1" t="s">
        <v>44</v>
      </c>
      <c r="L999" s="1">
        <v>282.0</v>
      </c>
      <c r="M999" s="1">
        <v>1989.0</v>
      </c>
      <c r="N999" s="1">
        <v>1988.0</v>
      </c>
      <c r="O999" s="3">
        <v>44510.0</v>
      </c>
      <c r="P999" s="2">
        <v>44508.0</v>
      </c>
      <c r="Q999" s="1" t="s">
        <v>4539</v>
      </c>
      <c r="R999" s="1" t="s">
        <v>4540</v>
      </c>
      <c r="S999" s="1" t="s">
        <v>32</v>
      </c>
      <c r="W999" s="1">
        <v>1.0</v>
      </c>
      <c r="X999" s="1">
        <v>1.0</v>
      </c>
    </row>
    <row r="1000" spans="1:24" ht="15.75" customHeight="1">
      <c r="A1000" s="1">
        <v>8047215.0</v>
      </c>
      <c r="B1000" s="1" t="s">
        <v>4541</v>
      </c>
      <c r="C1000" s="1" t="s">
        <v>4542</v>
      </c>
      <c r="D1000" s="1" t="s">
        <v>4543</v>
      </c>
      <c r="F1000" s="1" t="str">
        <f>"0199532915"</f>
        <v>0199532915</v>
      </c>
      <c r="G1000" s="1" t="str">
        <f>"9780199532919"</f>
        <v>9780199532919</v>
      </c>
      <c r="H1000" s="1">
        <v>0.0</v>
      </c>
      <c r="I1000" s="1">
        <v>4.06</v>
      </c>
      <c r="J1000" s="1" t="s">
        <v>181</v>
      </c>
      <c r="K1000" s="1" t="s">
        <v>44</v>
      </c>
      <c r="L1000" s="1">
        <v>500.0</v>
      </c>
      <c r="M1000" s="1">
        <v>2010.0</v>
      </c>
      <c r="N1000" s="1">
        <v>2010.0</v>
      </c>
      <c r="P1000" s="2">
        <v>44455.0</v>
      </c>
      <c r="Q1000" s="1" t="s">
        <v>32</v>
      </c>
      <c r="R1000" s="1" t="s">
        <v>4544</v>
      </c>
      <c r="S1000" s="1" t="s">
        <v>32</v>
      </c>
      <c r="W1000" s="1">
        <v>0.0</v>
      </c>
      <c r="X1000" s="1">
        <v>0.0</v>
      </c>
    </row>
    <row r="1001" spans="1:24" ht="15.75" customHeight="1">
      <c r="A1001" s="1">
        <v>3.6376166E7</v>
      </c>
      <c r="B1001" s="1" t="s">
        <v>4545</v>
      </c>
      <c r="C1001" s="1" t="s">
        <v>4546</v>
      </c>
      <c r="D1001" s="1" t="s">
        <v>4547</v>
      </c>
      <c r="E1001" s="1" t="s">
        <v>4548</v>
      </c>
      <c r="F1001" s="1" t="str">
        <f>"8416290644"</f>
        <v>8416290644</v>
      </c>
      <c r="G1001" s="1" t="str">
        <f>"9788416290642"</f>
        <v>9788416290642</v>
      </c>
      <c r="H1001" s="1">
        <v>0.0</v>
      </c>
      <c r="I1001" s="1">
        <v>3.67</v>
      </c>
      <c r="J1001" s="1" t="s">
        <v>4549</v>
      </c>
      <c r="K1001" s="1" t="s">
        <v>37</v>
      </c>
      <c r="L1001" s="1">
        <v>213.0</v>
      </c>
      <c r="M1001" s="1">
        <v>2017.0</v>
      </c>
      <c r="N1001" s="1">
        <v>2015.0</v>
      </c>
      <c r="P1001" s="2">
        <v>44103.0</v>
      </c>
      <c r="Q1001" s="1" t="s">
        <v>32</v>
      </c>
      <c r="R1001" s="1" t="s">
        <v>4550</v>
      </c>
      <c r="S1001" s="1" t="s">
        <v>32</v>
      </c>
      <c r="W1001" s="1">
        <v>0.0</v>
      </c>
      <c r="X1001" s="1">
        <v>0.0</v>
      </c>
    </row>
    <row r="1002" spans="1:24" ht="15.75" customHeight="1">
      <c r="A1002" s="1">
        <v>6862.0</v>
      </c>
      <c r="B1002" s="1" t="s">
        <v>4551</v>
      </c>
      <c r="C1002" s="1" t="s">
        <v>4552</v>
      </c>
      <c r="D1002" s="1" t="s">
        <v>4553</v>
      </c>
      <c r="F1002" s="1" t="str">
        <f>"0385494246"</f>
        <v>0385494246</v>
      </c>
      <c r="G1002" s="1" t="str">
        <f>"9780385494243"</f>
        <v>9780385494243</v>
      </c>
      <c r="H1002" s="1">
        <v>0.0</v>
      </c>
      <c r="I1002" s="1">
        <v>3.46</v>
      </c>
      <c r="J1002" s="1" t="s">
        <v>4554</v>
      </c>
      <c r="K1002" s="1" t="s">
        <v>44</v>
      </c>
      <c r="L1002" s="1">
        <v>208.0</v>
      </c>
      <c r="M1002" s="1">
        <v>1999.0</v>
      </c>
      <c r="N1002" s="1">
        <v>1998.0</v>
      </c>
      <c r="P1002" s="2">
        <v>45111.0</v>
      </c>
      <c r="Q1002" s="1" t="s">
        <v>261</v>
      </c>
      <c r="R1002" s="1" t="s">
        <v>4555</v>
      </c>
      <c r="S1002" s="1" t="s">
        <v>32</v>
      </c>
      <c r="W1002" s="1">
        <v>0.0</v>
      </c>
      <c r="X1002" s="1">
        <v>0.0</v>
      </c>
    </row>
    <row r="1003" spans="1:24" ht="15.75" customHeight="1">
      <c r="A1003" s="1">
        <v>1.0074367E7</v>
      </c>
      <c r="B1003" s="1" t="s">
        <v>4556</v>
      </c>
      <c r="C1003" s="1" t="s">
        <v>4557</v>
      </c>
      <c r="D1003" s="1" t="s">
        <v>4558</v>
      </c>
      <c r="F1003" s="1" t="str">
        <f>"0745327257"</f>
        <v>0745327257</v>
      </c>
      <c r="G1003" s="1" t="str">
        <f>"9780745327259"</f>
        <v>9780745327259</v>
      </c>
      <c r="H1003" s="1">
        <v>0.0</v>
      </c>
      <c r="I1003" s="1">
        <v>4.17</v>
      </c>
      <c r="J1003" s="1" t="s">
        <v>4559</v>
      </c>
      <c r="K1003" s="1" t="s">
        <v>44</v>
      </c>
      <c r="L1003" s="1">
        <v>256.0</v>
      </c>
      <c r="M1003" s="1">
        <v>2010.0</v>
      </c>
      <c r="N1003" s="1">
        <v>2010.0</v>
      </c>
      <c r="P1003" s="3">
        <v>45251.0</v>
      </c>
      <c r="Q1003" s="1" t="s">
        <v>1739</v>
      </c>
      <c r="R1003" s="1" t="s">
        <v>4560</v>
      </c>
      <c r="S1003" s="1" t="s">
        <v>32</v>
      </c>
      <c r="W1003" s="1">
        <v>0.0</v>
      </c>
      <c r="X1003" s="1">
        <v>0.0</v>
      </c>
    </row>
    <row r="1004" spans="1:24" ht="15.75" customHeight="1">
      <c r="A1004" s="1">
        <v>57540.0</v>
      </c>
      <c r="B1004" s="1" t="s">
        <v>4561</v>
      </c>
      <c r="C1004" s="1" t="s">
        <v>4557</v>
      </c>
      <c r="D1004" s="1" t="s">
        <v>4558</v>
      </c>
      <c r="F1004" s="1" t="str">
        <f>"1851684670"</f>
        <v>1851684670</v>
      </c>
      <c r="G1004" s="1" t="str">
        <f>"9781851684670"</f>
        <v>9781851684670</v>
      </c>
      <c r="H1004" s="1">
        <v>0.0</v>
      </c>
      <c r="I1004" s="1">
        <v>4.51</v>
      </c>
      <c r="J1004" s="1" t="s">
        <v>4562</v>
      </c>
      <c r="K1004" s="1" t="s">
        <v>37</v>
      </c>
      <c r="L1004" s="1">
        <v>320.0</v>
      </c>
      <c r="M1004" s="1">
        <v>2006.0</v>
      </c>
      <c r="N1004" s="1">
        <v>2006.0</v>
      </c>
      <c r="P1004" s="3">
        <v>45255.0</v>
      </c>
      <c r="Q1004" s="1" t="s">
        <v>32</v>
      </c>
      <c r="R1004" s="1" t="s">
        <v>4563</v>
      </c>
      <c r="S1004" s="1" t="s">
        <v>32</v>
      </c>
      <c r="W1004" s="1">
        <v>0.0</v>
      </c>
      <c r="X1004" s="1">
        <v>0.0</v>
      </c>
    </row>
    <row r="1005" spans="1:24" ht="15.75" customHeight="1">
      <c r="A1005" s="1">
        <v>318335.0</v>
      </c>
      <c r="B1005" s="1" t="s">
        <v>4564</v>
      </c>
      <c r="C1005" s="1" t="s">
        <v>4565</v>
      </c>
      <c r="D1005" s="1" t="s">
        <v>4566</v>
      </c>
      <c r="E1005" s="1" t="s">
        <v>4567</v>
      </c>
      <c r="F1005" s="1" t="str">
        <f>"1400078636"</f>
        <v>1400078636</v>
      </c>
      <c r="G1005" s="1" t="str">
        <f>"9781400078639"</f>
        <v>9781400078639</v>
      </c>
      <c r="H1005" s="1">
        <v>0.0</v>
      </c>
      <c r="I1005" s="1">
        <v>4.07</v>
      </c>
      <c r="J1005" s="1" t="s">
        <v>317</v>
      </c>
      <c r="K1005" s="1" t="s">
        <v>44</v>
      </c>
      <c r="L1005" s="1">
        <v>262.0</v>
      </c>
      <c r="M1005" s="1">
        <v>2004.0</v>
      </c>
      <c r="N1005" s="1">
        <v>1975.0</v>
      </c>
      <c r="P1005" s="2">
        <v>44459.0</v>
      </c>
      <c r="Q1005" s="1" t="s">
        <v>32</v>
      </c>
      <c r="R1005" s="1" t="s">
        <v>4568</v>
      </c>
      <c r="S1005" s="1" t="s">
        <v>32</v>
      </c>
      <c r="W1005" s="1">
        <v>0.0</v>
      </c>
      <c r="X1005" s="1">
        <v>0.0</v>
      </c>
    </row>
    <row r="1006" spans="1:24" ht="15.75" customHeight="1">
      <c r="A1006" s="1">
        <v>502740.0</v>
      </c>
      <c r="B1006" s="1" t="s">
        <v>4569</v>
      </c>
      <c r="C1006" s="1" t="s">
        <v>4570</v>
      </c>
      <c r="D1006" s="1" t="s">
        <v>4571</v>
      </c>
      <c r="E1006" s="1" t="s">
        <v>4572</v>
      </c>
      <c r="F1006" s="1" t="str">
        <f>"0553087258"</f>
        <v>0553087258</v>
      </c>
      <c r="G1006" s="1" t="str">
        <f>"9780553087253"</f>
        <v>9780553087253</v>
      </c>
      <c r="H1006" s="1">
        <v>0.0</v>
      </c>
      <c r="I1006" s="1">
        <v>4.18</v>
      </c>
      <c r="J1006" s="1" t="s">
        <v>772</v>
      </c>
      <c r="K1006" s="1" t="s">
        <v>44</v>
      </c>
      <c r="L1006" s="1">
        <v>212.0</v>
      </c>
      <c r="M1006" s="1">
        <v>1974.0</v>
      </c>
      <c r="N1006" s="1">
        <v>1972.0</v>
      </c>
      <c r="P1006" s="2">
        <v>45032.0</v>
      </c>
      <c r="Q1006" s="1" t="s">
        <v>32</v>
      </c>
      <c r="R1006" s="1" t="s">
        <v>4573</v>
      </c>
      <c r="S1006" s="1" t="s">
        <v>32</v>
      </c>
      <c r="W1006" s="1">
        <v>0.0</v>
      </c>
      <c r="X1006" s="1">
        <v>0.0</v>
      </c>
    </row>
    <row r="1007" spans="1:24" ht="15.75" customHeight="1">
      <c r="A1007" s="1">
        <v>228296.0</v>
      </c>
      <c r="B1007" s="1" t="s">
        <v>4574</v>
      </c>
      <c r="C1007" s="1" t="s">
        <v>4575</v>
      </c>
      <c r="D1007" s="1" t="s">
        <v>4576</v>
      </c>
      <c r="F1007" s="1" t="str">
        <f>"0451194004"</f>
        <v>0451194004</v>
      </c>
      <c r="G1007" s="1" t="str">
        <f>"9780451194008"</f>
        <v>9780451194008</v>
      </c>
      <c r="H1007" s="1">
        <v>5.0</v>
      </c>
      <c r="I1007" s="1">
        <v>4.04</v>
      </c>
      <c r="J1007" s="1" t="s">
        <v>1234</v>
      </c>
      <c r="K1007" s="1" t="s">
        <v>37</v>
      </c>
      <c r="L1007" s="1">
        <v>308.0</v>
      </c>
      <c r="M1007" s="1">
        <v>1997.0</v>
      </c>
      <c r="N1007" s="1">
        <v>1967.0</v>
      </c>
      <c r="O1007" s="3">
        <v>41241.0</v>
      </c>
      <c r="P1007" s="2">
        <v>41035.0</v>
      </c>
      <c r="Q1007" s="1" t="s">
        <v>502</v>
      </c>
      <c r="R1007" s="1" t="s">
        <v>4577</v>
      </c>
      <c r="S1007" s="1" t="s">
        <v>32</v>
      </c>
      <c r="W1007" s="1">
        <v>1.0</v>
      </c>
      <c r="X1007" s="1">
        <v>0.0</v>
      </c>
    </row>
    <row r="1008" spans="1:24" ht="15.75" customHeight="1">
      <c r="A1008" s="1">
        <v>52350.0</v>
      </c>
      <c r="B1008" s="1" t="s">
        <v>4578</v>
      </c>
      <c r="C1008" s="1" t="s">
        <v>4575</v>
      </c>
      <c r="D1008" s="1" t="s">
        <v>4576</v>
      </c>
      <c r="E1008" s="1" t="s">
        <v>4579</v>
      </c>
      <c r="F1008" s="1" t="str">
        <f>"0060080841"</f>
        <v>0060080841</v>
      </c>
      <c r="G1008" s="1" t="str">
        <f>"9780060080846"</f>
        <v>9780060080846</v>
      </c>
      <c r="H1008" s="1">
        <v>0.0</v>
      </c>
      <c r="I1008" s="1">
        <v>3.84</v>
      </c>
      <c r="J1008" s="1" t="s">
        <v>4580</v>
      </c>
      <c r="K1008" s="1" t="s">
        <v>44</v>
      </c>
      <c r="L1008" s="1">
        <v>144.0</v>
      </c>
      <c r="M1008" s="1">
        <v>2002.0</v>
      </c>
      <c r="N1008" s="1">
        <v>1972.0</v>
      </c>
      <c r="P1008" s="3">
        <v>44859.0</v>
      </c>
      <c r="Q1008" s="1" t="s">
        <v>32</v>
      </c>
      <c r="R1008" s="1" t="s">
        <v>4581</v>
      </c>
      <c r="S1008" s="1" t="s">
        <v>32</v>
      </c>
      <c r="W1008" s="1">
        <v>0.0</v>
      </c>
      <c r="X1008" s="1">
        <v>0.0</v>
      </c>
    </row>
    <row r="1009" spans="1:24" ht="15.75" customHeight="1">
      <c r="A1009" s="1">
        <v>2.9099707E7</v>
      </c>
      <c r="B1009" s="1" t="s">
        <v>4582</v>
      </c>
      <c r="C1009" s="1" t="s">
        <v>4583</v>
      </c>
      <c r="D1009" s="1" t="s">
        <v>4584</v>
      </c>
      <c r="E1009" s="1" t="s">
        <v>4585</v>
      </c>
      <c r="F1009" s="1" t="str">
        <f>"8416542120"</f>
        <v>8416542120</v>
      </c>
      <c r="G1009" s="1" t="str">
        <f>"9788416542123"</f>
        <v>9788416542123</v>
      </c>
      <c r="H1009" s="1">
        <v>0.0</v>
      </c>
      <c r="I1009" s="1">
        <v>3.5</v>
      </c>
      <c r="J1009" s="1" t="s">
        <v>4586</v>
      </c>
      <c r="K1009" s="1" t="s">
        <v>44</v>
      </c>
      <c r="L1009" s="1">
        <v>432.0</v>
      </c>
      <c r="M1009" s="1">
        <v>2016.0</v>
      </c>
      <c r="N1009" s="1">
        <v>1969.0</v>
      </c>
      <c r="P1009" s="2">
        <v>45108.0</v>
      </c>
      <c r="Q1009" s="1" t="s">
        <v>502</v>
      </c>
      <c r="R1009" s="1" t="s">
        <v>4587</v>
      </c>
      <c r="S1009" s="1" t="s">
        <v>32</v>
      </c>
      <c r="W1009" s="1">
        <v>0.0</v>
      </c>
      <c r="X1009" s="1">
        <v>0.0</v>
      </c>
    </row>
    <row r="1010" spans="1:24" ht="15.75" customHeight="1">
      <c r="A1010" s="1">
        <v>5.7693608E7</v>
      </c>
      <c r="B1010" s="1" t="s">
        <v>4588</v>
      </c>
      <c r="C1010" s="1" t="s">
        <v>4589</v>
      </c>
      <c r="D1010" s="1" t="s">
        <v>4590</v>
      </c>
      <c r="E1010" s="1" t="s">
        <v>4591</v>
      </c>
      <c r="F1010" s="1" t="str">
        <f>"1644450801"</f>
        <v>1644450801</v>
      </c>
      <c r="G1010" s="1" t="str">
        <f>"9781644450802"</f>
        <v>9781644450802</v>
      </c>
      <c r="H1010" s="1">
        <v>0.0</v>
      </c>
      <c r="I1010" s="1">
        <v>4.25</v>
      </c>
      <c r="J1010" s="1" t="s">
        <v>337</v>
      </c>
      <c r="K1010" s="1" t="s">
        <v>44</v>
      </c>
      <c r="L1010" s="1">
        <v>216.0</v>
      </c>
      <c r="M1010" s="1">
        <v>2022.0</v>
      </c>
      <c r="N1010" s="1">
        <v>2019.0</v>
      </c>
      <c r="P1010" s="2">
        <v>45059.0</v>
      </c>
      <c r="Q1010" s="1" t="s">
        <v>502</v>
      </c>
      <c r="R1010" s="1" t="s">
        <v>4592</v>
      </c>
      <c r="S1010" s="1" t="s">
        <v>32</v>
      </c>
      <c r="W1010" s="1">
        <v>0.0</v>
      </c>
      <c r="X1010" s="1">
        <v>0.0</v>
      </c>
    </row>
    <row r="1011" spans="1:24" ht="15.75" customHeight="1">
      <c r="A1011" s="1">
        <v>5.1554723E7</v>
      </c>
      <c r="B1011" s="1" t="s">
        <v>4593</v>
      </c>
      <c r="C1011" s="1" t="s">
        <v>4594</v>
      </c>
      <c r="D1011" s="1" t="s">
        <v>4595</v>
      </c>
      <c r="F1011" s="1" t="str">
        <f>"8417860797"</f>
        <v>8417860797</v>
      </c>
      <c r="G1011" s="1" t="str">
        <f>"9788417860790"</f>
        <v>9788417860790</v>
      </c>
      <c r="H1011" s="1">
        <v>0.0</v>
      </c>
      <c r="I1011" s="1">
        <v>4.27</v>
      </c>
      <c r="J1011" s="1" t="s">
        <v>638</v>
      </c>
      <c r="K1011" s="1" t="s">
        <v>44</v>
      </c>
      <c r="L1011" s="1">
        <v>452.0</v>
      </c>
      <c r="M1011" s="1">
        <v>2019.0</v>
      </c>
      <c r="N1011" s="1">
        <v>2019.0</v>
      </c>
      <c r="P1011" s="2">
        <v>45310.0</v>
      </c>
      <c r="Q1011" s="1" t="s">
        <v>32</v>
      </c>
      <c r="R1011" s="1" t="s">
        <v>4596</v>
      </c>
      <c r="S1011" s="1" t="s">
        <v>32</v>
      </c>
      <c r="W1011" s="1">
        <v>0.0</v>
      </c>
      <c r="X1011" s="1">
        <v>0.0</v>
      </c>
    </row>
    <row r="1012" spans="1:24" ht="15.75" customHeight="1">
      <c r="A1012" s="1">
        <v>1272539.0</v>
      </c>
      <c r="B1012" s="1" t="s">
        <v>4597</v>
      </c>
      <c r="C1012" s="1" t="s">
        <v>4598</v>
      </c>
      <c r="D1012" s="1" t="s">
        <v>4599</v>
      </c>
      <c r="F1012" s="1" t="str">
        <f>"014002848X"</f>
        <v>014002848X</v>
      </c>
      <c r="G1012" s="1" t="str">
        <f>"9780140028485"</f>
        <v>9780140028485</v>
      </c>
      <c r="H1012" s="1">
        <v>0.0</v>
      </c>
      <c r="I1012" s="1">
        <v>3.83</v>
      </c>
      <c r="J1012" s="1" t="s">
        <v>1063</v>
      </c>
      <c r="K1012" s="1" t="s">
        <v>44</v>
      </c>
      <c r="L1012" s="1">
        <v>235.0</v>
      </c>
      <c r="M1012" s="1">
        <v>1988.0</v>
      </c>
      <c r="N1012" s="1">
        <v>1966.0</v>
      </c>
      <c r="P1012" s="2">
        <v>44312.0</v>
      </c>
      <c r="Q1012" s="1" t="s">
        <v>32</v>
      </c>
      <c r="R1012" s="1" t="s">
        <v>4600</v>
      </c>
      <c r="S1012" s="1" t="s">
        <v>32</v>
      </c>
      <c r="W1012" s="1">
        <v>0.0</v>
      </c>
      <c r="X1012" s="1">
        <v>0.0</v>
      </c>
    </row>
    <row r="1013" spans="1:24" ht="15.75" customHeight="1">
      <c r="A1013" s="1">
        <v>11229.0</v>
      </c>
      <c r="B1013" s="1" t="s">
        <v>4601</v>
      </c>
      <c r="C1013" s="1" t="s">
        <v>4598</v>
      </c>
      <c r="D1013" s="1" t="s">
        <v>4599</v>
      </c>
      <c r="E1013" s="1" t="s">
        <v>4602</v>
      </c>
      <c r="F1013" s="1" t="str">
        <f>"014118616X"</f>
        <v>014118616X</v>
      </c>
      <c r="G1013" s="1" t="str">
        <f>"9780141186160"</f>
        <v>9780141186160</v>
      </c>
      <c r="H1013" s="1">
        <v>0.0</v>
      </c>
      <c r="I1013" s="1">
        <v>3.95</v>
      </c>
      <c r="J1013" s="1" t="s">
        <v>1063</v>
      </c>
      <c r="K1013" s="1" t="s">
        <v>44</v>
      </c>
      <c r="L1013" s="1">
        <v>528.0</v>
      </c>
      <c r="M1013" s="1">
        <v>2001.0</v>
      </c>
      <c r="N1013" s="1">
        <v>1978.0</v>
      </c>
      <c r="P1013" s="2">
        <v>45111.0</v>
      </c>
      <c r="Q1013" s="1" t="s">
        <v>261</v>
      </c>
      <c r="R1013" s="1" t="s">
        <v>4603</v>
      </c>
      <c r="S1013" s="1" t="s">
        <v>32</v>
      </c>
      <c r="W1013" s="1">
        <v>0.0</v>
      </c>
      <c r="X1013" s="1">
        <v>0.0</v>
      </c>
    </row>
    <row r="1014" spans="1:24" ht="15.75" customHeight="1">
      <c r="A1014" s="90">
        <v>21032.0</v>
      </c>
      <c r="B1014" s="90" t="s">
        <v>4604</v>
      </c>
      <c r="C1014" s="90" t="s">
        <v>4605</v>
      </c>
      <c r="D1014" s="90" t="s">
        <v>4606</v>
      </c>
      <c r="E1014" s="91"/>
      <c r="F1014" s="90" t="str">
        <f>"0465021476"</f>
        <v>0465021476</v>
      </c>
      <c r="G1014" s="90" t="str">
        <f>"9780465021475"</f>
        <v>9780465021475</v>
      </c>
      <c r="H1014" s="90">
        <v>0.0</v>
      </c>
      <c r="I1014" s="90">
        <v>4.45</v>
      </c>
      <c r="J1014" s="90" t="s">
        <v>1536</v>
      </c>
      <c r="K1014" s="90" t="s">
        <v>37</v>
      </c>
      <c r="L1014" s="90">
        <v>544.0</v>
      </c>
      <c r="M1014" s="90">
        <v>1980.0</v>
      </c>
      <c r="N1014" s="90">
        <v>1980.0</v>
      </c>
      <c r="O1014" s="91"/>
      <c r="P1014" s="92">
        <v>45173.0</v>
      </c>
      <c r="Q1014" s="93" t="s">
        <v>871</v>
      </c>
      <c r="R1014" s="90" t="s">
        <v>4607</v>
      </c>
      <c r="S1014" s="90" t="s">
        <v>32</v>
      </c>
      <c r="T1014" s="91"/>
      <c r="U1014" s="91"/>
      <c r="V1014" s="91"/>
      <c r="W1014" s="90">
        <v>0.0</v>
      </c>
      <c r="X1014" s="90">
        <v>0.0</v>
      </c>
    </row>
    <row r="1015" spans="1:24" ht="15.75" customHeight="1">
      <c r="A1015" s="90">
        <v>21026.0</v>
      </c>
      <c r="B1015" s="90" t="s">
        <v>4608</v>
      </c>
      <c r="C1015" s="90" t="s">
        <v>4605</v>
      </c>
      <c r="D1015" s="90" t="s">
        <v>4606</v>
      </c>
      <c r="E1015" s="91"/>
      <c r="F1015" s="90" t="str">
        <f>"0465021182"</f>
        <v>0465021182</v>
      </c>
      <c r="G1015" s="90" t="str">
        <f>"9780465021185"</f>
        <v>9780465021185</v>
      </c>
      <c r="H1015" s="90">
        <v>0.0</v>
      </c>
      <c r="I1015" s="90">
        <v>3.78</v>
      </c>
      <c r="J1015" s="90" t="s">
        <v>1536</v>
      </c>
      <c r="K1015" s="90" t="s">
        <v>44</v>
      </c>
      <c r="L1015" s="90">
        <v>272.0</v>
      </c>
      <c r="M1015" s="90">
        <v>1991.0</v>
      </c>
      <c r="N1015" s="90">
        <v>1974.0</v>
      </c>
      <c r="O1015" s="91"/>
      <c r="P1015" s="92">
        <v>45170.0</v>
      </c>
      <c r="Q1015" s="93" t="s">
        <v>871</v>
      </c>
      <c r="R1015" s="90" t="s">
        <v>4609</v>
      </c>
      <c r="S1015" s="90" t="s">
        <v>32</v>
      </c>
      <c r="T1015" s="91"/>
      <c r="U1015" s="91"/>
      <c r="V1015" s="91"/>
      <c r="W1015" s="90">
        <v>0.0</v>
      </c>
      <c r="X1015" s="90">
        <v>0.0</v>
      </c>
    </row>
    <row r="1016" spans="1:24" ht="15.75" customHeight="1">
      <c r="A1016" s="90">
        <v>21025.0</v>
      </c>
      <c r="B1016" s="90" t="s">
        <v>4610</v>
      </c>
      <c r="C1016" s="90" t="s">
        <v>4605</v>
      </c>
      <c r="D1016" s="90" t="s">
        <v>4606</v>
      </c>
      <c r="E1016" s="90" t="s">
        <v>4611</v>
      </c>
      <c r="F1016" s="90" t="str">
        <f>"0060938110"</f>
        <v>0060938110</v>
      </c>
      <c r="G1016" s="90" t="str">
        <f>"9780060938116"</f>
        <v>9780060938116</v>
      </c>
      <c r="H1016" s="90">
        <v>0.0</v>
      </c>
      <c r="I1016" s="90">
        <v>4.32</v>
      </c>
      <c r="J1016" s="90" t="s">
        <v>917</v>
      </c>
      <c r="K1016" s="90" t="s">
        <v>44</v>
      </c>
      <c r="L1016" s="90">
        <v>288.0</v>
      </c>
      <c r="M1016" s="90">
        <v>2003.0</v>
      </c>
      <c r="N1016" s="90">
        <v>2001.0</v>
      </c>
      <c r="O1016" s="91"/>
      <c r="P1016" s="92">
        <v>45170.0</v>
      </c>
      <c r="Q1016" s="93" t="s">
        <v>871</v>
      </c>
      <c r="R1016" s="90" t="s">
        <v>4612</v>
      </c>
      <c r="S1016" s="90" t="s">
        <v>32</v>
      </c>
      <c r="T1016" s="91"/>
      <c r="U1016" s="91"/>
      <c r="V1016" s="91"/>
      <c r="W1016" s="90">
        <v>0.0</v>
      </c>
      <c r="X1016" s="90">
        <v>0.0</v>
      </c>
    </row>
    <row r="1017" spans="1:24" ht="15.75" customHeight="1">
      <c r="A1017" s="81">
        <v>774963.0</v>
      </c>
      <c r="B1017" s="81" t="s">
        <v>4613</v>
      </c>
      <c r="C1017" s="81" t="s">
        <v>4614</v>
      </c>
      <c r="D1017" s="81" t="s">
        <v>4615</v>
      </c>
      <c r="E1017" s="82"/>
      <c r="F1017" s="81" t="str">
        <f>"0393315819"</f>
        <v>0393315819</v>
      </c>
      <c r="G1017" s="81" t="str">
        <f>"9780393315813"</f>
        <v>9780393315813</v>
      </c>
      <c r="H1017" s="81">
        <v>0.0</v>
      </c>
      <c r="I1017" s="81">
        <v>3.6</v>
      </c>
      <c r="J1017" s="81" t="s">
        <v>248</v>
      </c>
      <c r="K1017" s="81" t="s">
        <v>44</v>
      </c>
      <c r="L1017" s="81">
        <v>290.0</v>
      </c>
      <c r="M1017" s="81">
        <v>1996.0</v>
      </c>
      <c r="N1017" s="81">
        <v>1996.0</v>
      </c>
      <c r="O1017" s="82"/>
      <c r="P1017" s="83">
        <v>41035.0</v>
      </c>
      <c r="Q1017" s="84" t="s">
        <v>4385</v>
      </c>
      <c r="R1017" s="81" t="s">
        <v>4617</v>
      </c>
      <c r="S1017" s="81" t="s">
        <v>32</v>
      </c>
      <c r="T1017" s="82"/>
      <c r="U1017" s="82"/>
      <c r="V1017" s="82"/>
      <c r="W1017" s="81">
        <v>0.0</v>
      </c>
      <c r="X1017" s="81">
        <v>0.0</v>
      </c>
    </row>
    <row r="1018" spans="1:24" ht="15.75" customHeight="1">
      <c r="A1018" s="81">
        <v>527869.0</v>
      </c>
      <c r="B1018" s="81" t="s">
        <v>4618</v>
      </c>
      <c r="C1018" s="81" t="s">
        <v>4614</v>
      </c>
      <c r="D1018" s="81" t="s">
        <v>4615</v>
      </c>
      <c r="E1018" s="82"/>
      <c r="F1018" s="81" t="str">
        <f>"0393314804"</f>
        <v>0393314804</v>
      </c>
      <c r="G1018" s="81" t="str">
        <f>"9780393314809"</f>
        <v>9780393314809</v>
      </c>
      <c r="H1018" s="81">
        <v>0.0</v>
      </c>
      <c r="I1018" s="81">
        <v>4.1</v>
      </c>
      <c r="J1018" s="81" t="s">
        <v>248</v>
      </c>
      <c r="K1018" s="81" t="s">
        <v>44</v>
      </c>
      <c r="L1018" s="81">
        <v>349.0</v>
      </c>
      <c r="M1018" s="81">
        <v>1996.0</v>
      </c>
      <c r="N1018" s="81">
        <v>1993.0</v>
      </c>
      <c r="O1018" s="82"/>
      <c r="P1018" s="83">
        <v>41035.0</v>
      </c>
      <c r="Q1018" s="84" t="s">
        <v>4385</v>
      </c>
      <c r="R1018" s="81" t="s">
        <v>4619</v>
      </c>
      <c r="S1018" s="81" t="s">
        <v>32</v>
      </c>
      <c r="T1018" s="82"/>
      <c r="U1018" s="82"/>
      <c r="V1018" s="82"/>
      <c r="W1018" s="81">
        <v>0.0</v>
      </c>
      <c r="X1018" s="81">
        <v>0.0</v>
      </c>
    </row>
    <row r="1019" spans="1:24" ht="15.75" customHeight="1">
      <c r="A1019" s="1">
        <v>49187.0</v>
      </c>
      <c r="B1019" s="1" t="s">
        <v>4620</v>
      </c>
      <c r="C1019" s="1" t="s">
        <v>4621</v>
      </c>
      <c r="D1019" s="1" t="s">
        <v>4622</v>
      </c>
      <c r="E1019" s="1" t="s">
        <v>4623</v>
      </c>
      <c r="F1019" s="1" t="str">
        <f>"089106074X"</f>
        <v>089106074X</v>
      </c>
      <c r="G1019" s="1" t="str">
        <f>"9780891060741"</f>
        <v>9780891060741</v>
      </c>
      <c r="H1019" s="1">
        <v>0.0</v>
      </c>
      <c r="I1019" s="1">
        <v>4.09</v>
      </c>
      <c r="J1019" s="1" t="s">
        <v>4624</v>
      </c>
      <c r="K1019" s="1" t="s">
        <v>44</v>
      </c>
      <c r="L1019" s="1">
        <v>228.0</v>
      </c>
      <c r="M1019" s="1">
        <v>1995.0</v>
      </c>
      <c r="N1019" s="1">
        <v>1980.0</v>
      </c>
      <c r="P1019" s="2">
        <v>45180.0</v>
      </c>
      <c r="Q1019" s="1" t="s">
        <v>1682</v>
      </c>
      <c r="R1019" s="1" t="s">
        <v>4625</v>
      </c>
      <c r="S1019" s="1" t="s">
        <v>32</v>
      </c>
      <c r="W1019" s="1">
        <v>0.0</v>
      </c>
      <c r="X1019" s="1">
        <v>0.0</v>
      </c>
    </row>
    <row r="1020" spans="1:24" ht="15.75" customHeight="1">
      <c r="A1020" s="1">
        <v>5.9725231E7</v>
      </c>
      <c r="B1020" s="1" t="s">
        <v>4626</v>
      </c>
      <c r="C1020" s="1" t="s">
        <v>4627</v>
      </c>
      <c r="D1020" s="1" t="s">
        <v>4628</v>
      </c>
      <c r="F1020" s="1" t="str">
        <f>"080216238X"</f>
        <v>080216238X</v>
      </c>
      <c r="G1020" s="1" t="str">
        <f>"9780802162380"</f>
        <v>9780802162380</v>
      </c>
      <c r="H1020" s="1">
        <v>0.0</v>
      </c>
      <c r="I1020" s="1">
        <v>4.08</v>
      </c>
      <c r="J1020" s="1" t="s">
        <v>4629</v>
      </c>
      <c r="K1020" s="1" t="s">
        <v>37</v>
      </c>
      <c r="L1020" s="1">
        <v>336.0</v>
      </c>
      <c r="M1020" s="1">
        <v>2023.0</v>
      </c>
      <c r="N1020" s="1">
        <v>2023.0</v>
      </c>
      <c r="P1020" s="3">
        <v>45274.0</v>
      </c>
      <c r="Q1020" s="1" t="s">
        <v>32</v>
      </c>
      <c r="R1020" s="1" t="s">
        <v>4630</v>
      </c>
      <c r="S1020" s="1" t="s">
        <v>32</v>
      </c>
      <c r="W1020" s="1">
        <v>0.0</v>
      </c>
      <c r="X1020" s="1">
        <v>0.0</v>
      </c>
    </row>
    <row r="1021" spans="1:24" ht="15.75" customHeight="1">
      <c r="A1021" s="1">
        <v>761156.0</v>
      </c>
      <c r="B1021" s="1" t="s">
        <v>4631</v>
      </c>
      <c r="C1021" s="1" t="s">
        <v>4632</v>
      </c>
      <c r="D1021" s="1" t="s">
        <v>4633</v>
      </c>
      <c r="F1021" s="1" t="str">
        <f>"0684824779"</f>
        <v>0684824779</v>
      </c>
      <c r="G1021" s="1" t="str">
        <f>"9780684824772"</f>
        <v>9780684824772</v>
      </c>
      <c r="H1021" s="1">
        <v>0.0</v>
      </c>
      <c r="I1021" s="1">
        <v>3.84</v>
      </c>
      <c r="J1021" s="1" t="s">
        <v>88</v>
      </c>
      <c r="K1021" s="1" t="s">
        <v>44</v>
      </c>
      <c r="L1021" s="1">
        <v>224.0</v>
      </c>
      <c r="M1021" s="1">
        <v>1996.0</v>
      </c>
      <c r="N1021" s="1">
        <v>1972.0</v>
      </c>
      <c r="P1021" s="3">
        <v>44118.0</v>
      </c>
      <c r="Q1021" s="1" t="s">
        <v>32</v>
      </c>
      <c r="R1021" s="1" t="s">
        <v>4634</v>
      </c>
      <c r="S1021" s="1" t="s">
        <v>32</v>
      </c>
      <c r="W1021" s="1">
        <v>0.0</v>
      </c>
      <c r="X1021" s="1">
        <v>0.0</v>
      </c>
    </row>
    <row r="1022" spans="1:24" ht="15.75" customHeight="1">
      <c r="A1022" s="1">
        <v>5.5711682E7</v>
      </c>
      <c r="B1022" s="1" t="s">
        <v>4635</v>
      </c>
      <c r="C1022" s="1" t="s">
        <v>4636</v>
      </c>
      <c r="D1022" s="1" t="s">
        <v>4637</v>
      </c>
      <c r="F1022" s="1" t="str">
        <f>"1982158301"</f>
        <v>1982158301</v>
      </c>
      <c r="G1022" s="1" t="str">
        <f>"9781982158309"</f>
        <v>9781982158309</v>
      </c>
      <c r="H1022" s="1">
        <v>0.0</v>
      </c>
      <c r="I1022" s="1">
        <v>3.45</v>
      </c>
      <c r="J1022" s="1" t="s">
        <v>627</v>
      </c>
      <c r="K1022" s="1" t="s">
        <v>37</v>
      </c>
      <c r="L1022" s="1">
        <v>304.0</v>
      </c>
      <c r="M1022" s="1">
        <v>2021.0</v>
      </c>
      <c r="N1022" s="1">
        <v>2021.0</v>
      </c>
      <c r="P1022" s="2">
        <v>44216.0</v>
      </c>
      <c r="Q1022" s="1" t="s">
        <v>502</v>
      </c>
      <c r="R1022" s="1" t="s">
        <v>4638</v>
      </c>
      <c r="S1022" s="1" t="s">
        <v>32</v>
      </c>
      <c r="W1022" s="1">
        <v>0.0</v>
      </c>
      <c r="X1022" s="1">
        <v>0.0</v>
      </c>
    </row>
    <row r="1023" spans="1:24" ht="15.75" customHeight="1">
      <c r="A1023" s="1">
        <v>6645126.0</v>
      </c>
      <c r="B1023" s="1" t="s">
        <v>4639</v>
      </c>
      <c r="C1023" s="1" t="s">
        <v>4640</v>
      </c>
      <c r="D1023" s="1" t="s">
        <v>4641</v>
      </c>
      <c r="F1023" s="1" t="str">
        <f>"1564592820"</f>
        <v>1564592820</v>
      </c>
      <c r="G1023" s="1" t="str">
        <f>"9781564592828"</f>
        <v>9781564592828</v>
      </c>
      <c r="H1023" s="1">
        <v>0.0</v>
      </c>
      <c r="I1023" s="1">
        <v>3.92</v>
      </c>
      <c r="J1023" s="1" t="s">
        <v>4642</v>
      </c>
      <c r="K1023" s="1" t="s">
        <v>44</v>
      </c>
      <c r="L1023" s="1">
        <v>204.0</v>
      </c>
      <c r="M1023" s="1">
        <v>1999.0</v>
      </c>
      <c r="N1023" s="1">
        <v>1970.0</v>
      </c>
      <c r="P1023" s="2">
        <v>44812.0</v>
      </c>
      <c r="Q1023" s="1" t="s">
        <v>491</v>
      </c>
      <c r="R1023" s="1" t="s">
        <v>4643</v>
      </c>
      <c r="S1023" s="1" t="s">
        <v>32</v>
      </c>
      <c r="W1023" s="1">
        <v>0.0</v>
      </c>
      <c r="X1023" s="1">
        <v>0.0</v>
      </c>
    </row>
    <row r="1024" spans="1:24" ht="15.75" customHeight="1">
      <c r="A1024" s="73">
        <v>59779.0</v>
      </c>
      <c r="B1024" s="73" t="s">
        <v>4644</v>
      </c>
      <c r="C1024" s="73" t="s">
        <v>4645</v>
      </c>
      <c r="D1024" s="73" t="s">
        <v>4646</v>
      </c>
      <c r="E1024" s="74"/>
      <c r="F1024" s="73" t="str">
        <f t="shared" si="72" ref="F1024:G1024">""</f>
        <v/>
      </c>
      <c r="G1024" s="73" t="str">
        <f t="shared" si="72"/>
        <v/>
      </c>
      <c r="H1024" s="73">
        <v>0.0</v>
      </c>
      <c r="I1024" s="73">
        <v>3.46</v>
      </c>
      <c r="J1024" s="73" t="s">
        <v>393</v>
      </c>
      <c r="K1024" s="73" t="s">
        <v>44</v>
      </c>
      <c r="L1024" s="73">
        <v>144.0</v>
      </c>
      <c r="M1024" s="73">
        <v>1997.0</v>
      </c>
      <c r="N1024" s="73">
        <v>1969.0</v>
      </c>
      <c r="O1024" s="74"/>
      <c r="P1024" s="75">
        <v>45122.0</v>
      </c>
      <c r="Q1024" s="76" t="s">
        <v>3643</v>
      </c>
      <c r="R1024" s="73" t="s">
        <v>4647</v>
      </c>
      <c r="S1024" s="73" t="s">
        <v>32</v>
      </c>
      <c r="T1024" s="74"/>
      <c r="U1024" s="74"/>
      <c r="V1024" s="74"/>
      <c r="W1024" s="73">
        <v>0.0</v>
      </c>
      <c r="X1024" s="73">
        <v>0.0</v>
      </c>
    </row>
    <row r="1025" spans="1:24" ht="15.75" customHeight="1">
      <c r="A1025" s="73">
        <v>9814.0</v>
      </c>
      <c r="B1025" s="73" t="s">
        <v>4648</v>
      </c>
      <c r="C1025" s="73" t="s">
        <v>4645</v>
      </c>
      <c r="D1025" s="73" t="s">
        <v>4646</v>
      </c>
      <c r="E1025" s="74"/>
      <c r="F1025" s="73" t="str">
        <f>"0679743499"</f>
        <v>0679743499</v>
      </c>
      <c r="G1025" s="73" t="str">
        <f>"9780679743491"</f>
        <v>9780679743491</v>
      </c>
      <c r="H1025" s="73">
        <v>0.0</v>
      </c>
      <c r="I1025" s="73">
        <v>3.84</v>
      </c>
      <c r="J1025" s="73" t="s">
        <v>69</v>
      </c>
      <c r="K1025" s="73" t="s">
        <v>44</v>
      </c>
      <c r="L1025" s="73">
        <v>288.0</v>
      </c>
      <c r="M1025" s="73">
        <v>2001.0</v>
      </c>
      <c r="N1025" s="73">
        <v>1991.0</v>
      </c>
      <c r="O1025" s="74"/>
      <c r="P1025" s="75">
        <v>45114.0</v>
      </c>
      <c r="Q1025" s="76" t="s">
        <v>3643</v>
      </c>
      <c r="R1025" s="73" t="s">
        <v>4649</v>
      </c>
      <c r="S1025" s="73" t="s">
        <v>32</v>
      </c>
      <c r="T1025" s="74"/>
      <c r="U1025" s="74"/>
      <c r="V1025" s="74"/>
      <c r="W1025" s="73">
        <v>0.0</v>
      </c>
      <c r="X1025" s="73">
        <v>0.0</v>
      </c>
    </row>
    <row r="1026" spans="1:24" ht="15.75" customHeight="1">
      <c r="A1026" s="1">
        <v>84737.0</v>
      </c>
      <c r="B1026" s="1" t="s">
        <v>4650</v>
      </c>
      <c r="C1026" s="1" t="s">
        <v>4651</v>
      </c>
      <c r="D1026" s="1" t="s">
        <v>4652</v>
      </c>
      <c r="E1026" s="1" t="s">
        <v>4653</v>
      </c>
      <c r="F1026" s="1" t="str">
        <f>"0375727760"</f>
        <v>0375727760</v>
      </c>
      <c r="G1026" s="1" t="str">
        <f>"9780375727764"</f>
        <v>9780375727764</v>
      </c>
      <c r="H1026" s="1">
        <v>0.0</v>
      </c>
      <c r="I1026" s="1">
        <v>3.78</v>
      </c>
      <c r="J1026" s="1" t="s">
        <v>69</v>
      </c>
      <c r="K1026" s="1" t="s">
        <v>44</v>
      </c>
      <c r="L1026" s="1">
        <v>437.0</v>
      </c>
      <c r="M1026" s="1">
        <v>2003.0</v>
      </c>
      <c r="N1026" s="1">
        <v>1923.0</v>
      </c>
      <c r="P1026" s="2">
        <v>45163.0</v>
      </c>
      <c r="Q1026" s="1" t="s">
        <v>32</v>
      </c>
      <c r="R1026" s="1" t="s">
        <v>4654</v>
      </c>
      <c r="S1026" s="1" t="s">
        <v>32</v>
      </c>
      <c r="W1026" s="1">
        <v>0.0</v>
      </c>
      <c r="X1026" s="1">
        <v>0.0</v>
      </c>
    </row>
    <row r="1027" spans="1:24" ht="15.75" customHeight="1">
      <c r="A1027" s="1">
        <v>3.4706146E7</v>
      </c>
      <c r="B1027" s="1" t="s">
        <v>4655</v>
      </c>
      <c r="C1027" s="1" t="s">
        <v>4656</v>
      </c>
      <c r="D1027" s="1" t="s">
        <v>4657</v>
      </c>
      <c r="F1027" s="1" t="str">
        <f t="shared" si="73" ref="F1027:G1027">""</f>
        <v/>
      </c>
      <c r="G1027" s="1" t="str">
        <f t="shared" si="73"/>
        <v/>
      </c>
      <c r="H1027" s="1">
        <v>0.0</v>
      </c>
      <c r="I1027" s="1">
        <v>4.0</v>
      </c>
      <c r="J1027" s="1" t="s">
        <v>2055</v>
      </c>
      <c r="K1027" s="1" t="s">
        <v>29</v>
      </c>
      <c r="L1027" s="1">
        <v>292.0</v>
      </c>
      <c r="M1027" s="1">
        <v>2015.0</v>
      </c>
      <c r="P1027" s="2">
        <v>44199.0</v>
      </c>
      <c r="Q1027" s="1" t="s">
        <v>32</v>
      </c>
      <c r="R1027" s="1" t="s">
        <v>4658</v>
      </c>
      <c r="S1027" s="1" t="s">
        <v>32</v>
      </c>
      <c r="W1027" s="1">
        <v>0.0</v>
      </c>
      <c r="X1027" s="1">
        <v>0.0</v>
      </c>
    </row>
    <row r="1028" spans="1:24" ht="15.75" customHeight="1">
      <c r="A1028" s="1">
        <v>3140.0</v>
      </c>
      <c r="B1028" s="1" t="s">
        <v>4659</v>
      </c>
      <c r="C1028" s="1" t="s">
        <v>4660</v>
      </c>
      <c r="D1028" s="1" t="s">
        <v>4661</v>
      </c>
      <c r="E1028" s="1" t="s">
        <v>4662</v>
      </c>
      <c r="F1028" s="1" t="str">
        <f>"0226020452"</f>
        <v>0226020452</v>
      </c>
      <c r="G1028" s="1" t="str">
        <f>"9780226020457"</f>
        <v>9780226020457</v>
      </c>
      <c r="H1028" s="1">
        <v>0.0</v>
      </c>
      <c r="I1028" s="1">
        <v>4.33</v>
      </c>
      <c r="J1028" s="1" t="s">
        <v>78</v>
      </c>
      <c r="K1028" s="1" t="s">
        <v>44</v>
      </c>
      <c r="L1028" s="1">
        <v>314.0</v>
      </c>
      <c r="M1028" s="1">
        <v>1977.0</v>
      </c>
      <c r="N1028" s="1">
        <v>1945.0</v>
      </c>
      <c r="P1028" s="2">
        <v>45175.0</v>
      </c>
      <c r="Q1028" s="1" t="s">
        <v>32</v>
      </c>
      <c r="R1028" s="1" t="s">
        <v>4663</v>
      </c>
      <c r="S1028" s="1" t="s">
        <v>32</v>
      </c>
      <c r="W1028" s="1">
        <v>0.0</v>
      </c>
      <c r="X1028" s="1">
        <v>0.0</v>
      </c>
    </row>
    <row r="1029" spans="1:24" ht="15.75" customHeight="1">
      <c r="A1029" s="1">
        <v>188442.0</v>
      </c>
      <c r="B1029" s="1" t="s">
        <v>4664</v>
      </c>
      <c r="C1029" s="1" t="s">
        <v>4665</v>
      </c>
      <c r="D1029" s="1" t="s">
        <v>4666</v>
      </c>
      <c r="E1029" s="1" t="s">
        <v>3489</v>
      </c>
      <c r="F1029" s="1" t="str">
        <f>"0940322641"</f>
        <v>0940322641</v>
      </c>
      <c r="G1029" s="1" t="str">
        <f>"9780940322646"</f>
        <v>9780940322646</v>
      </c>
      <c r="H1029" s="1">
        <v>0.0</v>
      </c>
      <c r="I1029" s="1">
        <v>3.48</v>
      </c>
      <c r="J1029" s="1" t="s">
        <v>204</v>
      </c>
      <c r="K1029" s="1" t="s">
        <v>44</v>
      </c>
      <c r="L1029" s="1">
        <v>291.0</v>
      </c>
      <c r="M1029" s="1">
        <v>2001.0</v>
      </c>
      <c r="N1029" s="1">
        <v>1935.0</v>
      </c>
      <c r="P1029" s="2">
        <v>45102.0</v>
      </c>
      <c r="Q1029" s="1" t="s">
        <v>502</v>
      </c>
      <c r="R1029" s="1" t="s">
        <v>4667</v>
      </c>
      <c r="S1029" s="1" t="s">
        <v>32</v>
      </c>
      <c r="W1029" s="1">
        <v>0.0</v>
      </c>
      <c r="X1029" s="1">
        <v>0.0</v>
      </c>
    </row>
    <row r="1030" spans="1:24" ht="15.75" customHeight="1">
      <c r="A1030" s="1">
        <v>5.5251789E7</v>
      </c>
      <c r="B1030" s="1" t="s">
        <v>4668</v>
      </c>
      <c r="C1030" s="1" t="s">
        <v>4669</v>
      </c>
      <c r="D1030" s="1" t="s">
        <v>4670</v>
      </c>
      <c r="E1030" s="1" t="s">
        <v>4671</v>
      </c>
      <c r="F1030" s="1" t="str">
        <f>"1788739884"</f>
        <v>1788739884</v>
      </c>
      <c r="G1030" s="1" t="str">
        <f>"9781788739887"</f>
        <v>9781788739887</v>
      </c>
      <c r="H1030" s="1">
        <v>0.0</v>
      </c>
      <c r="I1030" s="1">
        <v>3.6</v>
      </c>
      <c r="J1030" s="1" t="s">
        <v>720</v>
      </c>
      <c r="K1030" s="1" t="s">
        <v>44</v>
      </c>
      <c r="L1030" s="1">
        <v>218.0</v>
      </c>
      <c r="M1030" s="1">
        <v>2021.0</v>
      </c>
      <c r="N1030" s="1">
        <v>2021.0</v>
      </c>
      <c r="P1030" s="2">
        <v>44216.0</v>
      </c>
      <c r="Q1030" s="1" t="s">
        <v>4672</v>
      </c>
      <c r="R1030" s="1" t="s">
        <v>4673</v>
      </c>
      <c r="S1030" s="1" t="s">
        <v>32</v>
      </c>
      <c r="W1030" s="1">
        <v>0.0</v>
      </c>
      <c r="X1030" s="1">
        <v>0.0</v>
      </c>
    </row>
    <row r="1031" spans="1:24" ht="15.75" customHeight="1">
      <c r="A1031" s="1">
        <v>2039051.0</v>
      </c>
      <c r="B1031" s="1" t="s">
        <v>4674</v>
      </c>
      <c r="C1031" s="1" t="s">
        <v>4675</v>
      </c>
      <c r="D1031" s="1" t="s">
        <v>4676</v>
      </c>
      <c r="F1031" s="1" t="str">
        <f>"0742536874"</f>
        <v>0742536874</v>
      </c>
      <c r="G1031" s="1" t="str">
        <f>"9780742536876"</f>
        <v>9780742536876</v>
      </c>
      <c r="H1031" s="1">
        <v>0.0</v>
      </c>
      <c r="I1031" s="1">
        <v>3.96</v>
      </c>
      <c r="J1031" s="1" t="s">
        <v>4677</v>
      </c>
      <c r="K1031" s="1" t="s">
        <v>44</v>
      </c>
      <c r="L1031" s="1">
        <v>336.0</v>
      </c>
      <c r="M1031" s="1">
        <v>2005.0</v>
      </c>
      <c r="N1031" s="1">
        <v>2005.0</v>
      </c>
      <c r="P1031" s="2">
        <v>45235.0</v>
      </c>
      <c r="Q1031" s="1" t="s">
        <v>55</v>
      </c>
      <c r="R1031" s="1" t="s">
        <v>4678</v>
      </c>
      <c r="S1031" s="1" t="s">
        <v>32</v>
      </c>
      <c r="W1031" s="1">
        <v>0.0</v>
      </c>
      <c r="X1031" s="1">
        <v>0.0</v>
      </c>
    </row>
    <row r="1032" spans="1:24" ht="15.75" customHeight="1">
      <c r="A1032" s="1">
        <v>48037.0</v>
      </c>
      <c r="B1032" s="1" t="s">
        <v>4679</v>
      </c>
      <c r="C1032" s="1" t="s">
        <v>4680</v>
      </c>
      <c r="D1032" s="1" t="s">
        <v>4681</v>
      </c>
      <c r="E1032" s="1" t="s">
        <v>4682</v>
      </c>
      <c r="F1032" s="1" t="str">
        <f>"0809510839"</f>
        <v>0809510839</v>
      </c>
      <c r="G1032" s="1" t="str">
        <f>"9780809510832"</f>
        <v>9780809510832</v>
      </c>
      <c r="H1032" s="1">
        <v>0.0</v>
      </c>
      <c r="I1032" s="1">
        <v>3.85</v>
      </c>
      <c r="J1032" s="1" t="s">
        <v>4683</v>
      </c>
      <c r="K1032" s="1" t="s">
        <v>44</v>
      </c>
      <c r="L1032" s="1">
        <v>108.0</v>
      </c>
      <c r="M1032" s="1">
        <v>2000.0</v>
      </c>
      <c r="N1032" s="1">
        <v>1872.0</v>
      </c>
      <c r="P1032" s="2">
        <v>45115.0</v>
      </c>
      <c r="Q1032" s="1" t="s">
        <v>32</v>
      </c>
      <c r="R1032" s="1" t="s">
        <v>4684</v>
      </c>
      <c r="S1032" s="1" t="s">
        <v>32</v>
      </c>
      <c r="W1032" s="1">
        <v>0.0</v>
      </c>
      <c r="X1032" s="1">
        <v>0.0</v>
      </c>
    </row>
    <row r="1033" spans="1:24" ht="15.75" customHeight="1">
      <c r="A1033" s="1">
        <v>228263.0</v>
      </c>
      <c r="B1033" s="1" t="s">
        <v>4685</v>
      </c>
      <c r="C1033" s="1" t="s">
        <v>4686</v>
      </c>
      <c r="D1033" s="1" t="s">
        <v>4687</v>
      </c>
      <c r="E1033" s="1" t="s">
        <v>4688</v>
      </c>
      <c r="F1033" s="1" t="str">
        <f>"0140513639"</f>
        <v>0140513639</v>
      </c>
      <c r="G1033" s="1" t="str">
        <f>"9780140513639"</f>
        <v>9780140513639</v>
      </c>
      <c r="H1033" s="1">
        <v>0.0</v>
      </c>
      <c r="I1033" s="1">
        <v>4.17</v>
      </c>
      <c r="J1033" s="1" t="s">
        <v>309</v>
      </c>
      <c r="K1033" s="1" t="s">
        <v>44</v>
      </c>
      <c r="L1033" s="1">
        <v>1024.0</v>
      </c>
      <c r="M1033" s="1">
        <v>2000.0</v>
      </c>
      <c r="N1033" s="1">
        <v>1982.0</v>
      </c>
      <c r="P1033" s="2">
        <v>44455.0</v>
      </c>
      <c r="Q1033" s="1" t="s">
        <v>32</v>
      </c>
      <c r="R1033" s="1" t="s">
        <v>4689</v>
      </c>
      <c r="S1033" s="1" t="s">
        <v>32</v>
      </c>
      <c r="W1033" s="1">
        <v>0.0</v>
      </c>
      <c r="X1033" s="1">
        <v>0.0</v>
      </c>
    </row>
    <row r="1034" spans="1:24" ht="15.75" customHeight="1">
      <c r="A1034" s="1">
        <v>9654606.0</v>
      </c>
      <c r="B1034" s="1" t="s">
        <v>4690</v>
      </c>
      <c r="C1034" s="1" t="s">
        <v>4691</v>
      </c>
      <c r="D1034" s="1" t="s">
        <v>4692</v>
      </c>
      <c r="F1034" s="1" t="str">
        <f>"0517526441"</f>
        <v>0517526441</v>
      </c>
      <c r="G1034" s="1" t="str">
        <f>"9780517526446"</f>
        <v>9780517526446</v>
      </c>
      <c r="H1034" s="1">
        <v>0.0</v>
      </c>
      <c r="I1034" s="1">
        <v>4.0</v>
      </c>
      <c r="J1034" s="1" t="s">
        <v>4693</v>
      </c>
      <c r="K1034" s="1" t="s">
        <v>44</v>
      </c>
      <c r="L1034" s="1">
        <v>72.0</v>
      </c>
      <c r="M1034" s="1">
        <v>1976.0</v>
      </c>
      <c r="N1034" s="1">
        <v>1976.0</v>
      </c>
      <c r="P1034" s="2">
        <v>45137.0</v>
      </c>
      <c r="Q1034" s="1" t="s">
        <v>1821</v>
      </c>
      <c r="R1034" s="1" t="s">
        <v>4694</v>
      </c>
      <c r="S1034" s="1" t="s">
        <v>32</v>
      </c>
      <c r="W1034" s="1">
        <v>0.0</v>
      </c>
      <c r="X1034" s="1">
        <v>1.0</v>
      </c>
    </row>
    <row r="1035" spans="1:24" ht="15.75" customHeight="1">
      <c r="A1035" s="1">
        <v>5107.0</v>
      </c>
      <c r="B1035" s="1" t="s">
        <v>4695</v>
      </c>
      <c r="C1035" s="1" t="s">
        <v>4696</v>
      </c>
      <c r="D1035" s="1" t="s">
        <v>4697</v>
      </c>
      <c r="F1035" s="1" t="str">
        <f>"0316769177"</f>
        <v>0316769177</v>
      </c>
      <c r="G1035" s="1" t="str">
        <f>"9780316769174"</f>
        <v>9780316769174</v>
      </c>
      <c r="H1035" s="1">
        <v>0.0</v>
      </c>
      <c r="I1035" s="1">
        <v>3.8</v>
      </c>
      <c r="J1035" s="1" t="s">
        <v>2445</v>
      </c>
      <c r="K1035" s="1" t="s">
        <v>44</v>
      </c>
      <c r="L1035" s="1">
        <v>277.0</v>
      </c>
      <c r="M1035" s="1">
        <v>2001.0</v>
      </c>
      <c r="N1035" s="1">
        <v>1951.0</v>
      </c>
      <c r="O1035" s="2">
        <v>41047.0</v>
      </c>
      <c r="P1035" s="2">
        <v>41018.0</v>
      </c>
      <c r="Q1035" s="1" t="s">
        <v>1925</v>
      </c>
      <c r="R1035" s="1" t="s">
        <v>4698</v>
      </c>
      <c r="S1035" s="1" t="s">
        <v>271</v>
      </c>
      <c r="W1035" s="1">
        <v>1.0</v>
      </c>
      <c r="X1035" s="1">
        <v>0.0</v>
      </c>
    </row>
    <row r="1036" spans="1:24" ht="15.75" customHeight="1">
      <c r="A1036" s="1">
        <v>77532.0</v>
      </c>
      <c r="B1036" s="1" t="s">
        <v>4699</v>
      </c>
      <c r="C1036" s="1" t="s">
        <v>4696</v>
      </c>
      <c r="D1036" s="1" t="s">
        <v>4697</v>
      </c>
      <c r="F1036" s="1" t="str">
        <f>"0316769509"</f>
        <v>0316769509</v>
      </c>
      <c r="G1036" s="1" t="str">
        <f>"9780316769501"</f>
        <v>9780316769501</v>
      </c>
      <c r="H1036" s="1">
        <v>0.0</v>
      </c>
      <c r="I1036" s="1">
        <v>4.18</v>
      </c>
      <c r="J1036" s="1" t="s">
        <v>1963</v>
      </c>
      <c r="K1036" s="1" t="s">
        <v>1225</v>
      </c>
      <c r="L1036" s="1">
        <v>198.0</v>
      </c>
      <c r="M1036" s="1">
        <v>1991.0</v>
      </c>
      <c r="N1036" s="1">
        <v>1953.0</v>
      </c>
      <c r="P1036" s="2">
        <v>45113.0</v>
      </c>
      <c r="Q1036" s="1" t="s">
        <v>383</v>
      </c>
      <c r="R1036" s="1" t="s">
        <v>4700</v>
      </c>
      <c r="S1036" s="1" t="s">
        <v>32</v>
      </c>
      <c r="W1036" s="1">
        <v>0.0</v>
      </c>
      <c r="X1036" s="1">
        <v>1.0</v>
      </c>
    </row>
    <row r="1037" spans="1:24" ht="15.75" customHeight="1">
      <c r="A1037" s="1">
        <v>8802507.0</v>
      </c>
      <c r="B1037" s="1" t="s">
        <v>4701</v>
      </c>
      <c r="C1037" s="1" t="s">
        <v>4702</v>
      </c>
      <c r="D1037" s="1" t="s">
        <v>4703</v>
      </c>
      <c r="E1037" s="1" t="s">
        <v>4704</v>
      </c>
      <c r="F1037" s="1" t="str">
        <f>"0393339297"</f>
        <v>0393339297</v>
      </c>
      <c r="G1037" s="1" t="str">
        <f>"9780393339291"</f>
        <v>9780393339291</v>
      </c>
      <c r="H1037" s="1">
        <v>0.0</v>
      </c>
      <c r="I1037" s="1">
        <v>4.42</v>
      </c>
      <c r="J1037" s="1" t="s">
        <v>248</v>
      </c>
      <c r="K1037" s="1" t="s">
        <v>44</v>
      </c>
      <c r="L1037" s="1">
        <v>1199.0</v>
      </c>
      <c r="M1037" s="1">
        <v>2010.0</v>
      </c>
      <c r="N1037" s="1">
        <v>2001.0</v>
      </c>
      <c r="P1037" s="2">
        <v>45116.0</v>
      </c>
      <c r="Q1037" s="1" t="s">
        <v>383</v>
      </c>
      <c r="R1037" s="1" t="s">
        <v>4705</v>
      </c>
      <c r="S1037" s="1" t="s">
        <v>32</v>
      </c>
      <c r="W1037" s="1">
        <v>0.0</v>
      </c>
      <c r="X1037" s="1">
        <v>1.0</v>
      </c>
    </row>
    <row r="1038" spans="1:24" ht="15.75" customHeight="1">
      <c r="A1038" s="1">
        <v>70236.0</v>
      </c>
      <c r="B1038" s="1" t="s">
        <v>4706</v>
      </c>
      <c r="C1038" s="1" t="s">
        <v>4702</v>
      </c>
      <c r="D1038" s="1" t="s">
        <v>4703</v>
      </c>
      <c r="F1038" s="1" t="str">
        <f>"0374525463"</f>
        <v>0374525463</v>
      </c>
      <c r="G1038" s="1" t="str">
        <f>"9780374525460"</f>
        <v>9780374525460</v>
      </c>
      <c r="H1038" s="1">
        <v>0.0</v>
      </c>
      <c r="I1038" s="1">
        <v>3.58</v>
      </c>
      <c r="J1038" s="1" t="s">
        <v>438</v>
      </c>
      <c r="K1038" s="1" t="s">
        <v>44</v>
      </c>
      <c r="L1038" s="1">
        <v>112.0</v>
      </c>
      <c r="M1038" s="1">
        <v>1999.0</v>
      </c>
      <c r="N1038" s="1">
        <v>1988.0</v>
      </c>
      <c r="P1038" s="2">
        <v>45187.0</v>
      </c>
      <c r="Q1038" s="1" t="s">
        <v>32</v>
      </c>
      <c r="R1038" s="1" t="s">
        <v>4707</v>
      </c>
      <c r="S1038" s="1" t="s">
        <v>32</v>
      </c>
      <c r="W1038" s="1">
        <v>0.0</v>
      </c>
      <c r="X1038" s="1">
        <v>0.0</v>
      </c>
    </row>
    <row r="1039" spans="1:24" ht="15.75" customHeight="1">
      <c r="A1039" s="1">
        <v>256280.0</v>
      </c>
      <c r="B1039" s="1" t="s">
        <v>4708</v>
      </c>
      <c r="C1039" s="1" t="s">
        <v>4709</v>
      </c>
      <c r="D1039" s="1" t="s">
        <v>4710</v>
      </c>
      <c r="E1039" s="1" t="s">
        <v>4711</v>
      </c>
      <c r="F1039" s="1" t="str">
        <f>"159017092X"</f>
        <v>159017092X</v>
      </c>
      <c r="G1039" s="1" t="str">
        <f>"9781590170922"</f>
        <v>9781590170922</v>
      </c>
      <c r="H1039" s="1">
        <v>0.0</v>
      </c>
      <c r="I1039" s="1">
        <v>3.92</v>
      </c>
      <c r="J1039" s="1" t="s">
        <v>204</v>
      </c>
      <c r="K1039" s="1" t="s">
        <v>44</v>
      </c>
      <c r="L1039" s="1">
        <v>344.0</v>
      </c>
      <c r="M1039" s="1">
        <v>2004.0</v>
      </c>
      <c r="N1039" s="1">
        <v>1973.0</v>
      </c>
      <c r="P1039" s="2">
        <v>45111.0</v>
      </c>
      <c r="Q1039" s="1" t="s">
        <v>261</v>
      </c>
      <c r="R1039" s="1" t="s">
        <v>4712</v>
      </c>
      <c r="S1039" s="1" t="s">
        <v>32</v>
      </c>
      <c r="W1039" s="1">
        <v>0.0</v>
      </c>
      <c r="X1039" s="1">
        <v>0.0</v>
      </c>
    </row>
    <row r="1040" spans="1:24" ht="15.75" customHeight="1">
      <c r="A1040" s="1">
        <v>256279.0</v>
      </c>
      <c r="B1040" s="1" t="s">
        <v>4713</v>
      </c>
      <c r="C1040" s="1" t="s">
        <v>4709</v>
      </c>
      <c r="D1040" s="1" t="s">
        <v>4710</v>
      </c>
      <c r="E1040" s="1" t="s">
        <v>2829</v>
      </c>
      <c r="F1040" s="1" t="str">
        <f>"1590170180"</f>
        <v>1590170180</v>
      </c>
      <c r="G1040" s="1" t="str">
        <f>"9781590170182"</f>
        <v>9781590170182</v>
      </c>
      <c r="H1040" s="1">
        <v>0.0</v>
      </c>
      <c r="I1040" s="1">
        <v>3.82</v>
      </c>
      <c r="J1040" s="1" t="s">
        <v>204</v>
      </c>
      <c r="K1040" s="1" t="s">
        <v>44</v>
      </c>
      <c r="L1040" s="1">
        <v>459.0</v>
      </c>
      <c r="M1040" s="1">
        <v>2002.0</v>
      </c>
      <c r="N1040" s="1">
        <v>1970.0</v>
      </c>
      <c r="P1040" s="2">
        <v>45111.0</v>
      </c>
      <c r="Q1040" s="1" t="s">
        <v>261</v>
      </c>
      <c r="R1040" s="1" t="s">
        <v>4714</v>
      </c>
      <c r="S1040" s="1" t="s">
        <v>32</v>
      </c>
      <c r="W1040" s="1">
        <v>0.0</v>
      </c>
      <c r="X1040" s="1">
        <v>0.0</v>
      </c>
    </row>
    <row r="1041" spans="1:24" ht="15.75" customHeight="1">
      <c r="A1041" s="1">
        <v>1359361.0</v>
      </c>
      <c r="B1041" s="1" t="s">
        <v>4715</v>
      </c>
      <c r="C1041" s="1" t="s">
        <v>4716</v>
      </c>
      <c r="D1041" s="1" t="s">
        <v>4717</v>
      </c>
      <c r="E1041" s="1" t="s">
        <v>4718</v>
      </c>
      <c r="F1041" s="1" t="str">
        <f>"8478884459"</f>
        <v>8478884459</v>
      </c>
      <c r="G1041" s="1" t="str">
        <f>"9788478884452"</f>
        <v>9788478884452</v>
      </c>
      <c r="H1041" s="1">
        <v>0.0</v>
      </c>
      <c r="I1041" s="1">
        <v>4.47</v>
      </c>
      <c r="J1041" s="1" t="s">
        <v>4719</v>
      </c>
      <c r="K1041" s="1" t="s">
        <v>37</v>
      </c>
      <c r="L1041" s="1">
        <v>254.0</v>
      </c>
      <c r="M1041" s="1">
        <v>1999.0</v>
      </c>
      <c r="N1041" s="1">
        <v>1997.0</v>
      </c>
      <c r="P1041" s="2">
        <v>45116.0</v>
      </c>
      <c r="Q1041" s="1" t="s">
        <v>818</v>
      </c>
      <c r="R1041" s="1" t="s">
        <v>4720</v>
      </c>
      <c r="S1041" s="1" t="s">
        <v>32</v>
      </c>
      <c r="W1041" s="1">
        <v>0.0</v>
      </c>
      <c r="X1041" s="1">
        <v>1.0</v>
      </c>
    </row>
    <row r="1042" spans="1:24" ht="15.75" customHeight="1">
      <c r="A1042" s="1">
        <v>333832.0</v>
      </c>
      <c r="B1042" s="1" t="s">
        <v>4721</v>
      </c>
      <c r="C1042" s="1" t="s">
        <v>4722</v>
      </c>
      <c r="D1042" s="1" t="s">
        <v>4723</v>
      </c>
      <c r="F1042" s="1" t="str">
        <f>"0674411528"</f>
        <v>0674411528</v>
      </c>
      <c r="G1042" s="1" t="str">
        <f>"9780674411524"</f>
        <v>9780674411524</v>
      </c>
      <c r="H1042" s="1">
        <v>0.0</v>
      </c>
      <c r="I1042" s="1">
        <v>3.9</v>
      </c>
      <c r="J1042" s="1" t="s">
        <v>2273</v>
      </c>
      <c r="K1042" s="1" t="s">
        <v>44</v>
      </c>
      <c r="L1042" s="1">
        <v>168.0</v>
      </c>
      <c r="M1042" s="1">
        <v>1976.0</v>
      </c>
      <c r="N1042" s="1">
        <v>1955.0</v>
      </c>
      <c r="P1042" s="2">
        <v>45153.0</v>
      </c>
      <c r="Q1042" s="1" t="s">
        <v>32</v>
      </c>
      <c r="R1042" s="1" t="s">
        <v>4724</v>
      </c>
      <c r="S1042" s="1" t="s">
        <v>32</v>
      </c>
      <c r="W1042" s="1">
        <v>0.0</v>
      </c>
      <c r="X1042" s="1">
        <v>0.0</v>
      </c>
    </row>
    <row r="1043" spans="1:24" ht="15.75" customHeight="1">
      <c r="A1043" s="1">
        <v>1.6054174E7</v>
      </c>
      <c r="B1043" s="1" t="s">
        <v>4725</v>
      </c>
      <c r="C1043" s="1" t="s">
        <v>4726</v>
      </c>
      <c r="D1043" s="1" t="s">
        <v>4727</v>
      </c>
      <c r="E1043" s="1" t="s">
        <v>4728</v>
      </c>
      <c r="F1043" s="1" t="str">
        <f>"6074296502"</f>
        <v>6074296502</v>
      </c>
      <c r="G1043" s="1" t="str">
        <f>"9786074296501"</f>
        <v>9786074296501</v>
      </c>
      <c r="H1043" s="1">
        <v>0.0</v>
      </c>
      <c r="I1043" s="1">
        <v>3.85</v>
      </c>
      <c r="J1043" s="1" t="s">
        <v>4729</v>
      </c>
      <c r="K1043" s="1" t="s">
        <v>1225</v>
      </c>
      <c r="L1043" s="1">
        <v>271.0</v>
      </c>
      <c r="M1043" s="1">
        <v>2009.0</v>
      </c>
      <c r="N1043" s="1">
        <v>1999.0</v>
      </c>
      <c r="P1043" s="2">
        <v>44254.0</v>
      </c>
      <c r="Q1043" s="1" t="s">
        <v>1190</v>
      </c>
      <c r="R1043" s="1" t="s">
        <v>4730</v>
      </c>
      <c r="S1043" s="1" t="s">
        <v>32</v>
      </c>
      <c r="W1043" s="1">
        <v>0.0</v>
      </c>
      <c r="X1043" s="1">
        <v>1.0</v>
      </c>
    </row>
    <row r="1044" spans="1:24" ht="15.75" customHeight="1">
      <c r="A1044" s="1">
        <v>525544.0</v>
      </c>
      <c r="B1044" s="1" t="s">
        <v>4731</v>
      </c>
      <c r="C1044" s="1" t="s">
        <v>4726</v>
      </c>
      <c r="D1044" s="1" t="s">
        <v>4727</v>
      </c>
      <c r="F1044" s="1" t="str">
        <f t="shared" si="74" ref="F1044:G1044">""</f>
        <v/>
      </c>
      <c r="G1044" s="1" t="str">
        <f t="shared" si="74"/>
        <v/>
      </c>
      <c r="H1044" s="1">
        <v>5.0</v>
      </c>
      <c r="I1044" s="1">
        <v>3.41</v>
      </c>
      <c r="J1044" s="1" t="s">
        <v>309</v>
      </c>
      <c r="K1044" s="1" t="s">
        <v>44</v>
      </c>
      <c r="L1044" s="1">
        <v>157.0</v>
      </c>
      <c r="M1044" s="1">
        <v>1987.0</v>
      </c>
      <c r="N1044" s="1">
        <v>1986.0</v>
      </c>
      <c r="O1044" s="2">
        <v>44461.0</v>
      </c>
      <c r="P1044" s="2">
        <v>44441.0</v>
      </c>
      <c r="Q1044" s="1" t="s">
        <v>3630</v>
      </c>
      <c r="R1044" s="1" t="s">
        <v>4732</v>
      </c>
      <c r="S1044" s="1" t="s">
        <v>271</v>
      </c>
      <c r="W1044" s="1">
        <v>1.0</v>
      </c>
      <c r="X1044" s="1">
        <v>1.0</v>
      </c>
    </row>
    <row r="1045" spans="1:24" ht="15.75" customHeight="1">
      <c r="A1045" s="1">
        <v>6193.0</v>
      </c>
      <c r="B1045" s="1" t="s">
        <v>4733</v>
      </c>
      <c r="C1045" s="1" t="s">
        <v>4726</v>
      </c>
      <c r="D1045" s="1" t="s">
        <v>4727</v>
      </c>
      <c r="F1045" s="1" t="str">
        <f t="shared" si="75" ref="F1045:G1045">""</f>
        <v/>
      </c>
      <c r="G1045" s="1" t="str">
        <f t="shared" si="75"/>
        <v/>
      </c>
      <c r="H1045" s="1">
        <v>0.0</v>
      </c>
      <c r="I1045" s="1">
        <v>3.86</v>
      </c>
      <c r="J1045" s="1" t="s">
        <v>69</v>
      </c>
      <c r="K1045" s="1" t="s">
        <v>44</v>
      </c>
      <c r="L1045" s="1">
        <v>192.0</v>
      </c>
      <c r="M1045" s="1">
        <v>2004.0</v>
      </c>
      <c r="N1045" s="1">
        <v>1983.0</v>
      </c>
      <c r="P1045" s="2">
        <v>45111.0</v>
      </c>
      <c r="Q1045" s="1" t="s">
        <v>261</v>
      </c>
      <c r="R1045" s="1" t="s">
        <v>4734</v>
      </c>
      <c r="S1045" s="1" t="s">
        <v>32</v>
      </c>
      <c r="W1045" s="1">
        <v>0.0</v>
      </c>
      <c r="X1045" s="1">
        <v>0.0</v>
      </c>
    </row>
    <row r="1046" spans="1:24" ht="15.75" customHeight="1">
      <c r="A1046" s="1">
        <v>2703756.0</v>
      </c>
      <c r="B1046" s="1" t="s">
        <v>4735</v>
      </c>
      <c r="C1046" s="1" t="s">
        <v>4736</v>
      </c>
      <c r="D1046" s="1" t="s">
        <v>4737</v>
      </c>
      <c r="F1046" s="1" t="str">
        <f>"096584319X"</f>
        <v>096584319X</v>
      </c>
      <c r="G1046" s="1" t="str">
        <f>"9780965843195"</f>
        <v>9780965843195</v>
      </c>
      <c r="H1046" s="1">
        <v>0.0</v>
      </c>
      <c r="I1046" s="1">
        <v>3.81</v>
      </c>
      <c r="J1046" s="1" t="s">
        <v>1665</v>
      </c>
      <c r="K1046" s="1" t="s">
        <v>44</v>
      </c>
      <c r="L1046" s="1">
        <v>628.0</v>
      </c>
      <c r="M1046" s="1">
        <v>1997.0</v>
      </c>
      <c r="N1046" s="1">
        <v>1996.0</v>
      </c>
      <c r="P1046" s="2">
        <v>45129.0</v>
      </c>
      <c r="Q1046" s="1" t="s">
        <v>788</v>
      </c>
      <c r="R1046" s="1" t="s">
        <v>4738</v>
      </c>
      <c r="S1046" s="1" t="s">
        <v>32</v>
      </c>
      <c r="W1046" s="1">
        <v>0.0</v>
      </c>
      <c r="X1046" s="1">
        <v>1.0</v>
      </c>
    </row>
    <row r="1047" spans="1:24" ht="15.75" customHeight="1">
      <c r="A1047" s="1">
        <v>241651.0</v>
      </c>
      <c r="B1047" s="1" t="s">
        <v>4739</v>
      </c>
      <c r="C1047" s="1" t="s">
        <v>4740</v>
      </c>
      <c r="D1047" s="1" t="s">
        <v>4741</v>
      </c>
      <c r="E1047" s="1" t="s">
        <v>4742</v>
      </c>
      <c r="F1047" s="1" t="str">
        <f>"0940322129"</f>
        <v>0940322129</v>
      </c>
      <c r="G1047" s="1" t="str">
        <f>"9780940322127"</f>
        <v>9780940322127</v>
      </c>
      <c r="H1047" s="1">
        <v>0.0</v>
      </c>
      <c r="I1047" s="1">
        <v>3.88</v>
      </c>
      <c r="J1047" s="1" t="s">
        <v>204</v>
      </c>
      <c r="K1047" s="1" t="s">
        <v>44</v>
      </c>
      <c r="L1047" s="1">
        <v>283.0</v>
      </c>
      <c r="M1047" s="1">
        <v>1999.0</v>
      </c>
      <c r="N1047" s="1">
        <v>1968.0</v>
      </c>
      <c r="P1047" s="2">
        <v>43972.0</v>
      </c>
      <c r="Q1047" s="1" t="s">
        <v>1739</v>
      </c>
      <c r="R1047" s="1" t="s">
        <v>4743</v>
      </c>
      <c r="S1047" s="1" t="s">
        <v>32</v>
      </c>
      <c r="W1047" s="1">
        <v>0.0</v>
      </c>
      <c r="X1047" s="1">
        <v>0.0</v>
      </c>
    </row>
    <row r="1048" spans="1:24" ht="15.75" customHeight="1">
      <c r="A1048" s="1">
        <v>1.9288207E7</v>
      </c>
      <c r="B1048" s="1" t="s">
        <v>4744</v>
      </c>
      <c r="C1048" s="1" t="s">
        <v>4745</v>
      </c>
      <c r="D1048" s="1" t="s">
        <v>4746</v>
      </c>
      <c r="F1048" s="1" t="str">
        <f>"0375711767"</f>
        <v>0375711767</v>
      </c>
      <c r="G1048" s="1" t="str">
        <f>"9780375711763"</f>
        <v>9780375711763</v>
      </c>
      <c r="H1048" s="1">
        <v>4.0</v>
      </c>
      <c r="I1048" s="1">
        <v>4.45</v>
      </c>
      <c r="J1048" s="1" t="s">
        <v>1397</v>
      </c>
      <c r="K1048" s="1" t="s">
        <v>44</v>
      </c>
      <c r="L1048" s="1">
        <v>432.0</v>
      </c>
      <c r="M1048" s="1">
        <v>2014.0</v>
      </c>
      <c r="N1048" s="1">
        <v>2012.0</v>
      </c>
      <c r="P1048" s="2">
        <v>43263.0</v>
      </c>
      <c r="Q1048" s="1" t="s">
        <v>4747</v>
      </c>
      <c r="R1048" s="1" t="s">
        <v>4748</v>
      </c>
      <c r="S1048" s="1" t="s">
        <v>271</v>
      </c>
      <c r="W1048" s="1">
        <v>1.0</v>
      </c>
      <c r="X1048" s="1">
        <v>1.0</v>
      </c>
    </row>
    <row r="1049" spans="1:24" ht="15.75" customHeight="1">
      <c r="A1049" s="1">
        <v>682327.0</v>
      </c>
      <c r="B1049" s="1" t="s">
        <v>4749</v>
      </c>
      <c r="C1049" s="1" t="s">
        <v>4745</v>
      </c>
      <c r="D1049" s="1" t="s">
        <v>4746</v>
      </c>
      <c r="F1049" s="1" t="str">
        <f>"0394523865"</f>
        <v>0394523865</v>
      </c>
      <c r="G1049" s="1" t="str">
        <f>"9780394523866"</f>
        <v>9780394523866</v>
      </c>
      <c r="H1049" s="1">
        <v>0.0</v>
      </c>
      <c r="I1049" s="1">
        <v>4.3</v>
      </c>
      <c r="J1049" s="1" t="s">
        <v>4750</v>
      </c>
      <c r="K1049" s="1" t="s">
        <v>37</v>
      </c>
      <c r="L1049" s="1">
        <v>93.0</v>
      </c>
      <c r="M1049" s="1">
        <v>1982.0</v>
      </c>
      <c r="N1049" s="1">
        <v>1982.0</v>
      </c>
      <c r="P1049" s="2">
        <v>43141.0</v>
      </c>
      <c r="Q1049" s="1" t="s">
        <v>421</v>
      </c>
      <c r="R1049" s="1" t="s">
        <v>4751</v>
      </c>
      <c r="S1049" s="1" t="s">
        <v>32</v>
      </c>
      <c r="W1049" s="1">
        <v>0.0</v>
      </c>
      <c r="X1049" s="1">
        <v>0.0</v>
      </c>
    </row>
    <row r="1050" spans="1:24" ht="15.75" customHeight="1">
      <c r="A1050" s="1">
        <v>1.0862133E7</v>
      </c>
      <c r="B1050" s="1" t="s">
        <v>4752</v>
      </c>
      <c r="C1050" s="1" t="s">
        <v>4753</v>
      </c>
      <c r="D1050" s="1" t="s">
        <v>4754</v>
      </c>
      <c r="F1050" s="1" t="str">
        <f>"014312028X"</f>
        <v>014312028X</v>
      </c>
      <c r="G1050" s="1" t="str">
        <f>"9780143120285"</f>
        <v>9780143120285</v>
      </c>
      <c r="H1050" s="1">
        <v>1.0</v>
      </c>
      <c r="I1050" s="1">
        <v>3.61</v>
      </c>
      <c r="J1050" s="1" t="s">
        <v>309</v>
      </c>
      <c r="K1050" s="1" t="s">
        <v>44</v>
      </c>
      <c r="L1050" s="1">
        <v>304.0</v>
      </c>
      <c r="M1050" s="1">
        <v>2012.0</v>
      </c>
      <c r="N1050" s="1">
        <v>1957.0</v>
      </c>
      <c r="O1050" s="2">
        <v>41611.0</v>
      </c>
      <c r="P1050" s="3">
        <v>41601.0</v>
      </c>
      <c r="Q1050" s="1" t="s">
        <v>1925</v>
      </c>
      <c r="R1050" s="1" t="s">
        <v>4755</v>
      </c>
      <c r="S1050" s="1" t="s">
        <v>271</v>
      </c>
      <c r="T1050" s="1" t="s">
        <v>4756</v>
      </c>
      <c r="W1050" s="1">
        <v>1.0</v>
      </c>
      <c r="X1050" s="1">
        <v>0.0</v>
      </c>
    </row>
    <row r="1051" spans="1:24" ht="15.75" customHeight="1">
      <c r="A1051" s="1">
        <v>2.3847926E7</v>
      </c>
      <c r="B1051" s="1" t="s">
        <v>4757</v>
      </c>
      <c r="C1051" s="1" t="s">
        <v>4758</v>
      </c>
      <c r="D1051" s="1" t="s">
        <v>4759</v>
      </c>
      <c r="F1051" s="1" t="str">
        <f>"080277752X"</f>
        <v>080277752X</v>
      </c>
      <c r="G1051" s="1" t="str">
        <f>"9780802777522"</f>
        <v>9780802777522</v>
      </c>
      <c r="H1051" s="1">
        <v>0.0</v>
      </c>
      <c r="I1051" s="1">
        <v>3.83</v>
      </c>
      <c r="J1051" s="1" t="s">
        <v>83</v>
      </c>
      <c r="K1051" s="1" t="s">
        <v>37</v>
      </c>
      <c r="L1051" s="1">
        <v>453.0</v>
      </c>
      <c r="M1051" s="1">
        <v>2016.0</v>
      </c>
      <c r="N1051" s="1">
        <v>2015.0</v>
      </c>
      <c r="P1051" s="3">
        <v>45243.0</v>
      </c>
      <c r="Q1051" s="1" t="s">
        <v>55</v>
      </c>
      <c r="R1051" s="1" t="s">
        <v>4760</v>
      </c>
      <c r="S1051" s="1" t="s">
        <v>32</v>
      </c>
      <c r="W1051" s="1">
        <v>0.0</v>
      </c>
      <c r="X1051" s="1">
        <v>0.0</v>
      </c>
    </row>
    <row r="1052" spans="1:24" ht="15.75" customHeight="1">
      <c r="A1052" s="1">
        <v>8202582.0</v>
      </c>
      <c r="B1052" s="1" t="s">
        <v>4761</v>
      </c>
      <c r="C1052" s="1" t="s">
        <v>4762</v>
      </c>
      <c r="D1052" s="1" t="s">
        <v>4763</v>
      </c>
      <c r="F1052" s="1" t="str">
        <f>"1905857810"</f>
        <v>1905857810</v>
      </c>
      <c r="G1052" s="1" t="str">
        <f>"9781905857814"</f>
        <v>9781905857814</v>
      </c>
      <c r="H1052" s="1">
        <v>0.0</v>
      </c>
      <c r="I1052" s="1">
        <v>4.27</v>
      </c>
      <c r="J1052" s="1" t="s">
        <v>4764</v>
      </c>
      <c r="K1052" s="1" t="s">
        <v>44</v>
      </c>
      <c r="L1052" s="1">
        <v>256.0</v>
      </c>
      <c r="M1052" s="1">
        <v>2008.0</v>
      </c>
      <c r="N1052" s="1">
        <v>2008.0</v>
      </c>
      <c r="P1052" s="2">
        <v>44814.0</v>
      </c>
      <c r="Q1052" s="1" t="s">
        <v>4765</v>
      </c>
      <c r="R1052" s="1" t="s">
        <v>4766</v>
      </c>
      <c r="S1052" s="1" t="s">
        <v>271</v>
      </c>
      <c r="W1052" s="1">
        <v>1.0</v>
      </c>
      <c r="X1052" s="1">
        <v>1.0</v>
      </c>
    </row>
    <row r="1053" spans="1:24" ht="15.75" customHeight="1">
      <c r="A1053" s="1">
        <v>5.9429424E7</v>
      </c>
      <c r="B1053" s="1" t="s">
        <v>4767</v>
      </c>
      <c r="C1053" s="1" t="s">
        <v>4768</v>
      </c>
      <c r="D1053" s="1" t="s">
        <v>4769</v>
      </c>
      <c r="F1053" s="1" t="str">
        <f>"0316487228"</f>
        <v>0316487228</v>
      </c>
      <c r="G1053" s="1" t="str">
        <f>"9780316487221"</f>
        <v>9780316487221</v>
      </c>
      <c r="H1053" s="1">
        <v>0.0</v>
      </c>
      <c r="I1053" s="1">
        <v>3.79</v>
      </c>
      <c r="J1053" s="1" t="s">
        <v>998</v>
      </c>
      <c r="K1053" s="1" t="s">
        <v>29</v>
      </c>
      <c r="L1053" s="1">
        <v>315.0</v>
      </c>
      <c r="M1053" s="1">
        <v>2022.0</v>
      </c>
      <c r="P1053" s="3">
        <v>44865.0</v>
      </c>
      <c r="Q1053" s="1" t="s">
        <v>32</v>
      </c>
      <c r="R1053" s="1" t="s">
        <v>4770</v>
      </c>
      <c r="S1053" s="1" t="s">
        <v>32</v>
      </c>
      <c r="W1053" s="1">
        <v>0.0</v>
      </c>
      <c r="X1053" s="1">
        <v>0.0</v>
      </c>
    </row>
    <row r="1054" spans="1:24" ht="15.75" customHeight="1">
      <c r="A1054" s="1">
        <v>669859.0</v>
      </c>
      <c r="B1054" s="1" t="s">
        <v>4771</v>
      </c>
      <c r="C1054" s="1" t="s">
        <v>4772</v>
      </c>
      <c r="D1054" s="1" t="s">
        <v>4773</v>
      </c>
      <c r="E1054" s="1" t="s">
        <v>4774</v>
      </c>
      <c r="F1054" s="1" t="str">
        <f>"0299182444"</f>
        <v>0299182444</v>
      </c>
      <c r="G1054" s="1" t="str">
        <f>"9780299182441"</f>
        <v>9780299182441</v>
      </c>
      <c r="H1054" s="1">
        <v>0.0</v>
      </c>
      <c r="I1054" s="1">
        <v>3.93</v>
      </c>
      <c r="J1054" s="1" t="s">
        <v>4775</v>
      </c>
      <c r="K1054" s="1" t="s">
        <v>44</v>
      </c>
      <c r="L1054" s="1">
        <v>184.0</v>
      </c>
      <c r="M1054" s="1">
        <v>2002.0</v>
      </c>
      <c r="N1054" s="1">
        <v>1980.0</v>
      </c>
      <c r="P1054" s="2">
        <v>45235.0</v>
      </c>
      <c r="Q1054" s="1" t="s">
        <v>3356</v>
      </c>
      <c r="R1054" s="1" t="s">
        <v>4776</v>
      </c>
      <c r="S1054" s="1" t="s">
        <v>32</v>
      </c>
      <c r="W1054" s="1">
        <v>0.0</v>
      </c>
      <c r="X1054" s="1">
        <v>0.0</v>
      </c>
    </row>
    <row r="1055" spans="1:24" ht="15.75" customHeight="1">
      <c r="A1055" s="1">
        <v>2.6153427E7</v>
      </c>
      <c r="B1055" s="1" t="s">
        <v>4777</v>
      </c>
      <c r="C1055" s="1" t="s">
        <v>4778</v>
      </c>
      <c r="D1055" s="1" t="s">
        <v>4779</v>
      </c>
      <c r="E1055" s="1" t="s">
        <v>4780</v>
      </c>
      <c r="F1055" s="1" t="str">
        <f>"1783605375"</f>
        <v>1783605375</v>
      </c>
      <c r="G1055" s="1" t="str">
        <f>"9781783605378"</f>
        <v>9781783605378</v>
      </c>
      <c r="H1055" s="1">
        <v>0.0</v>
      </c>
      <c r="I1055" s="1">
        <v>3.4</v>
      </c>
      <c r="J1055" s="1" t="s">
        <v>4781</v>
      </c>
      <c r="K1055" s="1" t="s">
        <v>44</v>
      </c>
      <c r="L1055" s="1">
        <v>288.0</v>
      </c>
      <c r="M1055" s="1">
        <v>2016.0</v>
      </c>
      <c r="N1055" s="1">
        <v>2014.0</v>
      </c>
      <c r="P1055" s="2">
        <v>43107.0</v>
      </c>
      <c r="Q1055" s="1" t="s">
        <v>2420</v>
      </c>
      <c r="R1055" s="1" t="s">
        <v>4782</v>
      </c>
      <c r="S1055" s="1" t="s">
        <v>32</v>
      </c>
      <c r="W1055" s="1">
        <v>0.0</v>
      </c>
      <c r="X1055" s="1">
        <v>0.0</v>
      </c>
    </row>
    <row r="1056" spans="1:24" ht="15.75" customHeight="1">
      <c r="A1056" s="1">
        <v>4.1335205E7</v>
      </c>
      <c r="B1056" s="1" t="s">
        <v>4783</v>
      </c>
      <c r="C1056" s="1" t="s">
        <v>4784</v>
      </c>
      <c r="D1056" s="1" t="s">
        <v>4785</v>
      </c>
      <c r="F1056" s="1" t="str">
        <f>"8497619382"</f>
        <v>8497619382</v>
      </c>
      <c r="G1056" s="1" t="str">
        <f>"9788497619387"</f>
        <v>9788497619387</v>
      </c>
      <c r="H1056" s="1">
        <v>0.0</v>
      </c>
      <c r="I1056" s="1">
        <v>3.96</v>
      </c>
      <c r="J1056" s="1" t="s">
        <v>4786</v>
      </c>
      <c r="K1056" s="1" t="s">
        <v>44</v>
      </c>
      <c r="L1056" s="1">
        <v>600.0</v>
      </c>
      <c r="M1056" s="1">
        <v>2011.0</v>
      </c>
      <c r="N1056" s="1">
        <v>1818.0</v>
      </c>
      <c r="P1056" s="2">
        <v>44802.0</v>
      </c>
      <c r="Q1056" s="1" t="s">
        <v>32</v>
      </c>
      <c r="R1056" s="1" t="s">
        <v>4787</v>
      </c>
      <c r="S1056" s="1" t="s">
        <v>32</v>
      </c>
      <c r="W1056" s="1">
        <v>0.0</v>
      </c>
      <c r="X1056" s="1">
        <v>0.0</v>
      </c>
    </row>
    <row r="1057" spans="1:24" ht="15.75" customHeight="1">
      <c r="A1057" s="1">
        <v>2461524.0</v>
      </c>
      <c r="B1057" s="1" t="s">
        <v>4788</v>
      </c>
      <c r="C1057" s="1" t="s">
        <v>4789</v>
      </c>
      <c r="D1057" s="1" t="s">
        <v>4790</v>
      </c>
      <c r="E1057" s="1" t="s">
        <v>4791</v>
      </c>
      <c r="F1057" s="1" t="str">
        <f>"082322791X"</f>
        <v>082322791X</v>
      </c>
      <c r="G1057" s="1" t="str">
        <f>"9780823227914"</f>
        <v>9780823227914</v>
      </c>
      <c r="H1057" s="1">
        <v>0.0</v>
      </c>
      <c r="I1057" s="1">
        <v>4.08</v>
      </c>
      <c r="J1057" s="1" t="s">
        <v>4792</v>
      </c>
      <c r="K1057" s="1" t="s">
        <v>44</v>
      </c>
      <c r="L1057" s="1">
        <v>192.0</v>
      </c>
      <c r="M1057" s="1">
        <v>2008.0</v>
      </c>
      <c r="N1057" s="1">
        <v>2006.0</v>
      </c>
      <c r="P1057" s="2">
        <v>43969.0</v>
      </c>
      <c r="Q1057" s="1" t="s">
        <v>32</v>
      </c>
      <c r="R1057" s="1" t="s">
        <v>4793</v>
      </c>
      <c r="S1057" s="1" t="s">
        <v>32</v>
      </c>
      <c r="W1057" s="1">
        <v>0.0</v>
      </c>
      <c r="X1057" s="1">
        <v>0.0</v>
      </c>
    </row>
    <row r="1058" spans="1:24" ht="15.75" customHeight="1">
      <c r="A1058" s="1">
        <v>85326.0</v>
      </c>
      <c r="B1058" s="1" t="s">
        <v>4794</v>
      </c>
      <c r="C1058" s="1" t="s">
        <v>4789</v>
      </c>
      <c r="D1058" s="1" t="s">
        <v>4790</v>
      </c>
      <c r="E1058" s="1" t="s">
        <v>4795</v>
      </c>
      <c r="F1058" s="1" t="str">
        <f>"0801858305"</f>
        <v>0801858305</v>
      </c>
      <c r="G1058" s="1" t="str">
        <f>"9780801858307"</f>
        <v>9780801858307</v>
      </c>
      <c r="H1058" s="1">
        <v>0.0</v>
      </c>
      <c r="I1058" s="1">
        <v>3.96</v>
      </c>
      <c r="J1058" s="1" t="s">
        <v>3116</v>
      </c>
      <c r="K1058" s="1" t="s">
        <v>44</v>
      </c>
      <c r="L1058" s="1">
        <v>456.0</v>
      </c>
      <c r="M1058" s="1">
        <v>1997.0</v>
      </c>
      <c r="N1058" s="1">
        <v>1967.0</v>
      </c>
      <c r="P1058" s="2">
        <v>43969.0</v>
      </c>
      <c r="Q1058" s="1" t="s">
        <v>32</v>
      </c>
      <c r="R1058" s="1" t="s">
        <v>4796</v>
      </c>
      <c r="S1058" s="1" t="s">
        <v>32</v>
      </c>
      <c r="W1058" s="1">
        <v>0.0</v>
      </c>
      <c r="X1058" s="1">
        <v>0.0</v>
      </c>
    </row>
    <row r="1059" spans="1:24" ht="15.75" customHeight="1">
      <c r="A1059" s="1">
        <v>274566.0</v>
      </c>
      <c r="B1059" s="1" t="s">
        <v>4797</v>
      </c>
      <c r="C1059" s="1" t="s">
        <v>4798</v>
      </c>
      <c r="D1059" s="1" t="s">
        <v>4799</v>
      </c>
      <c r="E1059" s="1" t="s">
        <v>4800</v>
      </c>
      <c r="F1059" s="1" t="str">
        <f>"1564783960"</f>
        <v>1564783960</v>
      </c>
      <c r="G1059" s="1" t="str">
        <f>"9781564783967"</f>
        <v>9781564783967</v>
      </c>
      <c r="H1059" s="1">
        <v>0.0</v>
      </c>
      <c r="I1059" s="1">
        <v>4.07</v>
      </c>
      <c r="J1059" s="1" t="s">
        <v>2337</v>
      </c>
      <c r="K1059" s="1" t="s">
        <v>44</v>
      </c>
      <c r="L1059" s="1">
        <v>328.0</v>
      </c>
      <c r="M1059" s="1">
        <v>2016.0</v>
      </c>
      <c r="N1059" s="1">
        <v>1989.0</v>
      </c>
      <c r="P1059" s="2">
        <v>41763.0</v>
      </c>
      <c r="Q1059" s="1" t="s">
        <v>502</v>
      </c>
      <c r="R1059" s="1" t="s">
        <v>4801</v>
      </c>
      <c r="S1059" s="1" t="s">
        <v>32</v>
      </c>
      <c r="W1059" s="1">
        <v>0.0</v>
      </c>
      <c r="X1059" s="1">
        <v>0.0</v>
      </c>
    </row>
    <row r="1060" spans="1:24" ht="15.75" customHeight="1">
      <c r="A1060" s="1">
        <v>188878.0</v>
      </c>
      <c r="B1060" s="1" t="s">
        <v>4802</v>
      </c>
      <c r="C1060" s="1" t="s">
        <v>4803</v>
      </c>
      <c r="D1060" s="1" t="s">
        <v>4804</v>
      </c>
      <c r="F1060" s="1" t="str">
        <f>"0064301001"</f>
        <v>0064301001</v>
      </c>
      <c r="G1060" s="1" t="str">
        <f>"9780064301008"</f>
        <v>9780064301008</v>
      </c>
      <c r="H1060" s="1">
        <v>0.0</v>
      </c>
      <c r="I1060" s="1">
        <v>4.24</v>
      </c>
      <c r="J1060" s="1" t="s">
        <v>4805</v>
      </c>
      <c r="K1060" s="1" t="s">
        <v>44</v>
      </c>
      <c r="L1060" s="1">
        <v>384.0</v>
      </c>
      <c r="M1060" s="1">
        <v>1979.0</v>
      </c>
      <c r="N1060" s="1">
        <v>1973.0</v>
      </c>
      <c r="P1060" s="2">
        <v>44808.0</v>
      </c>
      <c r="Q1060" s="1" t="s">
        <v>1132</v>
      </c>
      <c r="R1060" s="1" t="s">
        <v>4806</v>
      </c>
      <c r="S1060" s="1" t="s">
        <v>32</v>
      </c>
      <c r="W1060" s="1">
        <v>0.0</v>
      </c>
      <c r="X1060" s="1">
        <v>0.0</v>
      </c>
    </row>
    <row r="1061" spans="1:24" ht="15.75" customHeight="1">
      <c r="A1061" s="1">
        <v>9664265.0</v>
      </c>
      <c r="B1061" s="1" t="s">
        <v>4807</v>
      </c>
      <c r="C1061" s="1" t="s">
        <v>4808</v>
      </c>
      <c r="D1061" s="1" t="s">
        <v>4809</v>
      </c>
      <c r="F1061" s="1" t="str">
        <f>"0374150850"</f>
        <v>0374150850</v>
      </c>
      <c r="G1061" s="1" t="str">
        <f>"9780374150853"</f>
        <v>9780374150853</v>
      </c>
      <c r="H1061" s="1">
        <v>0.0</v>
      </c>
      <c r="I1061" s="1">
        <v>3.78</v>
      </c>
      <c r="J1061" s="1" t="s">
        <v>438</v>
      </c>
      <c r="K1061" s="1" t="s">
        <v>37</v>
      </c>
      <c r="L1061" s="1">
        <v>432.0</v>
      </c>
      <c r="M1061" s="1">
        <v>2011.0</v>
      </c>
      <c r="N1061" s="1">
        <v>2011.0</v>
      </c>
      <c r="P1061" s="2">
        <v>45151.0</v>
      </c>
      <c r="Q1061" s="1" t="s">
        <v>32</v>
      </c>
      <c r="R1061" s="1" t="s">
        <v>4810</v>
      </c>
      <c r="S1061" s="1" t="s">
        <v>32</v>
      </c>
      <c r="W1061" s="1">
        <v>0.0</v>
      </c>
      <c r="X1061" s="1">
        <v>0.0</v>
      </c>
    </row>
    <row r="1062" spans="1:24" ht="15.75" customHeight="1">
      <c r="A1062" s="1">
        <v>52458.0</v>
      </c>
      <c r="B1062" s="1" t="s">
        <v>4811</v>
      </c>
      <c r="C1062" s="1" t="s">
        <v>4812</v>
      </c>
      <c r="D1062" s="1" t="s">
        <v>4813</v>
      </c>
      <c r="E1062" s="1" t="s">
        <v>4814</v>
      </c>
      <c r="F1062" s="1" t="str">
        <f>"039529696X"</f>
        <v>039529696X</v>
      </c>
      <c r="G1062" s="1" t="str">
        <f>"9780395296967"</f>
        <v>9780395296967</v>
      </c>
      <c r="H1062" s="1">
        <v>0.0</v>
      </c>
      <c r="I1062" s="1">
        <v>4.0</v>
      </c>
      <c r="J1062" s="1" t="s">
        <v>4815</v>
      </c>
      <c r="K1062" s="1" t="s">
        <v>44</v>
      </c>
      <c r="L1062" s="1">
        <v>471.0</v>
      </c>
      <c r="M1062" s="1">
        <v>1980.0</v>
      </c>
      <c r="N1062" s="1">
        <v>1941.0</v>
      </c>
      <c r="P1062" s="2">
        <v>45113.0</v>
      </c>
      <c r="Q1062" s="1" t="s">
        <v>788</v>
      </c>
      <c r="R1062" s="1" t="s">
        <v>4816</v>
      </c>
      <c r="S1062" s="1" t="s">
        <v>32</v>
      </c>
      <c r="W1062" s="1">
        <v>1.0</v>
      </c>
      <c r="X1062" s="1">
        <v>1.0</v>
      </c>
    </row>
    <row r="1063" spans="1:24" ht="15.75" customHeight="1">
      <c r="A1063" s="1">
        <v>5.6463363E7</v>
      </c>
      <c r="B1063" s="1" t="s">
        <v>4817</v>
      </c>
      <c r="C1063" s="1" t="s">
        <v>4818</v>
      </c>
      <c r="D1063" s="1" t="s">
        <v>4819</v>
      </c>
      <c r="F1063" s="1" t="str">
        <f>"0807006564"</f>
        <v>0807006564</v>
      </c>
      <c r="G1063" s="1" t="str">
        <f>"9780807006566"</f>
        <v>9780807006566</v>
      </c>
      <c r="H1063" s="1">
        <v>0.0</v>
      </c>
      <c r="I1063" s="1">
        <v>4.67</v>
      </c>
      <c r="J1063" s="1" t="s">
        <v>758</v>
      </c>
      <c r="K1063" s="1" t="s">
        <v>44</v>
      </c>
      <c r="L1063" s="1">
        <v>704.0</v>
      </c>
      <c r="M1063" s="1">
        <v>2021.0</v>
      </c>
      <c r="N1063" s="1">
        <v>1985.0</v>
      </c>
      <c r="P1063" s="2">
        <v>44416.0</v>
      </c>
      <c r="Q1063" s="1" t="s">
        <v>338</v>
      </c>
      <c r="R1063" s="1" t="s">
        <v>4820</v>
      </c>
      <c r="S1063" s="1" t="s">
        <v>32</v>
      </c>
      <c r="W1063" s="1">
        <v>0.0</v>
      </c>
      <c r="X1063" s="1">
        <v>0.0</v>
      </c>
    </row>
    <row r="1064" spans="1:24" ht="15.75" customHeight="1">
      <c r="A1064" s="1">
        <v>464260.0</v>
      </c>
      <c r="B1064" s="1" t="s">
        <v>4821</v>
      </c>
      <c r="C1064" s="1" t="s">
        <v>4818</v>
      </c>
      <c r="D1064" s="1" t="s">
        <v>4819</v>
      </c>
      <c r="F1064" s="1" t="str">
        <f>"067974472X"</f>
        <v>067974472X</v>
      </c>
      <c r="G1064" s="1" t="str">
        <f>"9780679744726"</f>
        <v>9780679744726</v>
      </c>
      <c r="H1064" s="1">
        <v>4.0</v>
      </c>
      <c r="I1064" s="1">
        <v>4.54</v>
      </c>
      <c r="J1064" s="1" t="s">
        <v>69</v>
      </c>
      <c r="K1064" s="1" t="s">
        <v>44</v>
      </c>
      <c r="L1064" s="1">
        <v>106.0</v>
      </c>
      <c r="M1064" s="1">
        <v>1993.0</v>
      </c>
      <c r="N1064" s="1">
        <v>1963.0</v>
      </c>
      <c r="O1064" s="2">
        <v>42602.0</v>
      </c>
      <c r="P1064" s="2">
        <v>42596.0</v>
      </c>
      <c r="Q1064" s="1" t="s">
        <v>4139</v>
      </c>
      <c r="R1064" s="1" t="s">
        <v>4822</v>
      </c>
      <c r="S1064" s="1" t="s">
        <v>271</v>
      </c>
      <c r="W1064" s="1">
        <v>1.0</v>
      </c>
      <c r="X1064" s="1">
        <v>1.0</v>
      </c>
    </row>
    <row r="1065" spans="1:24" ht="15.75" customHeight="1">
      <c r="A1065" s="1">
        <v>1.7316506E7</v>
      </c>
      <c r="B1065" s="1" t="s">
        <v>4823</v>
      </c>
      <c r="C1065" s="1" t="s">
        <v>4818</v>
      </c>
      <c r="D1065" s="1" t="s">
        <v>4819</v>
      </c>
      <c r="F1065" s="1" t="str">
        <f>"0345806549"</f>
        <v>0345806549</v>
      </c>
      <c r="G1065" s="1" t="str">
        <f>"9780345806543"</f>
        <v>9780345806543</v>
      </c>
      <c r="H1065" s="1">
        <v>5.0</v>
      </c>
      <c r="I1065" s="1">
        <v>4.04</v>
      </c>
      <c r="J1065" s="1" t="s">
        <v>69</v>
      </c>
      <c r="K1065" s="1" t="s">
        <v>1225</v>
      </c>
      <c r="L1065" s="1">
        <v>263.0</v>
      </c>
      <c r="M1065" s="1">
        <v>2013.0</v>
      </c>
      <c r="N1065" s="1">
        <v>1953.0</v>
      </c>
      <c r="O1065" s="2">
        <v>42134.0</v>
      </c>
      <c r="P1065" s="2">
        <v>42115.0</v>
      </c>
      <c r="Q1065" s="1" t="s">
        <v>3630</v>
      </c>
      <c r="R1065" s="1" t="s">
        <v>4824</v>
      </c>
      <c r="S1065" s="1" t="s">
        <v>271</v>
      </c>
      <c r="W1065" s="1">
        <v>1.0</v>
      </c>
      <c r="X1065" s="1">
        <v>1.0</v>
      </c>
    </row>
    <row r="1066" spans="1:24" ht="15.75" customHeight="1">
      <c r="A1066" s="1">
        <v>1.7288631E7</v>
      </c>
      <c r="B1066" s="1" t="s">
        <v>4825</v>
      </c>
      <c r="C1066" s="1" t="s">
        <v>4818</v>
      </c>
      <c r="D1066" s="1" t="s">
        <v>4819</v>
      </c>
      <c r="F1066" s="1" t="str">
        <f>"0345806565"</f>
        <v>0345806565</v>
      </c>
      <c r="G1066" s="1" t="str">
        <f>"9780345806567"</f>
        <v>9780345806567</v>
      </c>
      <c r="H1066" s="1">
        <v>5.0</v>
      </c>
      <c r="I1066" s="1">
        <v>4.32</v>
      </c>
      <c r="J1066" s="1" t="s">
        <v>813</v>
      </c>
      <c r="K1066" s="1" t="s">
        <v>44</v>
      </c>
      <c r="L1066" s="1">
        <v>169.0</v>
      </c>
      <c r="M1066" s="1">
        <v>2013.0</v>
      </c>
      <c r="N1066" s="1">
        <v>1956.0</v>
      </c>
      <c r="O1066" s="2">
        <v>42115.0</v>
      </c>
      <c r="P1066" s="2">
        <v>42105.0</v>
      </c>
      <c r="Q1066" s="1" t="s">
        <v>3630</v>
      </c>
      <c r="R1066" s="1" t="s">
        <v>4826</v>
      </c>
      <c r="S1066" s="1" t="s">
        <v>271</v>
      </c>
      <c r="W1066" s="1">
        <v>1.0</v>
      </c>
      <c r="X1066" s="1">
        <v>1.0</v>
      </c>
    </row>
    <row r="1067" spans="1:24" ht="15.75" customHeight="1">
      <c r="A1067" s="1">
        <v>5.5629665E7</v>
      </c>
      <c r="B1067" s="1" t="s">
        <v>4827</v>
      </c>
      <c r="C1067" s="1" t="s">
        <v>4818</v>
      </c>
      <c r="D1067" s="1" t="s">
        <v>4819</v>
      </c>
      <c r="E1067" s="1" t="s">
        <v>4828</v>
      </c>
      <c r="F1067" s="1" t="str">
        <f>"0807006424"</f>
        <v>0807006424</v>
      </c>
      <c r="G1067" s="1" t="str">
        <f>"9780807006429"</f>
        <v>9780807006429</v>
      </c>
      <c r="H1067" s="1">
        <v>0.0</v>
      </c>
      <c r="I1067" s="1">
        <v>4.64</v>
      </c>
      <c r="J1067" s="1" t="s">
        <v>758</v>
      </c>
      <c r="K1067" s="1" t="s">
        <v>37</v>
      </c>
      <c r="L1067" s="1">
        <v>83.0</v>
      </c>
      <c r="M1067" s="1">
        <v>2021.0</v>
      </c>
      <c r="N1067" s="1">
        <v>1964.0</v>
      </c>
      <c r="P1067" s="2">
        <v>44264.0</v>
      </c>
      <c r="Q1067" s="1" t="s">
        <v>32</v>
      </c>
      <c r="R1067" s="1" t="s">
        <v>4829</v>
      </c>
      <c r="S1067" s="1" t="s">
        <v>32</v>
      </c>
      <c r="W1067" s="1">
        <v>0.0</v>
      </c>
      <c r="X1067" s="1">
        <v>0.0</v>
      </c>
    </row>
    <row r="1068" spans="1:24" ht="15.75" customHeight="1">
      <c r="A1068" s="1">
        <v>426189.0</v>
      </c>
      <c r="B1068" s="1" t="s">
        <v>4830</v>
      </c>
      <c r="C1068" s="1" t="s">
        <v>4831</v>
      </c>
      <c r="D1068" s="1" t="s">
        <v>4832</v>
      </c>
      <c r="E1068" s="1" t="s">
        <v>4833</v>
      </c>
      <c r="F1068" s="1" t="str">
        <f>"0631233369"</f>
        <v>0631233369</v>
      </c>
      <c r="G1068" s="1" t="str">
        <f>"9780631233367"</f>
        <v>9780631233367</v>
      </c>
      <c r="H1068" s="1">
        <v>0.0</v>
      </c>
      <c r="I1068" s="1">
        <v>3.89</v>
      </c>
      <c r="J1068" s="1" t="s">
        <v>48</v>
      </c>
      <c r="K1068" s="1" t="s">
        <v>44</v>
      </c>
      <c r="L1068" s="1">
        <v>224.0</v>
      </c>
      <c r="M1068" s="1">
        <v>2005.0</v>
      </c>
      <c r="N1068" s="1">
        <v>2005.0</v>
      </c>
      <c r="P1068" s="2">
        <v>45170.0</v>
      </c>
      <c r="Q1068" s="1" t="s">
        <v>32</v>
      </c>
      <c r="R1068" s="1" t="s">
        <v>4834</v>
      </c>
      <c r="S1068" s="1" t="s">
        <v>32</v>
      </c>
      <c r="W1068" s="1">
        <v>0.0</v>
      </c>
      <c r="X1068" s="1">
        <v>0.0</v>
      </c>
    </row>
    <row r="1069" spans="1:24" ht="15.75" customHeight="1">
      <c r="A1069" s="1">
        <v>5.8772732E7</v>
      </c>
      <c r="B1069" s="1" t="s">
        <v>4835</v>
      </c>
      <c r="C1069" s="1" t="s">
        <v>4836</v>
      </c>
      <c r="D1069" s="1" t="s">
        <v>4837</v>
      </c>
      <c r="F1069" s="1" t="str">
        <f>"0374601119"</f>
        <v>0374601119</v>
      </c>
      <c r="G1069" s="1" t="str">
        <f>"9780374601119"</f>
        <v>9780374601119</v>
      </c>
      <c r="H1069" s="1">
        <v>0.0</v>
      </c>
      <c r="I1069" s="1">
        <v>4.17</v>
      </c>
      <c r="J1069" s="1" t="s">
        <v>438</v>
      </c>
      <c r="K1069" s="1" t="s">
        <v>37</v>
      </c>
      <c r="L1069" s="1">
        <v>384.0</v>
      </c>
      <c r="M1069" s="1">
        <v>2022.0</v>
      </c>
      <c r="N1069" s="1">
        <v>2022.0</v>
      </c>
      <c r="P1069" s="2">
        <v>45313.0</v>
      </c>
      <c r="Q1069" s="1" t="s">
        <v>4838</v>
      </c>
      <c r="R1069" s="1" t="s">
        <v>4839</v>
      </c>
      <c r="S1069" s="1" t="s">
        <v>271</v>
      </c>
      <c r="W1069" s="1">
        <v>0.0</v>
      </c>
      <c r="X1069" s="1">
        <v>0.0</v>
      </c>
    </row>
    <row r="1070" spans="1:24" ht="15.75" customHeight="1">
      <c r="A1070" s="1">
        <v>6.1094787E7</v>
      </c>
      <c r="B1070" s="1" t="s">
        <v>4835</v>
      </c>
      <c r="C1070" s="1" t="s">
        <v>4836</v>
      </c>
      <c r="D1070" s="1" t="s">
        <v>4837</v>
      </c>
      <c r="F1070" s="1" t="str">
        <f t="shared" si="76" ref="F1070:G1070">""</f>
        <v/>
      </c>
      <c r="G1070" s="1" t="str">
        <f t="shared" si="76"/>
        <v/>
      </c>
      <c r="H1070" s="1">
        <v>0.0</v>
      </c>
      <c r="I1070" s="1">
        <v>4.17</v>
      </c>
      <c r="J1070" s="1" t="s">
        <v>438</v>
      </c>
      <c r="K1070" s="1" t="s">
        <v>29</v>
      </c>
      <c r="L1070" s="1">
        <v>376.0</v>
      </c>
      <c r="M1070" s="1">
        <v>2022.0</v>
      </c>
      <c r="N1070" s="1">
        <v>2022.0</v>
      </c>
      <c r="P1070" s="2">
        <v>45137.0</v>
      </c>
      <c r="Q1070" s="1" t="s">
        <v>32</v>
      </c>
      <c r="R1070" s="1" t="s">
        <v>4840</v>
      </c>
      <c r="S1070" s="1" t="s">
        <v>32</v>
      </c>
      <c r="W1070" s="1">
        <v>0.0</v>
      </c>
      <c r="X1070" s="1">
        <v>0.0</v>
      </c>
    </row>
    <row r="1071" spans="1:24" ht="15.75" customHeight="1">
      <c r="A1071" s="1">
        <v>47096.0</v>
      </c>
      <c r="B1071" s="1" t="s">
        <v>4841</v>
      </c>
      <c r="C1071" s="1" t="s">
        <v>4842</v>
      </c>
      <c r="D1071" s="1" t="s">
        <v>4843</v>
      </c>
      <c r="F1071" s="1" t="str">
        <f>"0060977663"</f>
        <v>0060977663</v>
      </c>
      <c r="G1071" s="1" t="str">
        <f>"9780060977665"</f>
        <v>9780060977665</v>
      </c>
      <c r="H1071" s="1">
        <v>0.0</v>
      </c>
      <c r="I1071" s="1">
        <v>3.92</v>
      </c>
      <c r="J1071" s="1" t="s">
        <v>4844</v>
      </c>
      <c r="K1071" s="1" t="s">
        <v>44</v>
      </c>
      <c r="L1071" s="1">
        <v>416.0</v>
      </c>
      <c r="M1071" s="1">
        <v>1999.0</v>
      </c>
      <c r="N1071" s="1">
        <v>1997.0</v>
      </c>
      <c r="P1071" s="2">
        <v>45078.0</v>
      </c>
      <c r="Q1071" s="1" t="s">
        <v>32</v>
      </c>
      <c r="R1071" s="1" t="s">
        <v>4845</v>
      </c>
      <c r="S1071" s="1" t="s">
        <v>32</v>
      </c>
      <c r="W1071" s="1">
        <v>0.0</v>
      </c>
      <c r="X1071" s="1">
        <v>0.0</v>
      </c>
    </row>
    <row r="1072" spans="1:24" ht="15.75" customHeight="1">
      <c r="A1072" s="1">
        <v>5.7693329E7</v>
      </c>
      <c r="B1072" s="1" t="s">
        <v>4846</v>
      </c>
      <c r="C1072" s="1" t="s">
        <v>4847</v>
      </c>
      <c r="D1072" s="1" t="s">
        <v>4848</v>
      </c>
      <c r="F1072" s="1" t="str">
        <f>"1250278511"</f>
        <v>1250278511</v>
      </c>
      <c r="G1072" s="1" t="str">
        <f>"9781250278517"</f>
        <v>9781250278517</v>
      </c>
      <c r="H1072" s="1">
        <v>0.0</v>
      </c>
      <c r="I1072" s="1">
        <v>4.21</v>
      </c>
      <c r="J1072" s="1" t="s">
        <v>2484</v>
      </c>
      <c r="K1072" s="1" t="s">
        <v>37</v>
      </c>
      <c r="L1072" s="1">
        <v>320.0</v>
      </c>
      <c r="M1072" s="1">
        <v>2022.0</v>
      </c>
      <c r="N1072" s="1">
        <v>2022.0</v>
      </c>
      <c r="P1072" s="2">
        <v>45143.0</v>
      </c>
      <c r="Q1072" s="1" t="s">
        <v>55</v>
      </c>
      <c r="R1072" s="1" t="s">
        <v>4849</v>
      </c>
      <c r="S1072" s="1" t="s">
        <v>32</v>
      </c>
      <c r="W1072" s="1">
        <v>0.0</v>
      </c>
      <c r="X1072" s="1">
        <v>0.0</v>
      </c>
    </row>
    <row r="1073" spans="1:24" ht="15.75" customHeight="1">
      <c r="A1073" s="1">
        <v>408862.0</v>
      </c>
      <c r="B1073" s="1" t="s">
        <v>4850</v>
      </c>
      <c r="C1073" s="1" t="s">
        <v>4851</v>
      </c>
      <c r="D1073" s="1" t="s">
        <v>4852</v>
      </c>
      <c r="F1073" s="1" t="str">
        <f>"0684826305"</f>
        <v>0684826305</v>
      </c>
      <c r="G1073" s="1" t="str">
        <f>"9780684826301"</f>
        <v>9780684826301</v>
      </c>
      <c r="H1073" s="1">
        <v>0.0</v>
      </c>
      <c r="I1073" s="1">
        <v>4.03</v>
      </c>
      <c r="J1073" s="1" t="s">
        <v>4853</v>
      </c>
      <c r="K1073" s="1" t="s">
        <v>44</v>
      </c>
      <c r="L1073" s="1">
        <v>880.0</v>
      </c>
      <c r="M1073" s="1">
        <v>1995.0</v>
      </c>
      <c r="N1073" s="1">
        <v>1890.0</v>
      </c>
      <c r="P1073" s="2">
        <v>44959.0</v>
      </c>
      <c r="Q1073" s="1" t="s">
        <v>463</v>
      </c>
      <c r="R1073" s="1" t="s">
        <v>4854</v>
      </c>
      <c r="S1073" s="1" t="s">
        <v>32</v>
      </c>
      <c r="W1073" s="1">
        <v>0.0</v>
      </c>
      <c r="X1073" s="1">
        <v>0.0</v>
      </c>
    </row>
    <row r="1074" spans="1:24" ht="15.75" customHeight="1">
      <c r="A1074" s="1">
        <v>8701960.0</v>
      </c>
      <c r="B1074" s="1" t="s">
        <v>4855</v>
      </c>
      <c r="C1074" s="1" t="s">
        <v>4856</v>
      </c>
      <c r="D1074" s="1" t="s">
        <v>4857</v>
      </c>
      <c r="F1074" s="1" t="str">
        <f>"0375423729"</f>
        <v>0375423729</v>
      </c>
      <c r="G1074" s="1" t="str">
        <f>"9780375423727"</f>
        <v>9780375423727</v>
      </c>
      <c r="H1074" s="1">
        <v>0.0</v>
      </c>
      <c r="I1074" s="1">
        <v>4.03</v>
      </c>
      <c r="J1074" s="1" t="s">
        <v>239</v>
      </c>
      <c r="K1074" s="1" t="s">
        <v>37</v>
      </c>
      <c r="L1074" s="1">
        <v>527.0</v>
      </c>
      <c r="M1074" s="1">
        <v>2011.0</v>
      </c>
      <c r="N1074" s="1">
        <v>2011.0</v>
      </c>
      <c r="P1074" s="2">
        <v>45143.0</v>
      </c>
      <c r="Q1074" s="1" t="s">
        <v>55</v>
      </c>
      <c r="R1074" s="1" t="s">
        <v>4858</v>
      </c>
      <c r="S1074" s="1" t="s">
        <v>32</v>
      </c>
      <c r="W1074" s="1">
        <v>0.0</v>
      </c>
      <c r="X1074" s="1">
        <v>0.0</v>
      </c>
    </row>
    <row r="1075" spans="1:24" ht="15.75" customHeight="1">
      <c r="A1075" s="1">
        <v>64582.0</v>
      </c>
      <c r="B1075" s="1" t="s">
        <v>4859</v>
      </c>
      <c r="C1075" s="1" t="s">
        <v>4856</v>
      </c>
      <c r="D1075" s="1" t="s">
        <v>4857</v>
      </c>
      <c r="F1075" s="1" t="str">
        <f>"0140092501"</f>
        <v>0140092501</v>
      </c>
      <c r="G1075" s="1" t="str">
        <f>"9780140092509"</f>
        <v>9780140092509</v>
      </c>
      <c r="H1075" s="1">
        <v>0.0</v>
      </c>
      <c r="I1075" s="1">
        <v>4.03</v>
      </c>
      <c r="J1075" s="1" t="s">
        <v>4860</v>
      </c>
      <c r="K1075" s="1" t="s">
        <v>44</v>
      </c>
      <c r="L1075" s="1">
        <v>352.0</v>
      </c>
      <c r="M1075" s="1">
        <v>1988.0</v>
      </c>
      <c r="N1075" s="1">
        <v>1987.0</v>
      </c>
      <c r="P1075" s="2">
        <v>45163.0</v>
      </c>
      <c r="Q1075" s="1" t="s">
        <v>32</v>
      </c>
      <c r="R1075" s="1" t="s">
        <v>4861</v>
      </c>
      <c r="S1075" s="1" t="s">
        <v>32</v>
      </c>
      <c r="W1075" s="1">
        <v>0.0</v>
      </c>
      <c r="X1075" s="1">
        <v>0.0</v>
      </c>
    </row>
    <row r="1076" spans="1:24" ht="15.75" customHeight="1">
      <c r="A1076" s="1">
        <v>1.4059541E7</v>
      </c>
      <c r="B1076" s="1" t="s">
        <v>4862</v>
      </c>
      <c r="C1076" s="1" t="s">
        <v>4863</v>
      </c>
      <c r="D1076" s="1" t="s">
        <v>4864</v>
      </c>
      <c r="F1076" s="1" t="str">
        <f>"014119894X"</f>
        <v>014119894X</v>
      </c>
      <c r="G1076" s="1" t="str">
        <f>"9780141198941"</f>
        <v>9780141198941</v>
      </c>
      <c r="H1076" s="1">
        <v>0.0</v>
      </c>
      <c r="I1076" s="1">
        <v>3.67</v>
      </c>
      <c r="J1076" s="1" t="s">
        <v>309</v>
      </c>
      <c r="K1076" s="1" t="s">
        <v>44</v>
      </c>
      <c r="L1076" s="1">
        <v>238.0</v>
      </c>
      <c r="M1076" s="1">
        <v>2012.0</v>
      </c>
      <c r="N1076" s="1">
        <v>1824.0</v>
      </c>
      <c r="P1076" s="2">
        <v>44265.0</v>
      </c>
      <c r="Q1076" s="1" t="s">
        <v>502</v>
      </c>
      <c r="R1076" s="1" t="s">
        <v>4865</v>
      </c>
      <c r="S1076" s="1" t="s">
        <v>32</v>
      </c>
      <c r="W1076" s="1">
        <v>0.0</v>
      </c>
      <c r="X1076" s="1">
        <v>0.0</v>
      </c>
    </row>
    <row r="1077" spans="1:24" ht="15.75" customHeight="1">
      <c r="A1077" s="1">
        <v>1178525.0</v>
      </c>
      <c r="B1077" s="1" t="s">
        <v>4866</v>
      </c>
      <c r="C1077" s="1" t="s">
        <v>4867</v>
      </c>
      <c r="D1077" s="1" t="s">
        <v>4868</v>
      </c>
      <c r="F1077" s="1" t="str">
        <f>"0140185585"</f>
        <v>0140185585</v>
      </c>
      <c r="G1077" s="1" t="str">
        <f>"9780140185584"</f>
        <v>9780140185584</v>
      </c>
      <c r="H1077" s="1">
        <v>0.0</v>
      </c>
      <c r="I1077" s="1">
        <v>3.75</v>
      </c>
      <c r="J1077" s="1" t="s">
        <v>61</v>
      </c>
      <c r="K1077" s="1" t="s">
        <v>44</v>
      </c>
      <c r="L1077" s="1">
        <v>939.0</v>
      </c>
      <c r="M1077" s="1">
        <v>1992.0</v>
      </c>
      <c r="N1077" s="1">
        <v>1922.0</v>
      </c>
      <c r="P1077" s="2">
        <v>44814.0</v>
      </c>
      <c r="Q1077" s="1" t="s">
        <v>818</v>
      </c>
      <c r="R1077" s="1" t="s">
        <v>4869</v>
      </c>
      <c r="S1077" s="1" t="s">
        <v>32</v>
      </c>
      <c r="W1077" s="1">
        <v>0.0</v>
      </c>
      <c r="X1077" s="1">
        <v>1.0</v>
      </c>
    </row>
    <row r="1078" spans="1:24" ht="15.75" customHeight="1">
      <c r="A1078" s="1">
        <v>89208.0</v>
      </c>
      <c r="B1078" s="1" t="s">
        <v>4870</v>
      </c>
      <c r="C1078" s="1" t="s">
        <v>4871</v>
      </c>
      <c r="D1078" s="1" t="s">
        <v>4872</v>
      </c>
      <c r="F1078" s="1" t="str">
        <f>"039332799X"</f>
        <v>039332799X</v>
      </c>
      <c r="G1078" s="1" t="str">
        <f>"9780393327991"</f>
        <v>9780393327991</v>
      </c>
      <c r="H1078" s="1">
        <v>0.0</v>
      </c>
      <c r="I1078" s="1">
        <v>3.59</v>
      </c>
      <c r="J1078" s="1" t="s">
        <v>4873</v>
      </c>
      <c r="K1078" s="1" t="s">
        <v>44</v>
      </c>
      <c r="L1078" s="1">
        <v>388.0</v>
      </c>
      <c r="M1078" s="1">
        <v>2005.0</v>
      </c>
      <c r="N1078" s="1">
        <v>1994.0</v>
      </c>
      <c r="P1078" s="2">
        <v>43103.0</v>
      </c>
      <c r="Q1078" s="1" t="s">
        <v>261</v>
      </c>
      <c r="R1078" s="1" t="s">
        <v>4874</v>
      </c>
      <c r="S1078" s="1" t="s">
        <v>32</v>
      </c>
      <c r="W1078" s="1">
        <v>0.0</v>
      </c>
      <c r="X1078" s="1">
        <v>0.0</v>
      </c>
    </row>
    <row r="1079" spans="1:24" ht="15.75" customHeight="1">
      <c r="A1079" s="1">
        <v>3254685.0</v>
      </c>
      <c r="B1079" s="1" t="s">
        <v>4875</v>
      </c>
      <c r="C1079" s="1" t="s">
        <v>4876</v>
      </c>
      <c r="D1079" s="1" t="s">
        <v>4877</v>
      </c>
      <c r="F1079" s="1" t="str">
        <f>"0815782233"</f>
        <v>0815782233</v>
      </c>
      <c r="G1079" s="1" t="str">
        <f>"9780815782230"</f>
        <v>9780815782230</v>
      </c>
      <c r="H1079" s="1">
        <v>0.0</v>
      </c>
      <c r="I1079" s="1">
        <v>3.6</v>
      </c>
      <c r="J1079" s="1" t="s">
        <v>4878</v>
      </c>
      <c r="K1079" s="1" t="s">
        <v>44</v>
      </c>
      <c r="L1079" s="1">
        <v>515.0</v>
      </c>
      <c r="M1079" s="1">
        <v>1981.0</v>
      </c>
      <c r="N1079" s="1">
        <v>1981.0</v>
      </c>
      <c r="P1079" s="2">
        <v>45300.0</v>
      </c>
      <c r="Q1079" s="1" t="s">
        <v>30</v>
      </c>
      <c r="R1079" s="1" t="s">
        <v>4879</v>
      </c>
      <c r="S1079" s="1" t="s">
        <v>32</v>
      </c>
      <c r="W1079" s="1">
        <v>0.0</v>
      </c>
      <c r="X1079" s="1">
        <v>0.0</v>
      </c>
    </row>
    <row r="1080" spans="1:24" ht="15.75" customHeight="1">
      <c r="A1080" s="1">
        <v>84736.0</v>
      </c>
      <c r="B1080" s="1" t="s">
        <v>4880</v>
      </c>
      <c r="C1080" s="1" t="s">
        <v>4881</v>
      </c>
      <c r="D1080" s="1" t="s">
        <v>4882</v>
      </c>
      <c r="F1080" s="1" t="str">
        <f>"0446619035"</f>
        <v>0446619035</v>
      </c>
      <c r="G1080" s="1" t="str">
        <f>"9780446619035"</f>
        <v>9780446619035</v>
      </c>
      <c r="H1080" s="1">
        <v>0.0</v>
      </c>
      <c r="I1080" s="1">
        <v>3.99</v>
      </c>
      <c r="J1080" s="1" t="s">
        <v>4883</v>
      </c>
      <c r="K1080" s="1" t="s">
        <v>1225</v>
      </c>
      <c r="L1080" s="1">
        <v>413.0</v>
      </c>
      <c r="M1080" s="1">
        <v>2006.0</v>
      </c>
      <c r="N1080" s="1">
        <v>2005.0</v>
      </c>
      <c r="P1080" s="2">
        <v>45113.0</v>
      </c>
      <c r="Q1080" s="1" t="s">
        <v>818</v>
      </c>
      <c r="R1080" s="1" t="s">
        <v>4884</v>
      </c>
      <c r="S1080" s="1" t="s">
        <v>32</v>
      </c>
      <c r="W1080" s="1">
        <v>0.0</v>
      </c>
      <c r="X1080" s="1">
        <v>1.0</v>
      </c>
    </row>
    <row r="1081" spans="1:24" ht="15.75" customHeight="1">
      <c r="A1081" s="1">
        <v>545421.0</v>
      </c>
      <c r="B1081" s="1" t="s">
        <v>4885</v>
      </c>
      <c r="C1081" s="1" t="s">
        <v>4886</v>
      </c>
      <c r="D1081" s="1" t="s">
        <v>4887</v>
      </c>
      <c r="F1081" s="1" t="str">
        <f>"078671669X"</f>
        <v>078671669X</v>
      </c>
      <c r="G1081" s="1" t="str">
        <f>"9780786716692"</f>
        <v>9780786716692</v>
      </c>
      <c r="H1081" s="1">
        <v>0.0</v>
      </c>
      <c r="I1081" s="1">
        <v>3.85</v>
      </c>
      <c r="J1081" s="1" t="s">
        <v>564</v>
      </c>
      <c r="K1081" s="1" t="s">
        <v>44</v>
      </c>
      <c r="L1081" s="1">
        <v>185.0</v>
      </c>
      <c r="M1081" s="1">
        <v>2005.0</v>
      </c>
      <c r="N1081" s="1">
        <v>1978.0</v>
      </c>
      <c r="P1081" s="2">
        <v>43952.0</v>
      </c>
      <c r="Q1081" s="1" t="s">
        <v>32</v>
      </c>
      <c r="R1081" s="1" t="s">
        <v>4888</v>
      </c>
      <c r="S1081" s="1" t="s">
        <v>32</v>
      </c>
      <c r="W1081" s="1">
        <v>0.0</v>
      </c>
      <c r="X1081" s="1">
        <v>0.0</v>
      </c>
    </row>
    <row r="1082" spans="1:24" ht="15.75" customHeight="1">
      <c r="A1082" s="1">
        <v>1081213.0</v>
      </c>
      <c r="B1082" s="1" t="s">
        <v>4889</v>
      </c>
      <c r="C1082" s="1" t="s">
        <v>4890</v>
      </c>
      <c r="D1082" s="1" t="s">
        <v>4891</v>
      </c>
      <c r="F1082" s="1" t="str">
        <f>"0070510989"</f>
        <v>0070510989</v>
      </c>
      <c r="G1082" s="1" t="str">
        <f>"9780070510982"</f>
        <v>9780070510982</v>
      </c>
      <c r="H1082" s="1">
        <v>0.0</v>
      </c>
      <c r="I1082" s="1">
        <v>3.73</v>
      </c>
      <c r="J1082" s="1" t="s">
        <v>4892</v>
      </c>
      <c r="K1082" s="1" t="s">
        <v>44</v>
      </c>
      <c r="L1082" s="1">
        <v>169.0</v>
      </c>
      <c r="M1082" s="1">
        <v>1994.0</v>
      </c>
      <c r="N1082" s="1">
        <v>2003.0</v>
      </c>
      <c r="P1082" s="2">
        <v>45132.0</v>
      </c>
      <c r="Q1082" s="1" t="s">
        <v>1207</v>
      </c>
      <c r="R1082" s="1" t="s">
        <v>4893</v>
      </c>
      <c r="S1082" s="1" t="s">
        <v>32</v>
      </c>
      <c r="W1082" s="1">
        <v>0.0</v>
      </c>
      <c r="X1082" s="1">
        <v>1.0</v>
      </c>
    </row>
    <row r="1083" spans="1:24" ht="15.75" customHeight="1">
      <c r="A1083" s="1">
        <v>1.8077789E7</v>
      </c>
      <c r="B1083" s="1" t="s">
        <v>4894</v>
      </c>
      <c r="C1083" s="1" t="s">
        <v>4895</v>
      </c>
      <c r="D1083" s="1" t="s">
        <v>4896</v>
      </c>
      <c r="F1083" s="1" t="str">
        <f>"0307596877"</f>
        <v>0307596877</v>
      </c>
      <c r="G1083" s="1" t="str">
        <f>"9780307596871"</f>
        <v>9780307596871</v>
      </c>
      <c r="H1083" s="1">
        <v>0.0</v>
      </c>
      <c r="I1083" s="1">
        <v>4.13</v>
      </c>
      <c r="J1083" s="1" t="s">
        <v>4897</v>
      </c>
      <c r="K1083" s="1" t="s">
        <v>37</v>
      </c>
      <c r="L1083" s="1">
        <v>290.0</v>
      </c>
      <c r="M1083" s="1">
        <v>2014.0</v>
      </c>
      <c r="N1083" s="1">
        <v>2014.0</v>
      </c>
      <c r="P1083" s="2">
        <v>45115.0</v>
      </c>
      <c r="Q1083" s="1" t="s">
        <v>32</v>
      </c>
      <c r="R1083" s="1" t="s">
        <v>4898</v>
      </c>
      <c r="S1083" s="1" t="s">
        <v>32</v>
      </c>
      <c r="W1083" s="1">
        <v>0.0</v>
      </c>
      <c r="X1083" s="1">
        <v>0.0</v>
      </c>
    </row>
    <row r="1084" spans="1:24" ht="15.75" customHeight="1">
      <c r="A1084" s="1">
        <v>18757.0</v>
      </c>
      <c r="B1084" s="1" t="s">
        <v>4899</v>
      </c>
      <c r="C1084" s="1" t="s">
        <v>4900</v>
      </c>
      <c r="D1084" s="1" t="s">
        <v>4901</v>
      </c>
      <c r="F1084" s="1" t="str">
        <f>"1400078415"</f>
        <v>1400078415</v>
      </c>
      <c r="G1084" s="1" t="str">
        <f>"9781400078417"</f>
        <v>9781400078417</v>
      </c>
      <c r="H1084" s="1">
        <v>0.0</v>
      </c>
      <c r="I1084" s="1">
        <v>3.85</v>
      </c>
      <c r="J1084" s="1" t="s">
        <v>69</v>
      </c>
      <c r="K1084" s="1" t="s">
        <v>44</v>
      </c>
      <c r="L1084" s="1">
        <v>132.0</v>
      </c>
      <c r="M1084" s="1">
        <v>2006.0</v>
      </c>
      <c r="N1084" s="1">
        <v>2005.0</v>
      </c>
      <c r="P1084" s="2">
        <v>45187.0</v>
      </c>
      <c r="Q1084" s="1" t="s">
        <v>4902</v>
      </c>
      <c r="R1084" s="1" t="s">
        <v>4903</v>
      </c>
      <c r="S1084" s="1" t="s">
        <v>32</v>
      </c>
      <c r="W1084" s="1">
        <v>0.0</v>
      </c>
      <c r="X1084" s="1">
        <v>0.0</v>
      </c>
    </row>
    <row r="1085" spans="1:24" ht="15.75" customHeight="1">
      <c r="A1085" s="1">
        <v>79090.0</v>
      </c>
      <c r="B1085" s="1" t="s">
        <v>4904</v>
      </c>
      <c r="C1085" s="1" t="s">
        <v>4905</v>
      </c>
      <c r="D1085" s="1" t="s">
        <v>4906</v>
      </c>
      <c r="F1085" s="1" t="str">
        <f>"0743259823"</f>
        <v>0743259823</v>
      </c>
      <c r="G1085" s="1" t="str">
        <f>"9780743259828"</f>
        <v>9780743259828</v>
      </c>
      <c r="H1085" s="1">
        <v>0.0</v>
      </c>
      <c r="I1085" s="1">
        <v>4.08</v>
      </c>
      <c r="J1085" s="1" t="s">
        <v>622</v>
      </c>
      <c r="K1085" s="1" t="s">
        <v>44</v>
      </c>
      <c r="L1085" s="1">
        <v>287.0</v>
      </c>
      <c r="M1085" s="1">
        <v>2003.0</v>
      </c>
      <c r="N1085" s="1">
        <v>1999.0</v>
      </c>
      <c r="P1085" s="2">
        <v>41545.0</v>
      </c>
      <c r="Q1085" s="1" t="s">
        <v>32</v>
      </c>
      <c r="R1085" s="1" t="s">
        <v>4907</v>
      </c>
      <c r="S1085" s="1" t="s">
        <v>32</v>
      </c>
      <c r="W1085" s="1">
        <v>0.0</v>
      </c>
      <c r="X1085" s="1">
        <v>0.0</v>
      </c>
    </row>
    <row r="1086" spans="1:24" ht="15.75" customHeight="1">
      <c r="A1086" s="1">
        <v>7389458.0</v>
      </c>
      <c r="B1086" s="1" t="s">
        <v>4908</v>
      </c>
      <c r="C1086" s="1" t="s">
        <v>4909</v>
      </c>
      <c r="D1086" s="1" t="s">
        <v>4910</v>
      </c>
      <c r="F1086" s="1" t="str">
        <f>"0262232626"</f>
        <v>0262232626</v>
      </c>
      <c r="G1086" s="1" t="str">
        <f>"9780262232623"</f>
        <v>9780262232623</v>
      </c>
      <c r="H1086" s="1">
        <v>0.0</v>
      </c>
      <c r="I1086" s="1">
        <v>4.45</v>
      </c>
      <c r="J1086" s="1" t="s">
        <v>3844</v>
      </c>
      <c r="K1086" s="1" t="s">
        <v>37</v>
      </c>
      <c r="L1086" s="1">
        <v>328.0</v>
      </c>
      <c r="M1086" s="1">
        <v>2010.0</v>
      </c>
      <c r="N1086" s="1">
        <v>2008.0</v>
      </c>
      <c r="P1086" s="2">
        <v>42158.0</v>
      </c>
      <c r="Q1086" s="1" t="s">
        <v>115</v>
      </c>
      <c r="R1086" s="1" t="s">
        <v>4911</v>
      </c>
      <c r="S1086" s="1" t="s">
        <v>32</v>
      </c>
      <c r="W1086" s="1">
        <v>0.0</v>
      </c>
      <c r="X1086" s="1">
        <v>1.0</v>
      </c>
    </row>
    <row r="1087" spans="1:24" ht="15.75" customHeight="1">
      <c r="A1087" s="1">
        <v>683878.0</v>
      </c>
      <c r="B1087" s="1" t="s">
        <v>4912</v>
      </c>
      <c r="C1087" s="1" t="s">
        <v>4913</v>
      </c>
      <c r="D1087" s="1" t="s">
        <v>4914</v>
      </c>
      <c r="F1087" s="1" t="str">
        <f>"1586483692"</f>
        <v>1586483692</v>
      </c>
      <c r="G1087" s="1" t="str">
        <f>"9781586483692"</f>
        <v>9781586483692</v>
      </c>
      <c r="H1087" s="1">
        <v>0.0</v>
      </c>
      <c r="I1087" s="1">
        <v>3.92</v>
      </c>
      <c r="J1087" s="1" t="s">
        <v>4915</v>
      </c>
      <c r="K1087" s="1" t="s">
        <v>37</v>
      </c>
      <c r="L1087" s="1">
        <v>256.0</v>
      </c>
      <c r="M1087" s="1">
        <v>2005.0</v>
      </c>
      <c r="N1087" s="1">
        <v>2005.0</v>
      </c>
      <c r="P1087" s="3">
        <v>45271.0</v>
      </c>
      <c r="Q1087" s="1" t="s">
        <v>479</v>
      </c>
      <c r="R1087" s="1" t="s">
        <v>4916</v>
      </c>
      <c r="S1087" s="1" t="s">
        <v>32</v>
      </c>
      <c r="W1087" s="1">
        <v>0.0</v>
      </c>
      <c r="X1087" s="1">
        <v>0.0</v>
      </c>
    </row>
    <row r="1088" spans="1:24" ht="15.75" customHeight="1">
      <c r="A1088" s="1">
        <v>1360562.0</v>
      </c>
      <c r="B1088" s="1" t="s">
        <v>4917</v>
      </c>
      <c r="C1088" s="1" t="s">
        <v>4918</v>
      </c>
      <c r="D1088" s="1" t="s">
        <v>4919</v>
      </c>
      <c r="F1088" s="1" t="str">
        <f>"9042918438"</f>
        <v>9042918438</v>
      </c>
      <c r="G1088" s="1" t="str">
        <f>"9789042918436"</f>
        <v>9789042918436</v>
      </c>
      <c r="H1088" s="1">
        <v>0.0</v>
      </c>
      <c r="I1088" s="1">
        <v>3.67</v>
      </c>
      <c r="J1088" s="1" t="s">
        <v>4920</v>
      </c>
      <c r="K1088" s="1" t="s">
        <v>44</v>
      </c>
      <c r="L1088" s="1">
        <v>268.0</v>
      </c>
      <c r="M1088" s="1">
        <v>2007.0</v>
      </c>
      <c r="N1088" s="1">
        <v>2007.0</v>
      </c>
      <c r="P1088" s="2">
        <v>45124.0</v>
      </c>
      <c r="Q1088" s="1" t="s">
        <v>55</v>
      </c>
      <c r="R1088" s="1" t="s">
        <v>4921</v>
      </c>
      <c r="S1088" s="1" t="s">
        <v>32</v>
      </c>
      <c r="W1088" s="1">
        <v>0.0</v>
      </c>
      <c r="X1088" s="1">
        <v>0.0</v>
      </c>
    </row>
    <row r="1089" spans="1:24" ht="15.75" customHeight="1">
      <c r="A1089" s="1">
        <v>560237.0</v>
      </c>
      <c r="B1089" s="1" t="s">
        <v>4922</v>
      </c>
      <c r="C1089" s="1" t="s">
        <v>4918</v>
      </c>
      <c r="D1089" s="1" t="s">
        <v>4919</v>
      </c>
      <c r="F1089" s="1" t="str">
        <f>"038920871X"</f>
        <v>038920871X</v>
      </c>
      <c r="G1089" s="1" t="str">
        <f>"9780389208716"</f>
        <v>9780389208716</v>
      </c>
      <c r="H1089" s="1">
        <v>0.0</v>
      </c>
      <c r="I1089" s="1">
        <v>4.25</v>
      </c>
      <c r="J1089" s="1" t="s">
        <v>4923</v>
      </c>
      <c r="K1089" s="1" t="s">
        <v>44</v>
      </c>
      <c r="L1089" s="1">
        <v>0.0</v>
      </c>
      <c r="N1089" s="1">
        <v>1988.0</v>
      </c>
      <c r="P1089" s="2">
        <v>45120.0</v>
      </c>
      <c r="Q1089" s="1" t="s">
        <v>725</v>
      </c>
      <c r="R1089" s="1" t="s">
        <v>4924</v>
      </c>
      <c r="S1089" s="1" t="s">
        <v>32</v>
      </c>
      <c r="W1089" s="1">
        <v>0.0</v>
      </c>
      <c r="X1089" s="1">
        <v>0.0</v>
      </c>
    </row>
    <row r="1090" spans="1:24" ht="15.75" customHeight="1">
      <c r="A1090" s="1">
        <v>8010357.0</v>
      </c>
      <c r="B1090" s="1" t="s">
        <v>4925</v>
      </c>
      <c r="C1090" s="1" t="s">
        <v>4918</v>
      </c>
      <c r="D1090" s="1" t="s">
        <v>4919</v>
      </c>
      <c r="E1090" s="1" t="s">
        <v>4926</v>
      </c>
      <c r="F1090" s="1" t="str">
        <f>"0748637982"</f>
        <v>0748637982</v>
      </c>
      <c r="G1090" s="1" t="str">
        <f>"9780748637980"</f>
        <v>9780748637980</v>
      </c>
      <c r="H1090" s="1">
        <v>0.0</v>
      </c>
      <c r="I1090" s="1">
        <v>3.67</v>
      </c>
      <c r="J1090" s="1" t="s">
        <v>4927</v>
      </c>
      <c r="K1090" s="1" t="s">
        <v>37</v>
      </c>
      <c r="L1090" s="1">
        <v>552.0</v>
      </c>
      <c r="M1090" s="1">
        <v>2010.0</v>
      </c>
      <c r="N1090" s="1">
        <v>2010.0</v>
      </c>
      <c r="P1090" s="2">
        <v>45120.0</v>
      </c>
      <c r="Q1090" s="1" t="s">
        <v>725</v>
      </c>
      <c r="R1090" s="1" t="s">
        <v>4928</v>
      </c>
      <c r="S1090" s="1" t="s">
        <v>32</v>
      </c>
      <c r="W1090" s="1">
        <v>0.0</v>
      </c>
      <c r="X1090" s="1">
        <v>0.0</v>
      </c>
    </row>
    <row r="1091" spans="1:24" ht="15.75" customHeight="1">
      <c r="A1091" s="1">
        <v>1888592.0</v>
      </c>
      <c r="B1091" s="1" t="s">
        <v>4929</v>
      </c>
      <c r="C1091" s="1" t="s">
        <v>4930</v>
      </c>
      <c r="D1091" s="1" t="s">
        <v>4931</v>
      </c>
      <c r="E1091" s="1" t="s">
        <v>4932</v>
      </c>
      <c r="F1091" s="1" t="str">
        <f>"081269337X"</f>
        <v>081269337X</v>
      </c>
      <c r="G1091" s="1" t="str">
        <f>"9780812693379"</f>
        <v>9780812693379</v>
      </c>
      <c r="H1091" s="1">
        <v>0.0</v>
      </c>
      <c r="I1091" s="1">
        <v>4.07</v>
      </c>
      <c r="J1091" s="1" t="s">
        <v>4933</v>
      </c>
      <c r="K1091" s="1" t="s">
        <v>44</v>
      </c>
      <c r="L1091" s="1">
        <v>200.0</v>
      </c>
      <c r="M1091" s="1">
        <v>1999.0</v>
      </c>
      <c r="N1091" s="1">
        <v>1975.0</v>
      </c>
      <c r="P1091" s="2">
        <v>43952.0</v>
      </c>
      <c r="Q1091" s="1" t="s">
        <v>2213</v>
      </c>
      <c r="R1091" s="1" t="s">
        <v>4934</v>
      </c>
      <c r="S1091" s="1" t="s">
        <v>32</v>
      </c>
      <c r="W1091" s="1">
        <v>0.0</v>
      </c>
      <c r="X1091" s="1">
        <v>0.0</v>
      </c>
    </row>
    <row r="1092" spans="1:24" ht="15.75" customHeight="1">
      <c r="A1092" s="1">
        <v>93180.0</v>
      </c>
      <c r="B1092" s="1" t="s">
        <v>4935</v>
      </c>
      <c r="C1092" s="1" t="s">
        <v>4936</v>
      </c>
      <c r="D1092" s="1" t="s">
        <v>4937</v>
      </c>
      <c r="E1092" s="1" t="s">
        <v>4938</v>
      </c>
      <c r="F1092" s="1" t="str">
        <f>"0140445803"</f>
        <v>0140445803</v>
      </c>
      <c r="G1092" s="1" t="str">
        <f>"9780140445800"</f>
        <v>9780140445800</v>
      </c>
      <c r="H1092" s="1">
        <v>0.0</v>
      </c>
      <c r="I1092" s="1">
        <v>4.09</v>
      </c>
      <c r="J1092" s="1" t="s">
        <v>1063</v>
      </c>
      <c r="K1092" s="1" t="s">
        <v>44</v>
      </c>
      <c r="L1092" s="1">
        <v>631.0</v>
      </c>
      <c r="M1092" s="1">
        <v>1996.0</v>
      </c>
      <c r="N1092" s="1">
        <v>1847.0</v>
      </c>
      <c r="P1092" s="2">
        <v>41672.0</v>
      </c>
      <c r="Q1092" s="1" t="s">
        <v>32</v>
      </c>
      <c r="R1092" s="1" t="s">
        <v>4939</v>
      </c>
      <c r="S1092" s="1" t="s">
        <v>32</v>
      </c>
      <c r="W1092" s="1">
        <v>0.0</v>
      </c>
      <c r="X1092" s="1">
        <v>0.0</v>
      </c>
    </row>
    <row r="1093" spans="1:24" ht="15.75" customHeight="1">
      <c r="A1093" s="1">
        <v>1898426.0</v>
      </c>
      <c r="B1093" s="1" t="s">
        <v>4940</v>
      </c>
      <c r="C1093" s="1" t="s">
        <v>4941</v>
      </c>
      <c r="D1093" s="1" t="s">
        <v>4942</v>
      </c>
      <c r="F1093" s="1" t="str">
        <f>"0877288216"</f>
        <v>0877288216</v>
      </c>
      <c r="G1093" s="1" t="str">
        <f>"9780877288213"</f>
        <v>9780877288213</v>
      </c>
      <c r="H1093" s="1">
        <v>0.0</v>
      </c>
      <c r="I1093" s="1">
        <v>3.95</v>
      </c>
      <c r="J1093" s="1" t="s">
        <v>405</v>
      </c>
      <c r="K1093" s="1" t="s">
        <v>44</v>
      </c>
      <c r="L1093" s="1">
        <v>320.0</v>
      </c>
      <c r="M1093" s="1">
        <v>1995.0</v>
      </c>
      <c r="N1093" s="1">
        <v>1995.0</v>
      </c>
      <c r="P1093" s="2">
        <v>45122.0</v>
      </c>
      <c r="Q1093" s="1" t="s">
        <v>49</v>
      </c>
      <c r="R1093" s="1" t="s">
        <v>4943</v>
      </c>
      <c r="S1093" s="1" t="s">
        <v>32</v>
      </c>
      <c r="W1093" s="1">
        <v>0.0</v>
      </c>
      <c r="X1093" s="1">
        <v>0.0</v>
      </c>
    </row>
    <row r="1094" spans="1:24" ht="15.75" customHeight="1">
      <c r="A1094" s="1">
        <v>1.7328366E7</v>
      </c>
      <c r="B1094" s="1" t="s">
        <v>4944</v>
      </c>
      <c r="C1094" s="1" t="s">
        <v>4945</v>
      </c>
      <c r="D1094" s="1" t="s">
        <v>4946</v>
      </c>
      <c r="F1094" s="1" t="str">
        <f>"1843440717"</f>
        <v>1843440717</v>
      </c>
      <c r="G1094" s="1" t="str">
        <f>"9781843440710"</f>
        <v>9781843440710</v>
      </c>
      <c r="H1094" s="1">
        <v>0.0</v>
      </c>
      <c r="I1094" s="1">
        <v>4.29</v>
      </c>
      <c r="J1094" s="1" t="s">
        <v>4947</v>
      </c>
      <c r="K1094" s="1" t="s">
        <v>44</v>
      </c>
      <c r="L1094" s="1">
        <v>320.0</v>
      </c>
      <c r="M1094" s="1">
        <v>2013.0</v>
      </c>
      <c r="N1094" s="1">
        <v>1813.0</v>
      </c>
      <c r="P1094" s="2">
        <v>44814.0</v>
      </c>
      <c r="Q1094" s="1" t="s">
        <v>818</v>
      </c>
      <c r="R1094" s="1" t="s">
        <v>4948</v>
      </c>
      <c r="S1094" s="1" t="s">
        <v>32</v>
      </c>
      <c r="W1094" s="1">
        <v>0.0</v>
      </c>
      <c r="X1094" s="1">
        <v>1.0</v>
      </c>
    </row>
    <row r="1095" spans="1:24" ht="15.75" customHeight="1">
      <c r="A1095" s="1">
        <v>215262.0</v>
      </c>
      <c r="B1095" s="1" t="s">
        <v>4949</v>
      </c>
      <c r="C1095" s="1" t="s">
        <v>4950</v>
      </c>
      <c r="D1095" s="1" t="s">
        <v>4951</v>
      </c>
      <c r="F1095" s="1" t="str">
        <f>"0720611792"</f>
        <v>0720611792</v>
      </c>
      <c r="G1095" s="1" t="str">
        <f>"9780720611793"</f>
        <v>9780720611793</v>
      </c>
      <c r="H1095" s="1">
        <v>0.0</v>
      </c>
      <c r="I1095" s="1">
        <v>3.6</v>
      </c>
      <c r="J1095" s="1" t="s">
        <v>4952</v>
      </c>
      <c r="K1095" s="1" t="s">
        <v>44</v>
      </c>
      <c r="L1095" s="1">
        <v>234.0</v>
      </c>
      <c r="M1095" s="1">
        <v>2003.0</v>
      </c>
      <c r="N1095" s="1">
        <v>1943.0</v>
      </c>
      <c r="P1095" s="2">
        <v>43952.0</v>
      </c>
      <c r="Q1095" s="1" t="s">
        <v>502</v>
      </c>
      <c r="R1095" s="1" t="s">
        <v>4953</v>
      </c>
      <c r="S1095" s="1" t="s">
        <v>32</v>
      </c>
      <c r="W1095" s="1">
        <v>0.0</v>
      </c>
      <c r="X1095" s="1">
        <v>0.0</v>
      </c>
    </row>
    <row r="1096" spans="1:24" ht="15.75" customHeight="1">
      <c r="A1096" s="1">
        <v>183332.0</v>
      </c>
      <c r="B1096" s="1" t="s">
        <v>4954</v>
      </c>
      <c r="C1096" s="1" t="s">
        <v>4950</v>
      </c>
      <c r="D1096" s="1" t="s">
        <v>4951</v>
      </c>
      <c r="E1096" s="1" t="s">
        <v>4955</v>
      </c>
      <c r="F1096" s="1" t="str">
        <f>"0374529787"</f>
        <v>0374529787</v>
      </c>
      <c r="G1096" s="1" t="str">
        <f>"9780374529789"</f>
        <v>9780374529789</v>
      </c>
      <c r="H1096" s="1">
        <v>0.0</v>
      </c>
      <c r="I1096" s="1">
        <v>4.2</v>
      </c>
      <c r="J1096" s="1" t="s">
        <v>438</v>
      </c>
      <c r="K1096" s="1" t="s">
        <v>44</v>
      </c>
      <c r="L1096" s="1">
        <v>496.0</v>
      </c>
      <c r="M1096" s="1">
        <v>2005.0</v>
      </c>
      <c r="N1096" s="1">
        <v>1966.0</v>
      </c>
      <c r="P1096" s="2">
        <v>43952.0</v>
      </c>
      <c r="Q1096" s="1" t="s">
        <v>32</v>
      </c>
      <c r="R1096" s="1" t="s">
        <v>4956</v>
      </c>
      <c r="S1096" s="1" t="s">
        <v>32</v>
      </c>
      <c r="W1096" s="1">
        <v>0.0</v>
      </c>
      <c r="X1096" s="1">
        <v>0.0</v>
      </c>
    </row>
    <row r="1097" spans="1:24" ht="15.75" customHeight="1">
      <c r="A1097" s="1">
        <v>1382866.0</v>
      </c>
      <c r="B1097" s="1" t="s">
        <v>4957</v>
      </c>
      <c r="C1097" s="1" t="s">
        <v>4958</v>
      </c>
      <c r="D1097" s="1" t="s">
        <v>4959</v>
      </c>
      <c r="E1097" s="1" t="s">
        <v>4960</v>
      </c>
      <c r="F1097" s="1" t="str">
        <f>"0850362296"</f>
        <v>0850362296</v>
      </c>
      <c r="G1097" s="1" t="str">
        <f>"9780850362299"</f>
        <v>9780850362299</v>
      </c>
      <c r="H1097" s="1">
        <v>0.0</v>
      </c>
      <c r="I1097" s="1">
        <v>4.38</v>
      </c>
      <c r="J1097" s="1" t="s">
        <v>4961</v>
      </c>
      <c r="K1097" s="1" t="s">
        <v>44</v>
      </c>
      <c r="L1097" s="1">
        <v>559.0</v>
      </c>
      <c r="M1097" s="1">
        <v>1977.0</v>
      </c>
      <c r="N1097" s="1">
        <v>1963.0</v>
      </c>
      <c r="P1097" s="2">
        <v>45115.0</v>
      </c>
      <c r="Q1097" s="1" t="s">
        <v>725</v>
      </c>
      <c r="R1097" s="1" t="s">
        <v>4962</v>
      </c>
      <c r="S1097" s="1" t="s">
        <v>32</v>
      </c>
      <c r="W1097" s="1">
        <v>0.0</v>
      </c>
      <c r="X1097" s="1">
        <v>0.0</v>
      </c>
    </row>
    <row r="1098" spans="1:24" ht="15.75" customHeight="1">
      <c r="A1098" s="1">
        <v>168033.0</v>
      </c>
      <c r="B1098" s="1" t="s">
        <v>4963</v>
      </c>
      <c r="C1098" s="1" t="s">
        <v>4958</v>
      </c>
      <c r="D1098" s="1" t="s">
        <v>4959</v>
      </c>
      <c r="F1098" s="1" t="str">
        <f>"0691015147"</f>
        <v>0691015147</v>
      </c>
      <c r="G1098" s="1" t="str">
        <f>"9780691015149"</f>
        <v>9780691015149</v>
      </c>
      <c r="H1098" s="1">
        <v>0.0</v>
      </c>
      <c r="I1098" s="1">
        <v>4.25</v>
      </c>
      <c r="J1098" s="1" t="s">
        <v>1011</v>
      </c>
      <c r="K1098" s="1" t="s">
        <v>44</v>
      </c>
      <c r="L1098" s="1">
        <v>720.0</v>
      </c>
      <c r="M1098" s="1">
        <v>1991.0</v>
      </c>
      <c r="N1098" s="1">
        <v>1903.0</v>
      </c>
      <c r="P1098" s="2">
        <v>45115.0</v>
      </c>
      <c r="Q1098" s="1" t="s">
        <v>725</v>
      </c>
      <c r="R1098" s="1" t="s">
        <v>4964</v>
      </c>
      <c r="S1098" s="1" t="s">
        <v>32</v>
      </c>
      <c r="W1098" s="1">
        <v>0.0</v>
      </c>
      <c r="X1098" s="1">
        <v>0.0</v>
      </c>
    </row>
    <row r="1099" spans="1:24" ht="15.75" customHeight="1">
      <c r="A1099" s="1">
        <v>30833.0</v>
      </c>
      <c r="B1099" s="1" t="s">
        <v>4965</v>
      </c>
      <c r="C1099" s="1" t="s">
        <v>4966</v>
      </c>
      <c r="D1099" s="1" t="s">
        <v>4967</v>
      </c>
      <c r="F1099" s="1" t="str">
        <f>"0375508732"</f>
        <v>0375508732</v>
      </c>
      <c r="G1099" s="1" t="str">
        <f>"9780375508738"</f>
        <v>9780375508738</v>
      </c>
      <c r="H1099" s="1">
        <v>0.0</v>
      </c>
      <c r="I1099" s="1">
        <v>4.3</v>
      </c>
      <c r="J1099" s="1" t="s">
        <v>1189</v>
      </c>
      <c r="K1099" s="1" t="s">
        <v>37</v>
      </c>
      <c r="L1099" s="1">
        <v>472.0</v>
      </c>
      <c r="M1099" s="1">
        <v>2002.0</v>
      </c>
      <c r="N1099" s="1">
        <v>1961.0</v>
      </c>
      <c r="P1099" s="2">
        <v>45304.0</v>
      </c>
      <c r="Q1099" s="1" t="s">
        <v>55</v>
      </c>
      <c r="R1099" s="1" t="s">
        <v>4968</v>
      </c>
      <c r="S1099" s="1" t="s">
        <v>32</v>
      </c>
      <c r="W1099" s="1">
        <v>0.0</v>
      </c>
      <c r="X1099" s="1">
        <v>0.0</v>
      </c>
    </row>
    <row r="1100" spans="1:24" ht="15.75" customHeight="1">
      <c r="A1100" s="1">
        <v>88047.0</v>
      </c>
      <c r="B1100" s="1" t="s">
        <v>4969</v>
      </c>
      <c r="C1100" s="1" t="s">
        <v>4970</v>
      </c>
      <c r="D1100" s="1" t="s">
        <v>4971</v>
      </c>
      <c r="F1100" s="1" t="str">
        <f>"1555974260"</f>
        <v>1555974260</v>
      </c>
      <c r="G1100" s="1" t="str">
        <f>"9781555974268"</f>
        <v>9781555974268</v>
      </c>
      <c r="H1100" s="1">
        <v>0.0</v>
      </c>
      <c r="I1100" s="1">
        <v>4.04</v>
      </c>
      <c r="J1100" s="1" t="s">
        <v>337</v>
      </c>
      <c r="K1100" s="1" t="s">
        <v>44</v>
      </c>
      <c r="L1100" s="1">
        <v>261.0</v>
      </c>
      <c r="M1100" s="1">
        <v>2005.0</v>
      </c>
      <c r="N1100" s="1">
        <v>2003.0</v>
      </c>
      <c r="P1100" s="2">
        <v>43957.0</v>
      </c>
      <c r="Q1100" s="1" t="s">
        <v>32</v>
      </c>
      <c r="R1100" s="1" t="s">
        <v>4972</v>
      </c>
      <c r="S1100" s="1" t="s">
        <v>32</v>
      </c>
      <c r="W1100" s="1">
        <v>0.0</v>
      </c>
      <c r="X1100" s="1">
        <v>0.0</v>
      </c>
    </row>
    <row r="1101" spans="1:24" ht="15.75" customHeight="1">
      <c r="A1101" s="1">
        <v>502872.0</v>
      </c>
      <c r="B1101" s="1" t="s">
        <v>4973</v>
      </c>
      <c r="C1101" s="1" t="s">
        <v>4974</v>
      </c>
      <c r="D1101" s="1" t="s">
        <v>4975</v>
      </c>
      <c r="F1101" s="1" t="str">
        <f>"0896597970"</f>
        <v>0896597970</v>
      </c>
      <c r="G1101" s="1" t="str">
        <f>"9780896597976"</f>
        <v>9780896597976</v>
      </c>
      <c r="H1101" s="1">
        <v>0.0</v>
      </c>
      <c r="I1101" s="1">
        <v>4.12</v>
      </c>
      <c r="J1101" s="1" t="s">
        <v>4976</v>
      </c>
      <c r="K1101" s="1" t="s">
        <v>37</v>
      </c>
      <c r="L1101" s="1">
        <v>286.0</v>
      </c>
      <c r="M1101" s="1">
        <v>1988.0</v>
      </c>
      <c r="N1101" s="1">
        <v>1988.0</v>
      </c>
      <c r="P1101" s="2">
        <v>45122.0</v>
      </c>
      <c r="Q1101" s="1" t="s">
        <v>109</v>
      </c>
      <c r="R1101" s="1" t="s">
        <v>4977</v>
      </c>
      <c r="S1101" s="1" t="s">
        <v>32</v>
      </c>
      <c r="W1101" s="1">
        <v>0.0</v>
      </c>
      <c r="X1101" s="1">
        <v>0.0</v>
      </c>
    </row>
    <row r="1102" spans="1:24" ht="15.75" customHeight="1">
      <c r="A1102" s="1">
        <v>4.0121987E7</v>
      </c>
      <c r="B1102" s="1" t="s">
        <v>4978</v>
      </c>
      <c r="C1102" s="1" t="s">
        <v>4979</v>
      </c>
      <c r="D1102" s="1" t="s">
        <v>4980</v>
      </c>
      <c r="F1102" s="1" t="str">
        <f>"0374279497"</f>
        <v>0374279497</v>
      </c>
      <c r="G1102" s="1" t="str">
        <f>"9780374279493"</f>
        <v>9780374279493</v>
      </c>
      <c r="H1102" s="1">
        <v>0.0</v>
      </c>
      <c r="I1102" s="1">
        <v>3.58</v>
      </c>
      <c r="J1102" s="1" t="s">
        <v>438</v>
      </c>
      <c r="K1102" s="1" t="s">
        <v>37</v>
      </c>
      <c r="L1102" s="1">
        <v>304.0</v>
      </c>
      <c r="M1102" s="1">
        <v>2019.0</v>
      </c>
      <c r="N1102" s="1">
        <v>2019.0</v>
      </c>
      <c r="P1102" s="2">
        <v>43952.0</v>
      </c>
      <c r="Q1102" s="1" t="s">
        <v>338</v>
      </c>
      <c r="R1102" s="1" t="s">
        <v>4981</v>
      </c>
      <c r="S1102" s="1" t="s">
        <v>32</v>
      </c>
      <c r="W1102" s="1">
        <v>0.0</v>
      </c>
      <c r="X1102" s="1">
        <v>0.0</v>
      </c>
    </row>
    <row r="1103" spans="1:24" ht="15.75" customHeight="1">
      <c r="A1103" s="1">
        <v>1.6059462E7</v>
      </c>
      <c r="B1103" s="1" t="s">
        <v>4982</v>
      </c>
      <c r="C1103" s="1" t="s">
        <v>4979</v>
      </c>
      <c r="D1103" s="1" t="s">
        <v>4980</v>
      </c>
      <c r="E1103" s="1" t="s">
        <v>4983</v>
      </c>
      <c r="F1103" s="1" t="str">
        <f>"0374157693"</f>
        <v>0374157693</v>
      </c>
      <c r="G1103" s="1" t="str">
        <f>"9780374157692"</f>
        <v>9780374157692</v>
      </c>
      <c r="H1103" s="1">
        <v>0.0</v>
      </c>
      <c r="I1103" s="1">
        <v>3.95</v>
      </c>
      <c r="J1103" s="1" t="s">
        <v>438</v>
      </c>
      <c r="K1103" s="1" t="s">
        <v>37</v>
      </c>
      <c r="L1103" s="1">
        <v>320.0</v>
      </c>
      <c r="M1103" s="1">
        <v>2013.0</v>
      </c>
      <c r="N1103" s="1">
        <v>2013.0</v>
      </c>
      <c r="P1103" s="2">
        <v>43919.0</v>
      </c>
      <c r="Q1103" s="1" t="s">
        <v>32</v>
      </c>
      <c r="R1103" s="1" t="s">
        <v>4984</v>
      </c>
      <c r="S1103" s="1" t="s">
        <v>32</v>
      </c>
      <c r="W1103" s="1">
        <v>0.0</v>
      </c>
      <c r="X1103" s="1">
        <v>0.0</v>
      </c>
    </row>
    <row r="1104" spans="1:24" ht="15.75" customHeight="1">
      <c r="A1104" s="1">
        <v>1825375.0</v>
      </c>
      <c r="B1104" s="1" t="s">
        <v>4985</v>
      </c>
      <c r="C1104" s="1" t="s">
        <v>4986</v>
      </c>
      <c r="D1104" s="1" t="s">
        <v>4987</v>
      </c>
      <c r="F1104" s="1" t="str">
        <f>"847880904X"</f>
        <v>847880904X</v>
      </c>
      <c r="G1104" s="1" t="str">
        <f>"9788478809042"</f>
        <v>9788478809042</v>
      </c>
      <c r="H1104" s="1">
        <v>0.0</v>
      </c>
      <c r="I1104" s="1">
        <v>4.07</v>
      </c>
      <c r="J1104" s="1" t="s">
        <v>4988</v>
      </c>
      <c r="K1104" s="1" t="s">
        <v>44</v>
      </c>
      <c r="L1104" s="1">
        <v>356.0</v>
      </c>
      <c r="M1104" s="1">
        <v>1998.0</v>
      </c>
      <c r="N1104" s="1">
        <v>1932.0</v>
      </c>
      <c r="P1104" s="2">
        <v>43970.0</v>
      </c>
      <c r="Q1104" s="1" t="s">
        <v>32</v>
      </c>
      <c r="R1104" s="1" t="s">
        <v>4989</v>
      </c>
      <c r="S1104" s="1" t="s">
        <v>32</v>
      </c>
      <c r="W1104" s="1">
        <v>0.0</v>
      </c>
      <c r="X1104" s="1">
        <v>0.0</v>
      </c>
    </row>
    <row r="1105" spans="1:24" ht="15.75" customHeight="1">
      <c r="A1105" s="1">
        <v>1991.0</v>
      </c>
      <c r="B1105" s="1" t="s">
        <v>4990</v>
      </c>
      <c r="C1105" s="1" t="s">
        <v>4991</v>
      </c>
      <c r="D1105" s="1" t="s">
        <v>4992</v>
      </c>
      <c r="F1105" s="1" t="str">
        <f>"0465031269"</f>
        <v>0465031269</v>
      </c>
      <c r="G1105" s="1" t="str">
        <f>"9780465031269"</f>
        <v>9780465031269</v>
      </c>
      <c r="H1105" s="1">
        <v>0.0</v>
      </c>
      <c r="I1105" s="1">
        <v>3.7</v>
      </c>
      <c r="J1105" s="1" t="s">
        <v>1536</v>
      </c>
      <c r="K1105" s="1" t="s">
        <v>44</v>
      </c>
      <c r="L1105" s="1">
        <v>176.0</v>
      </c>
      <c r="M1105" s="1">
        <v>1998.0</v>
      </c>
      <c r="N1105" s="1">
        <v>1997.0</v>
      </c>
      <c r="P1105" s="2">
        <v>43992.0</v>
      </c>
      <c r="Q1105" s="1" t="s">
        <v>32</v>
      </c>
      <c r="R1105" s="1" t="s">
        <v>4993</v>
      </c>
      <c r="S1105" s="1" t="s">
        <v>32</v>
      </c>
      <c r="W1105" s="1">
        <v>0.0</v>
      </c>
      <c r="X1105" s="1">
        <v>0.0</v>
      </c>
    </row>
    <row r="1106" spans="1:24" ht="15.75" customHeight="1">
      <c r="A1106" s="1">
        <v>6.0880789E7</v>
      </c>
      <c r="B1106" s="1" t="s">
        <v>4994</v>
      </c>
      <c r="C1106" s="1" t="s">
        <v>4995</v>
      </c>
      <c r="D1106" s="1" t="s">
        <v>4996</v>
      </c>
      <c r="F1106" s="1" t="str">
        <f>"0593185234"</f>
        <v>0593185234</v>
      </c>
      <c r="G1106" s="1" t="str">
        <f>"9780593185230"</f>
        <v>9780593185230</v>
      </c>
      <c r="H1106" s="1">
        <v>0.0</v>
      </c>
      <c r="I1106" s="1">
        <v>4.07</v>
      </c>
      <c r="J1106" s="1" t="s">
        <v>2282</v>
      </c>
      <c r="K1106" s="1" t="s">
        <v>37</v>
      </c>
      <c r="L1106" s="1">
        <v>384.0</v>
      </c>
      <c r="M1106" s="1">
        <v>2023.0</v>
      </c>
      <c r="P1106" s="3">
        <v>44922.0</v>
      </c>
      <c r="Q1106" s="1" t="s">
        <v>55</v>
      </c>
      <c r="R1106" s="1" t="s">
        <v>4997</v>
      </c>
      <c r="S1106" s="1" t="s">
        <v>32</v>
      </c>
      <c r="W1106" s="1">
        <v>0.0</v>
      </c>
      <c r="X1106" s="1">
        <v>0.0</v>
      </c>
    </row>
    <row r="1107" spans="1:24" ht="15.75" customHeight="1">
      <c r="A1107" s="1">
        <v>6.1540891E7</v>
      </c>
      <c r="B1107" s="1" t="s">
        <v>4998</v>
      </c>
      <c r="C1107" s="1" t="s">
        <v>4999</v>
      </c>
      <c r="D1107" s="1" t="s">
        <v>5000</v>
      </c>
      <c r="F1107" s="1" t="str">
        <f>"1914237048"</f>
        <v>1914237048</v>
      </c>
      <c r="G1107" s="1" t="str">
        <f>"9781914237041"</f>
        <v>9781914237041</v>
      </c>
      <c r="H1107" s="1">
        <v>0.0</v>
      </c>
      <c r="I1107" s="1">
        <v>3.73</v>
      </c>
      <c r="J1107" s="1" t="s">
        <v>5001</v>
      </c>
      <c r="K1107" s="1" t="s">
        <v>44</v>
      </c>
      <c r="L1107" s="1">
        <v>198.0</v>
      </c>
      <c r="M1107" s="1">
        <v>2022.0</v>
      </c>
      <c r="P1107" s="2">
        <v>45172.0</v>
      </c>
      <c r="Q1107" s="1" t="s">
        <v>109</v>
      </c>
      <c r="R1107" s="1" t="s">
        <v>5002</v>
      </c>
      <c r="S1107" s="1" t="s">
        <v>32</v>
      </c>
      <c r="W1107" s="1">
        <v>0.0</v>
      </c>
      <c r="X1107" s="1">
        <v>0.0</v>
      </c>
    </row>
    <row r="1108" spans="1:24" ht="15.75" customHeight="1">
      <c r="A1108" s="1">
        <v>5.3010183E7</v>
      </c>
      <c r="B1108" s="1" t="s">
        <v>5003</v>
      </c>
      <c r="C1108" s="1" t="s">
        <v>5004</v>
      </c>
      <c r="D1108" s="1" t="s">
        <v>5005</v>
      </c>
      <c r="F1108" s="1" t="str">
        <f t="shared" si="77" ref="F1108:G1108">""</f>
        <v/>
      </c>
      <c r="G1108" s="1" t="str">
        <f t="shared" si="77"/>
        <v/>
      </c>
      <c r="H1108" s="1">
        <v>0.0</v>
      </c>
      <c r="I1108" s="1">
        <v>3.24</v>
      </c>
      <c r="J1108" s="1" t="s">
        <v>1504</v>
      </c>
      <c r="K1108" s="1" t="s">
        <v>44</v>
      </c>
      <c r="L1108" s="1">
        <v>256.0</v>
      </c>
      <c r="M1108" s="1">
        <v>2020.0</v>
      </c>
      <c r="N1108" s="1">
        <v>2020.0</v>
      </c>
      <c r="P1108" s="3">
        <v>44181.0</v>
      </c>
      <c r="Q1108" s="1" t="s">
        <v>32</v>
      </c>
      <c r="R1108" s="1" t="s">
        <v>5006</v>
      </c>
      <c r="S1108" s="1" t="s">
        <v>32</v>
      </c>
      <c r="W1108" s="1">
        <v>0.0</v>
      </c>
      <c r="X1108" s="1">
        <v>0.0</v>
      </c>
    </row>
    <row r="1109" spans="1:24" ht="15.75" customHeight="1">
      <c r="A1109" s="1">
        <v>5.9415292E7</v>
      </c>
      <c r="B1109" s="1" t="s">
        <v>5007</v>
      </c>
      <c r="C1109" s="1" t="s">
        <v>5008</v>
      </c>
      <c r="D1109" s="1" t="s">
        <v>5009</v>
      </c>
      <c r="E1109" s="1" t="s">
        <v>5010</v>
      </c>
      <c r="F1109" s="1" t="str">
        <f>"1909526827"</f>
        <v>1909526827</v>
      </c>
      <c r="G1109" s="1" t="str">
        <f>"9781909526822"</f>
        <v>9781909526822</v>
      </c>
      <c r="H1109" s="1">
        <v>0.0</v>
      </c>
      <c r="I1109" s="1">
        <v>4.39</v>
      </c>
      <c r="J1109" s="1" t="s">
        <v>5011</v>
      </c>
      <c r="K1109" s="1" t="s">
        <v>37</v>
      </c>
      <c r="L1109" s="1">
        <v>224.0</v>
      </c>
      <c r="M1109" s="1">
        <v>2021.0</v>
      </c>
      <c r="P1109" s="2">
        <v>45129.0</v>
      </c>
      <c r="Q1109" s="1" t="s">
        <v>5012</v>
      </c>
      <c r="R1109" s="1" t="s">
        <v>5013</v>
      </c>
      <c r="S1109" s="1" t="s">
        <v>32</v>
      </c>
      <c r="W1109" s="1">
        <v>0.0</v>
      </c>
      <c r="X1109" s="1">
        <v>0.0</v>
      </c>
    </row>
    <row r="1110" spans="1:24" ht="15.75" customHeight="1">
      <c r="A1110" s="1">
        <v>1.7655849E7</v>
      </c>
      <c r="B1110" s="1" t="s">
        <v>5014</v>
      </c>
      <c r="C1110" s="1" t="s">
        <v>5015</v>
      </c>
      <c r="D1110" s="1" t="s">
        <v>5016</v>
      </c>
      <c r="E1110" s="1" t="s">
        <v>5017</v>
      </c>
      <c r="F1110" s="1" t="str">
        <f>"1936747642"</f>
        <v>1936747642</v>
      </c>
      <c r="G1110" s="1" t="str">
        <f>"9781936747641"</f>
        <v>9781936747641</v>
      </c>
      <c r="H1110" s="1">
        <v>0.0</v>
      </c>
      <c r="I1110" s="1">
        <v>3.58</v>
      </c>
      <c r="J1110" s="1" t="s">
        <v>5018</v>
      </c>
      <c r="K1110" s="1" t="s">
        <v>44</v>
      </c>
      <c r="L1110" s="1">
        <v>176.0</v>
      </c>
      <c r="M1110" s="1">
        <v>2013.0</v>
      </c>
      <c r="N1110" s="1">
        <v>2013.0</v>
      </c>
      <c r="P1110" s="2">
        <v>44814.0</v>
      </c>
      <c r="Q1110" s="1" t="s">
        <v>421</v>
      </c>
      <c r="R1110" s="1" t="s">
        <v>5019</v>
      </c>
      <c r="S1110" s="1" t="s">
        <v>32</v>
      </c>
      <c r="W1110" s="1">
        <v>0.0</v>
      </c>
      <c r="X1110" s="1">
        <v>0.0</v>
      </c>
    </row>
    <row r="1111" spans="1:24" ht="15.75" customHeight="1">
      <c r="A1111" s="1">
        <v>1803369.0</v>
      </c>
      <c r="B1111" s="1" t="s">
        <v>5020</v>
      </c>
      <c r="C1111" s="1" t="s">
        <v>5021</v>
      </c>
      <c r="D1111" s="1" t="s">
        <v>5022</v>
      </c>
      <c r="F1111" s="1" t="str">
        <f>"9875662550"</f>
        <v>9875662550</v>
      </c>
      <c r="G1111" s="1" t="str">
        <f>"9789875662551"</f>
        <v>9789875662551</v>
      </c>
      <c r="H1111" s="1">
        <v>0.0</v>
      </c>
      <c r="I1111" s="1">
        <v>3.97</v>
      </c>
      <c r="J1111" s="1" t="s">
        <v>5023</v>
      </c>
      <c r="K1111" s="1" t="s">
        <v>44</v>
      </c>
      <c r="L1111" s="1">
        <v>359.0</v>
      </c>
      <c r="M1111" s="1">
        <v>2014.0</v>
      </c>
      <c r="N1111" s="1">
        <v>1994.0</v>
      </c>
      <c r="P1111" s="2">
        <v>44258.0</v>
      </c>
      <c r="Q1111" s="1" t="s">
        <v>32</v>
      </c>
      <c r="R1111" s="1" t="s">
        <v>5024</v>
      </c>
      <c r="S1111" s="1" t="s">
        <v>32</v>
      </c>
      <c r="W1111" s="1">
        <v>0.0</v>
      </c>
      <c r="X1111" s="1">
        <v>0.0</v>
      </c>
    </row>
    <row r="1112" spans="1:24" ht="15.75" customHeight="1">
      <c r="A1112" s="1">
        <v>1.6073585E7</v>
      </c>
      <c r="B1112" s="1" t="s">
        <v>5025</v>
      </c>
      <c r="C1112" s="1" t="s">
        <v>5026</v>
      </c>
      <c r="D1112" s="1" t="s">
        <v>5027</v>
      </c>
      <c r="F1112" s="1" t="str">
        <f>"8433972367"</f>
        <v>8433972367</v>
      </c>
      <c r="G1112" s="1" t="str">
        <f>"9788433972361"</f>
        <v>9788433972361</v>
      </c>
      <c r="H1112" s="1">
        <v>0.0</v>
      </c>
      <c r="I1112" s="1">
        <v>2.82</v>
      </c>
      <c r="J1112" s="1" t="s">
        <v>275</v>
      </c>
      <c r="K1112" s="1" t="s">
        <v>44</v>
      </c>
      <c r="L1112" s="1">
        <v>200.0</v>
      </c>
      <c r="M1112" s="1">
        <v>2012.0</v>
      </c>
      <c r="N1112" s="1">
        <v>2012.0</v>
      </c>
      <c r="P1112" s="2">
        <v>43968.0</v>
      </c>
      <c r="Q1112" s="1" t="s">
        <v>32</v>
      </c>
      <c r="R1112" s="1" t="s">
        <v>5028</v>
      </c>
      <c r="S1112" s="1" t="s">
        <v>32</v>
      </c>
      <c r="W1112" s="1">
        <v>0.0</v>
      </c>
      <c r="X1112" s="1">
        <v>0.0</v>
      </c>
    </row>
    <row r="1113" spans="1:24" ht="15.75" customHeight="1">
      <c r="A1113" s="1">
        <v>293101.0</v>
      </c>
      <c r="B1113" s="1" t="s">
        <v>5029</v>
      </c>
      <c r="C1113" s="1" t="s">
        <v>5030</v>
      </c>
      <c r="D1113" s="1" t="s">
        <v>5031</v>
      </c>
      <c r="F1113" s="1" t="str">
        <f>"0553116606"</f>
        <v>0553116606</v>
      </c>
      <c r="G1113" s="1" t="str">
        <f>"9780553116601"</f>
        <v>9780553116601</v>
      </c>
      <c r="H1113" s="1">
        <v>0.0</v>
      </c>
      <c r="I1113" s="1">
        <v>3.84</v>
      </c>
      <c r="J1113" s="1" t="s">
        <v>4389</v>
      </c>
      <c r="K1113" s="1" t="s">
        <v>1225</v>
      </c>
      <c r="L1113" s="1">
        <v>315.0</v>
      </c>
      <c r="M1113" s="1">
        <v>1978.0</v>
      </c>
      <c r="N1113" s="1">
        <v>1977.0</v>
      </c>
      <c r="P1113" s="2">
        <v>41035.0</v>
      </c>
      <c r="Q1113" s="1" t="s">
        <v>502</v>
      </c>
      <c r="R1113" s="1" t="s">
        <v>5032</v>
      </c>
      <c r="S1113" s="1" t="s">
        <v>32</v>
      </c>
      <c r="W1113" s="1">
        <v>0.0</v>
      </c>
      <c r="X1113" s="1">
        <v>0.0</v>
      </c>
    </row>
    <row r="1114" spans="1:24" ht="15.75" customHeight="1">
      <c r="A1114" s="1">
        <v>2813153.0</v>
      </c>
      <c r="B1114" s="1" t="s">
        <v>5033</v>
      </c>
      <c r="C1114" s="1" t="s">
        <v>5034</v>
      </c>
      <c r="D1114" s="1" t="s">
        <v>5035</v>
      </c>
      <c r="F1114" s="1" t="str">
        <f>"159514188X"</f>
        <v>159514188X</v>
      </c>
      <c r="G1114" s="1" t="str">
        <f>"9781595141880"</f>
        <v>9781595141880</v>
      </c>
      <c r="H1114" s="1">
        <v>5.0</v>
      </c>
      <c r="I1114" s="1">
        <v>3.85</v>
      </c>
      <c r="J1114" s="1" t="s">
        <v>5036</v>
      </c>
      <c r="K1114" s="1" t="s">
        <v>44</v>
      </c>
      <c r="L1114" s="1">
        <v>288.0</v>
      </c>
      <c r="M1114" s="1">
        <v>2011.0</v>
      </c>
      <c r="N1114" s="1">
        <v>2007.0</v>
      </c>
      <c r="O1114" s="2">
        <v>40915.0</v>
      </c>
      <c r="P1114" s="3">
        <v>40894.0</v>
      </c>
      <c r="S1114" s="1" t="s">
        <v>271</v>
      </c>
      <c r="W1114" s="1">
        <v>1.0</v>
      </c>
      <c r="X1114" s="1">
        <v>0.0</v>
      </c>
    </row>
    <row r="1115" spans="1:24" ht="15.75" customHeight="1">
      <c r="A1115" s="1">
        <v>5.1997883E7</v>
      </c>
      <c r="B1115" s="1" t="s">
        <v>5037</v>
      </c>
      <c r="C1115" s="1" t="s">
        <v>5038</v>
      </c>
      <c r="D1115" s="1" t="s">
        <v>5039</v>
      </c>
      <c r="F1115" s="1" t="str">
        <f t="shared" si="78" ref="F1115:G1115">""</f>
        <v/>
      </c>
      <c r="G1115" s="1" t="str">
        <f t="shared" si="78"/>
        <v/>
      </c>
      <c r="H1115" s="1">
        <v>0.0</v>
      </c>
      <c r="I1115" s="1">
        <v>4.13</v>
      </c>
      <c r="J1115" s="1" t="s">
        <v>5040</v>
      </c>
      <c r="L1115" s="1">
        <v>320.0</v>
      </c>
      <c r="M1115" s="1">
        <v>2020.0</v>
      </c>
      <c r="N1115" s="1">
        <v>2020.0</v>
      </c>
      <c r="P1115" s="2">
        <v>44258.0</v>
      </c>
      <c r="Q1115" s="1" t="s">
        <v>32</v>
      </c>
      <c r="R1115" s="1" t="s">
        <v>5041</v>
      </c>
      <c r="S1115" s="1" t="s">
        <v>32</v>
      </c>
      <c r="W1115" s="1">
        <v>0.0</v>
      </c>
      <c r="X1115" s="1">
        <v>0.0</v>
      </c>
    </row>
    <row r="1116" spans="1:24" ht="15.75" customHeight="1">
      <c r="A1116" s="1">
        <v>37327.0</v>
      </c>
      <c r="B1116" s="1" t="s">
        <v>5042</v>
      </c>
      <c r="C1116" s="1" t="s">
        <v>5043</v>
      </c>
      <c r="D1116" s="1" t="s">
        <v>5044</v>
      </c>
      <c r="E1116" s="1" t="s">
        <v>5045</v>
      </c>
      <c r="F1116" s="1" t="str">
        <f>"1859844480"</f>
        <v>1859844480</v>
      </c>
      <c r="G1116" s="1" t="str">
        <f>"9781859844489"</f>
        <v>9781859844489</v>
      </c>
      <c r="H1116" s="1">
        <v>0.0</v>
      </c>
      <c r="I1116" s="1">
        <v>3.77</v>
      </c>
      <c r="J1116" s="1" t="s">
        <v>367</v>
      </c>
      <c r="K1116" s="1" t="s">
        <v>44</v>
      </c>
      <c r="L1116" s="1">
        <v>120.0</v>
      </c>
      <c r="M1116" s="1">
        <v>2003.0</v>
      </c>
      <c r="N1116" s="1">
        <v>2001.0</v>
      </c>
      <c r="P1116" s="2">
        <v>43046.0</v>
      </c>
      <c r="Q1116" s="1" t="s">
        <v>553</v>
      </c>
      <c r="R1116" s="1" t="s">
        <v>5046</v>
      </c>
      <c r="S1116" s="1" t="s">
        <v>32</v>
      </c>
      <c r="W1116" s="1">
        <v>0.0</v>
      </c>
      <c r="X1116" s="1">
        <v>0.0</v>
      </c>
    </row>
    <row r="1117" spans="1:24" ht="15.75" customHeight="1">
      <c r="A1117" s="1">
        <v>1.8298295E7</v>
      </c>
      <c r="B1117" s="1" t="s">
        <v>5047</v>
      </c>
      <c r="C1117" s="1" t="s">
        <v>5043</v>
      </c>
      <c r="D1117" s="1" t="s">
        <v>5044</v>
      </c>
      <c r="F1117" s="1" t="str">
        <f>"849589713X"</f>
        <v>849589713X</v>
      </c>
      <c r="G1117" s="1" t="str">
        <f>"9788495897138"</f>
        <v>9788495897138</v>
      </c>
      <c r="H1117" s="1">
        <v>0.0</v>
      </c>
      <c r="I1117" s="1">
        <v>3.51</v>
      </c>
      <c r="J1117" s="1" t="s">
        <v>5048</v>
      </c>
      <c r="K1117" s="1" t="s">
        <v>44</v>
      </c>
      <c r="L1117" s="1">
        <v>87.0</v>
      </c>
      <c r="M1117" s="1">
        <v>2003.0</v>
      </c>
      <c r="N1117" s="1">
        <v>2002.0</v>
      </c>
      <c r="P1117" s="3">
        <v>45278.0</v>
      </c>
      <c r="Q1117" s="1" t="s">
        <v>479</v>
      </c>
      <c r="R1117" s="1" t="s">
        <v>5049</v>
      </c>
      <c r="S1117" s="1" t="s">
        <v>32</v>
      </c>
      <c r="W1117" s="1">
        <v>0.0</v>
      </c>
      <c r="X1117" s="1">
        <v>0.0</v>
      </c>
    </row>
    <row r="1118" spans="1:24" ht="15.75" customHeight="1">
      <c r="A1118" s="1">
        <v>22613.0</v>
      </c>
      <c r="B1118" s="1" t="s">
        <v>5050</v>
      </c>
      <c r="C1118" s="1" t="s">
        <v>5043</v>
      </c>
      <c r="D1118" s="1" t="s">
        <v>5044</v>
      </c>
      <c r="E1118" s="1" t="s">
        <v>5051</v>
      </c>
      <c r="F1118" s="1" t="str">
        <f>"0472065211"</f>
        <v>0472065211</v>
      </c>
      <c r="G1118" s="1" t="str">
        <f>"9780472065219"</f>
        <v>9780472065219</v>
      </c>
      <c r="H1118" s="1">
        <v>0.0</v>
      </c>
      <c r="I1118" s="1">
        <v>3.99</v>
      </c>
      <c r="J1118" s="1" t="s">
        <v>5052</v>
      </c>
      <c r="K1118" s="1" t="s">
        <v>44</v>
      </c>
      <c r="L1118" s="1">
        <v>164.0</v>
      </c>
      <c r="M1118" s="1">
        <v>1994.0</v>
      </c>
      <c r="N1118" s="1">
        <v>1981.0</v>
      </c>
      <c r="P1118" s="2">
        <v>43969.0</v>
      </c>
      <c r="Q1118" s="1" t="s">
        <v>32</v>
      </c>
      <c r="R1118" s="1" t="s">
        <v>5053</v>
      </c>
      <c r="S1118" s="1" t="s">
        <v>32</v>
      </c>
      <c r="W1118" s="1">
        <v>0.0</v>
      </c>
      <c r="X1118" s="1">
        <v>0.0</v>
      </c>
    </row>
    <row r="1119" spans="1:24" ht="15.75" customHeight="1">
      <c r="A1119" s="1">
        <v>89271.0</v>
      </c>
      <c r="B1119" s="1" t="s">
        <v>5054</v>
      </c>
      <c r="C1119" s="1" t="s">
        <v>5055</v>
      </c>
      <c r="D1119" s="1" t="s">
        <v>5056</v>
      </c>
      <c r="E1119" s="1" t="s">
        <v>5057</v>
      </c>
      <c r="F1119" s="1" t="str">
        <f>"0140512543"</f>
        <v>0140512543</v>
      </c>
      <c r="G1119" s="1" t="str">
        <f>"9780140512540"</f>
        <v>9780140512540</v>
      </c>
      <c r="H1119" s="1">
        <v>0.0</v>
      </c>
      <c r="I1119" s="1">
        <v>4.32</v>
      </c>
      <c r="J1119" s="1" t="s">
        <v>61</v>
      </c>
      <c r="K1119" s="1" t="s">
        <v>44</v>
      </c>
      <c r="L1119" s="1">
        <v>1184.0</v>
      </c>
      <c r="M1119" s="1">
        <v>1997.0</v>
      </c>
      <c r="N1119" s="1">
        <v>1982.0</v>
      </c>
      <c r="P1119" s="2">
        <v>43934.0</v>
      </c>
      <c r="Q1119" s="1" t="s">
        <v>1132</v>
      </c>
      <c r="R1119" s="1" t="s">
        <v>5058</v>
      </c>
      <c r="S1119" s="1" t="s">
        <v>32</v>
      </c>
      <c r="W1119" s="1">
        <v>0.0</v>
      </c>
      <c r="X1119" s="1">
        <v>0.0</v>
      </c>
    </row>
    <row r="1120" spans="1:24" ht="15.75" customHeight="1">
      <c r="A1120" s="1">
        <v>1900454.0</v>
      </c>
      <c r="B1120" s="1" t="s">
        <v>5059</v>
      </c>
      <c r="C1120" s="1" t="s">
        <v>5060</v>
      </c>
      <c r="D1120" s="1" t="s">
        <v>5061</v>
      </c>
      <c r="F1120" s="1" t="str">
        <f t="shared" si="79" ref="F1120:G1120">""</f>
        <v/>
      </c>
      <c r="G1120" s="1" t="str">
        <f t="shared" si="79"/>
        <v/>
      </c>
      <c r="H1120" s="1">
        <v>0.0</v>
      </c>
      <c r="I1120" s="1">
        <v>3.82</v>
      </c>
      <c r="J1120" s="1" t="s">
        <v>5062</v>
      </c>
      <c r="K1120" s="1" t="s">
        <v>37</v>
      </c>
      <c r="L1120" s="1">
        <v>88.0</v>
      </c>
      <c r="M1120" s="1">
        <v>1958.0</v>
      </c>
      <c r="N1120" s="1">
        <v>1927.0</v>
      </c>
      <c r="P1120" s="2">
        <v>44808.0</v>
      </c>
      <c r="Q1120" s="1" t="s">
        <v>32</v>
      </c>
      <c r="R1120" s="1" t="s">
        <v>5063</v>
      </c>
      <c r="S1120" s="1" t="s">
        <v>32</v>
      </c>
      <c r="W1120" s="1">
        <v>0.0</v>
      </c>
      <c r="X1120" s="1">
        <v>0.0</v>
      </c>
    </row>
    <row r="1121" spans="1:24" ht="15.75" customHeight="1">
      <c r="A1121" s="1">
        <v>6.6196167E7</v>
      </c>
      <c r="B1121" s="1" t="s">
        <v>5064</v>
      </c>
      <c r="C1121" s="1" t="s">
        <v>5065</v>
      </c>
      <c r="D1121" s="1" t="s">
        <v>5066</v>
      </c>
      <c r="F1121" s="1" t="str">
        <f>"1290524270"</f>
        <v>1290524270</v>
      </c>
      <c r="G1121" s="1" t="str">
        <f>"9781290524278"</f>
        <v>9781290524278</v>
      </c>
      <c r="H1121" s="1">
        <v>0.0</v>
      </c>
      <c r="I1121" s="1">
        <v>3.75</v>
      </c>
      <c r="J1121" s="1" t="s">
        <v>5067</v>
      </c>
      <c r="K1121" s="1" t="s">
        <v>44</v>
      </c>
      <c r="L1121" s="1">
        <v>540.0</v>
      </c>
      <c r="M1121" s="1">
        <v>2012.0</v>
      </c>
      <c r="N1121" s="1">
        <v>2007.0</v>
      </c>
      <c r="P1121" s="2">
        <v>45189.0</v>
      </c>
      <c r="Q1121" s="1" t="s">
        <v>249</v>
      </c>
      <c r="R1121" s="1" t="s">
        <v>5068</v>
      </c>
      <c r="S1121" s="1" t="s">
        <v>32</v>
      </c>
      <c r="W1121" s="1">
        <v>0.0</v>
      </c>
      <c r="X1121" s="1">
        <v>0.0</v>
      </c>
    </row>
    <row r="1122" spans="1:24" ht="15.75" customHeight="1">
      <c r="A1122" s="1">
        <v>53003.0</v>
      </c>
      <c r="B1122" s="1" t="s">
        <v>5069</v>
      </c>
      <c r="C1122" s="1" t="s">
        <v>5070</v>
      </c>
      <c r="D1122" s="1" t="s">
        <v>5071</v>
      </c>
      <c r="E1122" s="1" t="s">
        <v>5072</v>
      </c>
      <c r="F1122" s="1" t="str">
        <f>"1596541369"</f>
        <v>1596541369</v>
      </c>
      <c r="G1122" s="1" t="str">
        <f>"9781596541368"</f>
        <v>9781596541368</v>
      </c>
      <c r="H1122" s="1">
        <v>0.0</v>
      </c>
      <c r="I1122" s="1">
        <v>4.02</v>
      </c>
      <c r="J1122" s="94" t="s">
        <v>5073</v>
      </c>
      <c r="K1122" s="1" t="s">
        <v>44</v>
      </c>
      <c r="L1122" s="1">
        <v>216.0</v>
      </c>
      <c r="M1122" s="1">
        <v>2004.0</v>
      </c>
      <c r="N1122" s="1">
        <v>1943.0</v>
      </c>
      <c r="P1122" s="2">
        <v>42573.0</v>
      </c>
      <c r="Q1122" s="1" t="s">
        <v>1110</v>
      </c>
      <c r="R1122" s="1" t="s">
        <v>5074</v>
      </c>
      <c r="S1122" s="1" t="s">
        <v>32</v>
      </c>
      <c r="W1122" s="1">
        <v>0.0</v>
      </c>
      <c r="X1122" s="1">
        <v>0.0</v>
      </c>
    </row>
    <row r="1123" spans="1:24" ht="15.75" customHeight="1">
      <c r="A1123" s="1">
        <v>1205517.0</v>
      </c>
      <c r="B1123" s="1" t="s">
        <v>5075</v>
      </c>
      <c r="C1123" s="1" t="s">
        <v>5076</v>
      </c>
      <c r="D1123" s="1" t="s">
        <v>5077</v>
      </c>
      <c r="E1123" s="1" t="s">
        <v>5078</v>
      </c>
      <c r="F1123" s="1" t="str">
        <f>"0691029881"</f>
        <v>0691029881</v>
      </c>
      <c r="G1123" s="1" t="str">
        <f>"9780691029887"</f>
        <v>9780691029887</v>
      </c>
      <c r="H1123" s="1">
        <v>0.0</v>
      </c>
      <c r="I1123" s="1">
        <v>4.19</v>
      </c>
      <c r="J1123" s="1" t="s">
        <v>1011</v>
      </c>
      <c r="K1123" s="1" t="s">
        <v>44</v>
      </c>
      <c r="L1123" s="1">
        <v>392.0</v>
      </c>
      <c r="M1123" s="1">
        <v>1953.0</v>
      </c>
      <c r="N1123" s="1">
        <v>1940.0</v>
      </c>
      <c r="P1123" s="2">
        <v>44959.0</v>
      </c>
      <c r="Q1123" s="1" t="s">
        <v>32</v>
      </c>
      <c r="R1123" s="1" t="s">
        <v>5079</v>
      </c>
      <c r="S1123" s="1" t="s">
        <v>32</v>
      </c>
      <c r="W1123" s="1">
        <v>0.0</v>
      </c>
      <c r="X1123" s="1">
        <v>0.0</v>
      </c>
    </row>
    <row r="1124" spans="1:24" ht="15.75" customHeight="1">
      <c r="A1124" s="1">
        <v>193755.0</v>
      </c>
      <c r="B1124" s="1" t="s">
        <v>5080</v>
      </c>
      <c r="C1124" s="1" t="s">
        <v>5081</v>
      </c>
      <c r="D1124" s="1" t="s">
        <v>5082</v>
      </c>
      <c r="E1124" s="1" t="s">
        <v>5083</v>
      </c>
      <c r="F1124" s="1" t="str">
        <f>"0375701214"</f>
        <v>0375701214</v>
      </c>
      <c r="G1124" s="1" t="str">
        <f>"9780375701214"</f>
        <v>9780375701214</v>
      </c>
      <c r="H1124" s="1">
        <v>0.0</v>
      </c>
      <c r="I1124" s="1">
        <v>3.98</v>
      </c>
      <c r="J1124" s="1" t="s">
        <v>69</v>
      </c>
      <c r="K1124" s="1" t="s">
        <v>44</v>
      </c>
      <c r="L1124" s="1">
        <v>132.0</v>
      </c>
      <c r="M1124" s="1">
        <v>1998.0</v>
      </c>
      <c r="N1124" s="1">
        <v>1997.0</v>
      </c>
      <c r="P1124" s="2">
        <v>45101.0</v>
      </c>
      <c r="Q1124" s="1" t="s">
        <v>1739</v>
      </c>
      <c r="R1124" s="1" t="s">
        <v>5084</v>
      </c>
      <c r="S1124" s="1" t="s">
        <v>32</v>
      </c>
      <c r="W1124" s="1">
        <v>0.0</v>
      </c>
      <c r="X1124" s="1">
        <v>0.0</v>
      </c>
    </row>
    <row r="1125" spans="1:24" ht="15.75" customHeight="1">
      <c r="A1125" s="1">
        <v>128456.0</v>
      </c>
      <c r="B1125" s="1" t="s">
        <v>5085</v>
      </c>
      <c r="C1125" s="1" t="s">
        <v>5086</v>
      </c>
      <c r="D1125" s="1" t="s">
        <v>5087</v>
      </c>
      <c r="E1125" s="1" t="s">
        <v>5088</v>
      </c>
      <c r="F1125" s="1" t="str">
        <f>"1566492513"</f>
        <v>1566492513</v>
      </c>
      <c r="G1125" s="1" t="str">
        <f>"9781566492515"</f>
        <v>9781566492515</v>
      </c>
      <c r="H1125" s="1">
        <v>0.0</v>
      </c>
      <c r="I1125" s="1">
        <v>4.11</v>
      </c>
      <c r="J1125" s="1" t="s">
        <v>5089</v>
      </c>
      <c r="K1125" s="1" t="s">
        <v>44</v>
      </c>
      <c r="L1125" s="1">
        <v>480.0</v>
      </c>
      <c r="M1125" s="1">
        <v>2002.0</v>
      </c>
      <c r="N1125" s="1">
        <v>2001.0</v>
      </c>
      <c r="P1125" s="2">
        <v>44250.0</v>
      </c>
      <c r="Q1125" s="1" t="s">
        <v>32</v>
      </c>
      <c r="R1125" s="1" t="s">
        <v>5090</v>
      </c>
      <c r="S1125" s="1" t="s">
        <v>32</v>
      </c>
      <c r="W1125" s="1">
        <v>0.0</v>
      </c>
      <c r="X1125" s="1">
        <v>0.0</v>
      </c>
    </row>
    <row r="1126" spans="1:24" ht="15.75" customHeight="1">
      <c r="A1126" s="1">
        <v>2.0005885E7</v>
      </c>
      <c r="B1126" s="1" t="s">
        <v>5091</v>
      </c>
      <c r="C1126" s="1" t="s">
        <v>5092</v>
      </c>
      <c r="D1126" s="1" t="s">
        <v>5093</v>
      </c>
      <c r="F1126" s="1" t="str">
        <f>"0975712233"</f>
        <v>0975712233</v>
      </c>
      <c r="G1126" s="1" t="str">
        <f>"9780975712238"</f>
        <v>9780975712238</v>
      </c>
      <c r="H1126" s="1">
        <v>0.0</v>
      </c>
      <c r="I1126" s="1">
        <v>4.0</v>
      </c>
      <c r="J1126" s="1" t="s">
        <v>5094</v>
      </c>
      <c r="K1126" s="1" t="s">
        <v>44</v>
      </c>
      <c r="L1126" s="1">
        <v>538.0</v>
      </c>
      <c r="M1126" s="1">
        <v>2011.0</v>
      </c>
      <c r="N1126" s="1">
        <v>2011.0</v>
      </c>
      <c r="P1126" s="2">
        <v>44800.0</v>
      </c>
      <c r="Q1126" s="1" t="s">
        <v>32</v>
      </c>
      <c r="R1126" s="1" t="s">
        <v>5095</v>
      </c>
      <c r="S1126" s="1" t="s">
        <v>32</v>
      </c>
      <c r="W1126" s="1">
        <v>0.0</v>
      </c>
      <c r="X1126" s="1">
        <v>0.0</v>
      </c>
    </row>
    <row r="1127" spans="1:24" ht="15.75" customHeight="1">
      <c r="A1127" s="1">
        <v>51985.0</v>
      </c>
      <c r="B1127" s="1" t="s">
        <v>5096</v>
      </c>
      <c r="C1127" s="1" t="s">
        <v>5097</v>
      </c>
      <c r="D1127" s="1" t="s">
        <v>5098</v>
      </c>
      <c r="E1127" s="1" t="s">
        <v>5099</v>
      </c>
      <c r="F1127" s="1" t="str">
        <f>"0300115466"</f>
        <v>0300115466</v>
      </c>
      <c r="G1127" s="1" t="str">
        <f>"9780300115468"</f>
        <v>9780300115468</v>
      </c>
      <c r="H1127" s="1">
        <v>0.0</v>
      </c>
      <c r="I1127" s="1">
        <v>3.98</v>
      </c>
      <c r="J1127" s="1" t="s">
        <v>962</v>
      </c>
      <c r="K1127" s="1" t="s">
        <v>44</v>
      </c>
      <c r="L1127" s="1">
        <v>122.0</v>
      </c>
      <c r="M1127" s="1">
        <v>2007.0</v>
      </c>
      <c r="N1127" s="1">
        <v>1946.0</v>
      </c>
      <c r="P1127" s="2">
        <v>45129.0</v>
      </c>
      <c r="Q1127" s="1" t="s">
        <v>1207</v>
      </c>
      <c r="R1127" s="1" t="s">
        <v>5100</v>
      </c>
      <c r="S1127" s="1" t="s">
        <v>32</v>
      </c>
      <c r="W1127" s="1">
        <v>0.0</v>
      </c>
      <c r="X1127" s="1">
        <v>1.0</v>
      </c>
    </row>
    <row r="1128" spans="1:24" ht="15.75" customHeight="1">
      <c r="A1128" s="1">
        <v>127046.0</v>
      </c>
      <c r="B1128" s="1" t="s">
        <v>5101</v>
      </c>
      <c r="C1128" s="1" t="s">
        <v>5097</v>
      </c>
      <c r="D1128" s="1" t="s">
        <v>5098</v>
      </c>
      <c r="F1128" s="1" t="str">
        <f>"0394700163"</f>
        <v>0394700163</v>
      </c>
      <c r="G1128" s="1" t="str">
        <f>"9780394700168"</f>
        <v>9780394700168</v>
      </c>
      <c r="H1128" s="1">
        <v>4.0</v>
      </c>
      <c r="I1128" s="1">
        <v>4.08</v>
      </c>
      <c r="J1128" s="1" t="s">
        <v>69</v>
      </c>
      <c r="K1128" s="1" t="s">
        <v>44</v>
      </c>
      <c r="L1128" s="1">
        <v>281.0</v>
      </c>
      <c r="M1128" s="1">
        <v>1955.0</v>
      </c>
      <c r="N1128" s="1">
        <v>1947.0</v>
      </c>
      <c r="O1128" s="2">
        <v>41437.0</v>
      </c>
      <c r="P1128" s="2">
        <v>41388.0</v>
      </c>
      <c r="Q1128" s="1" t="s">
        <v>5102</v>
      </c>
      <c r="R1128" s="1" t="s">
        <v>5103</v>
      </c>
      <c r="S1128" s="1" t="s">
        <v>271</v>
      </c>
      <c r="T1128" s="1" t="s">
        <v>5104</v>
      </c>
      <c r="W1128" s="1">
        <v>1.0</v>
      </c>
      <c r="X1128" s="1">
        <v>2.0</v>
      </c>
    </row>
    <row r="1129" spans="1:24" ht="15.75" customHeight="1">
      <c r="A1129" s="77">
        <v>162174.0</v>
      </c>
      <c r="B1129" s="77" t="s">
        <v>5105</v>
      </c>
      <c r="C1129" s="77" t="s">
        <v>5097</v>
      </c>
      <c r="D1129" s="77" t="s">
        <v>5098</v>
      </c>
      <c r="E1129" s="77" t="s">
        <v>5106</v>
      </c>
      <c r="F1129" s="77" t="str">
        <f>"0415254043"</f>
        <v>0415254043</v>
      </c>
      <c r="G1129" s="77" t="str">
        <f>"9780415254045"</f>
        <v>9780415254045</v>
      </c>
      <c r="H1129" s="77">
        <v>0.0</v>
      </c>
      <c r="I1129" s="77">
        <v>3.67</v>
      </c>
      <c r="J1129" s="77" t="s">
        <v>280</v>
      </c>
      <c r="K1129" s="77" t="s">
        <v>44</v>
      </c>
      <c r="L1129" s="77">
        <v>280.0</v>
      </c>
      <c r="M1129" s="77">
        <v>2001.0</v>
      </c>
      <c r="N1129" s="77">
        <v>1948.0</v>
      </c>
      <c r="O1129" s="78"/>
      <c r="P1129" s="79">
        <v>45129.0</v>
      </c>
      <c r="Q1129" s="80" t="s">
        <v>10990</v>
      </c>
      <c r="R1129" s="77" t="s">
        <v>5107</v>
      </c>
      <c r="S1129" s="77" t="s">
        <v>32</v>
      </c>
      <c r="T1129" s="78"/>
      <c r="U1129" s="78"/>
      <c r="V1129" s="78"/>
      <c r="W1129" s="77">
        <v>0.0</v>
      </c>
      <c r="X1129" s="77">
        <v>0.0</v>
      </c>
    </row>
    <row r="1130" spans="1:24" ht="15.75" customHeight="1">
      <c r="A1130" s="77">
        <v>10031.0</v>
      </c>
      <c r="B1130" s="77" t="s">
        <v>5108</v>
      </c>
      <c r="C1130" s="77" t="s">
        <v>5097</v>
      </c>
      <c r="D1130" s="77" t="s">
        <v>5098</v>
      </c>
      <c r="E1130" s="78"/>
      <c r="F1130" s="77" t="str">
        <f>"184391400X"</f>
        <v>184391400X</v>
      </c>
      <c r="G1130" s="77" t="str">
        <f>"9781843914006"</f>
        <v>9781843914006</v>
      </c>
      <c r="H1130" s="77">
        <v>0.0</v>
      </c>
      <c r="I1130" s="77">
        <v>4.07</v>
      </c>
      <c r="J1130" s="77" t="s">
        <v>5109</v>
      </c>
      <c r="K1130" s="77" t="s">
        <v>44</v>
      </c>
      <c r="L1130" s="77">
        <v>183.0</v>
      </c>
      <c r="M1130" s="77">
        <v>2005.0</v>
      </c>
      <c r="N1130" s="77">
        <v>1939.0</v>
      </c>
      <c r="O1130" s="78"/>
      <c r="P1130" s="79">
        <v>41494.0</v>
      </c>
      <c r="Q1130" s="80" t="s">
        <v>10990</v>
      </c>
      <c r="R1130" s="77" t="s">
        <v>5110</v>
      </c>
      <c r="S1130" s="77" t="s">
        <v>32</v>
      </c>
      <c r="T1130" s="78"/>
      <c r="U1130" s="78"/>
      <c r="V1130" s="78"/>
      <c r="W1130" s="77">
        <v>0.0</v>
      </c>
      <c r="X1130" s="77">
        <v>0.0</v>
      </c>
    </row>
    <row r="1131" spans="1:24" ht="15.75" customHeight="1">
      <c r="A1131" s="77">
        <v>298275.0</v>
      </c>
      <c r="B1131" s="77" t="s">
        <v>5111</v>
      </c>
      <c r="C1131" s="77" t="s">
        <v>5097</v>
      </c>
      <c r="D1131" s="77" t="s">
        <v>5098</v>
      </c>
      <c r="E1131" s="77" t="s">
        <v>5112</v>
      </c>
      <c r="F1131" s="77" t="str">
        <f>"0811201880"</f>
        <v>0811201880</v>
      </c>
      <c r="G1131" s="77" t="str">
        <f>"9780811201889"</f>
        <v>9780811201889</v>
      </c>
      <c r="H1131" s="77">
        <v>0.0</v>
      </c>
      <c r="I1131" s="77">
        <v>3.94</v>
      </c>
      <c r="J1131" s="77" t="s">
        <v>419</v>
      </c>
      <c r="K1131" s="77" t="s">
        <v>37</v>
      </c>
      <c r="L1131" s="77">
        <v>178.0</v>
      </c>
      <c r="M1131" s="77">
        <v>1969.0</v>
      </c>
      <c r="N1131" s="77">
        <v>1938.0</v>
      </c>
      <c r="O1131" s="78"/>
      <c r="P1131" s="79">
        <v>41364.0</v>
      </c>
      <c r="Q1131" s="80" t="s">
        <v>10990</v>
      </c>
      <c r="R1131" s="77" t="s">
        <v>5113</v>
      </c>
      <c r="S1131" s="77" t="s">
        <v>32</v>
      </c>
      <c r="T1131" s="78"/>
      <c r="U1131" s="78"/>
      <c r="V1131" s="78"/>
      <c r="W1131" s="77">
        <v>0.0</v>
      </c>
      <c r="X1131" s="77">
        <v>0.0</v>
      </c>
    </row>
    <row r="1132" spans="1:24" ht="15.75" customHeight="1">
      <c r="A1132" s="1">
        <v>4344454.0</v>
      </c>
      <c r="B1132" s="1" t="s">
        <v>5114</v>
      </c>
      <c r="C1132" s="1" t="s">
        <v>5115</v>
      </c>
      <c r="D1132" s="1" t="s">
        <v>5116</v>
      </c>
      <c r="F1132" s="1" t="str">
        <f>"1564785181"</f>
        <v>1564785181</v>
      </c>
      <c r="G1132" s="1" t="str">
        <f>"9781564785183"</f>
        <v>9781564785183</v>
      </c>
      <c r="H1132" s="1">
        <v>0.0</v>
      </c>
      <c r="I1132" s="1">
        <v>3.53</v>
      </c>
      <c r="J1132" s="1" t="s">
        <v>2337</v>
      </c>
      <c r="K1132" s="1" t="s">
        <v>44</v>
      </c>
      <c r="L1132" s="1">
        <v>102.0</v>
      </c>
      <c r="M1132" s="1">
        <v>2008.0</v>
      </c>
      <c r="N1132" s="1">
        <v>1985.0</v>
      </c>
      <c r="P1132" s="2">
        <v>44107.0</v>
      </c>
      <c r="Q1132" s="1" t="s">
        <v>502</v>
      </c>
      <c r="R1132" s="1" t="s">
        <v>5117</v>
      </c>
      <c r="S1132" s="1" t="s">
        <v>32</v>
      </c>
      <c r="W1132" s="1">
        <v>0.0</v>
      </c>
      <c r="X1132" s="1">
        <v>0.0</v>
      </c>
    </row>
    <row r="1133" spans="1:24" ht="15.75" customHeight="1">
      <c r="A1133" s="1">
        <v>979668.0</v>
      </c>
      <c r="B1133" s="1" t="s">
        <v>5118</v>
      </c>
      <c r="C1133" s="1" t="s">
        <v>5119</v>
      </c>
      <c r="D1133" s="1" t="s">
        <v>5120</v>
      </c>
      <c r="E1133" s="1" t="s">
        <v>5121</v>
      </c>
      <c r="F1133" s="1" t="str">
        <f>"0060197757"</f>
        <v>0060197757</v>
      </c>
      <c r="G1133" s="1" t="str">
        <f>"9780060197759"</f>
        <v>9780060197759</v>
      </c>
      <c r="H1133" s="1">
        <v>0.0</v>
      </c>
      <c r="I1133" s="1">
        <v>3.89</v>
      </c>
      <c r="J1133" s="1" t="s">
        <v>558</v>
      </c>
      <c r="K1133" s="1" t="s">
        <v>37</v>
      </c>
      <c r="L1133" s="1">
        <v>224.0</v>
      </c>
      <c r="M1133" s="1">
        <v>2001.0</v>
      </c>
      <c r="N1133" s="1">
        <v>1999.0</v>
      </c>
      <c r="P1133" s="2">
        <v>45117.0</v>
      </c>
      <c r="Q1133" s="1" t="s">
        <v>5122</v>
      </c>
      <c r="R1133" s="1" t="s">
        <v>5123</v>
      </c>
      <c r="S1133" s="1" t="s">
        <v>32</v>
      </c>
      <c r="W1133" s="1">
        <v>0.0</v>
      </c>
      <c r="X1133" s="1">
        <v>0.0</v>
      </c>
    </row>
    <row r="1134" spans="1:24" ht="15.75" customHeight="1">
      <c r="A1134" s="1">
        <v>883195.0</v>
      </c>
      <c r="B1134" s="1" t="s">
        <v>5124</v>
      </c>
      <c r="C1134" s="1" t="s">
        <v>5125</v>
      </c>
      <c r="D1134" s="1" t="s">
        <v>5126</v>
      </c>
      <c r="F1134" s="1" t="str">
        <f>"0241143950"</f>
        <v>0241143950</v>
      </c>
      <c r="G1134" s="1" t="str">
        <f>"9780241143957"</f>
        <v>9780241143957</v>
      </c>
      <c r="H1134" s="1">
        <v>0.0</v>
      </c>
      <c r="I1134" s="1">
        <v>3.68</v>
      </c>
      <c r="J1134" s="1" t="s">
        <v>5127</v>
      </c>
      <c r="K1134" s="1" t="s">
        <v>37</v>
      </c>
      <c r="L1134" s="1">
        <v>207.0</v>
      </c>
      <c r="M1134" s="1">
        <v>2007.0</v>
      </c>
      <c r="N1134" s="1">
        <v>2007.0</v>
      </c>
      <c r="P1134" s="2">
        <v>42573.0</v>
      </c>
      <c r="Q1134" s="1" t="s">
        <v>1110</v>
      </c>
      <c r="R1134" s="1" t="s">
        <v>5128</v>
      </c>
      <c r="S1134" s="1" t="s">
        <v>32</v>
      </c>
      <c r="W1134" s="1">
        <v>0.0</v>
      </c>
      <c r="X1134" s="1">
        <v>0.0</v>
      </c>
    </row>
    <row r="1135" spans="1:24" ht="15.75" customHeight="1">
      <c r="A1135" s="1">
        <v>1.2384322E7</v>
      </c>
      <c r="B1135" s="1" t="s">
        <v>5129</v>
      </c>
      <c r="C1135" s="1" t="s">
        <v>5130</v>
      </c>
      <c r="D1135" s="1" t="s">
        <v>5131</v>
      </c>
      <c r="F1135" s="1" t="str">
        <f>"0571275761"</f>
        <v>0571275761</v>
      </c>
      <c r="G1135" s="1" t="str">
        <f>"9780571275762"</f>
        <v>9780571275762</v>
      </c>
      <c r="H1135" s="1">
        <v>5.0</v>
      </c>
      <c r="I1135" s="1">
        <v>3.43</v>
      </c>
      <c r="J1135" s="1" t="s">
        <v>454</v>
      </c>
      <c r="K1135" s="1" t="s">
        <v>44</v>
      </c>
      <c r="L1135" s="1">
        <v>292.0</v>
      </c>
      <c r="M1135" s="1">
        <v>2012.0</v>
      </c>
      <c r="N1135" s="1">
        <v>2012.0</v>
      </c>
      <c r="O1135" s="2">
        <v>41334.0</v>
      </c>
      <c r="P1135" s="2">
        <v>41323.0</v>
      </c>
      <c r="Q1135" s="1" t="s">
        <v>3630</v>
      </c>
      <c r="R1135" s="1" t="s">
        <v>5132</v>
      </c>
      <c r="S1135" s="1" t="s">
        <v>271</v>
      </c>
      <c r="W1135" s="1">
        <v>1.0</v>
      </c>
      <c r="X1135" s="1">
        <v>1.0</v>
      </c>
    </row>
    <row r="1136" spans="1:24" ht="15.75" customHeight="1">
      <c r="A1136" s="1">
        <v>2140784.0</v>
      </c>
      <c r="B1136" s="1" t="s">
        <v>5133</v>
      </c>
      <c r="C1136" s="1" t="s">
        <v>5134</v>
      </c>
      <c r="D1136" s="1" t="s">
        <v>5135</v>
      </c>
      <c r="F1136" s="1" t="str">
        <f>"1928589146"</f>
        <v>1928589146</v>
      </c>
      <c r="G1136" s="1" t="str">
        <f>"9781928589143"</f>
        <v>9781928589143</v>
      </c>
      <c r="H1136" s="1">
        <v>0.0</v>
      </c>
      <c r="I1136" s="1">
        <v>4.38</v>
      </c>
      <c r="J1136" s="1" t="s">
        <v>5136</v>
      </c>
      <c r="K1136" s="1" t="s">
        <v>44</v>
      </c>
      <c r="L1136" s="1">
        <v>80.0</v>
      </c>
      <c r="M1136" s="1">
        <v>2003.0</v>
      </c>
      <c r="N1136" s="1">
        <v>2003.0</v>
      </c>
      <c r="P1136" s="2">
        <v>45143.0</v>
      </c>
      <c r="Q1136" s="1" t="s">
        <v>449</v>
      </c>
      <c r="R1136" s="1" t="s">
        <v>5137</v>
      </c>
      <c r="S1136" s="1" t="s">
        <v>32</v>
      </c>
      <c r="W1136" s="1">
        <v>0.0</v>
      </c>
      <c r="X1136" s="1">
        <v>1.0</v>
      </c>
    </row>
    <row r="1137" spans="1:24" ht="15.75" customHeight="1">
      <c r="A1137" s="1">
        <v>5.9366124E7</v>
      </c>
      <c r="B1137" s="1" t="s">
        <v>5138</v>
      </c>
      <c r="C1137" s="1" t="s">
        <v>5139</v>
      </c>
      <c r="D1137" s="1" t="s">
        <v>5140</v>
      </c>
      <c r="F1137" s="1" t="str">
        <f>"1982136421"</f>
        <v>1982136421</v>
      </c>
      <c r="G1137" s="1" t="str">
        <f>"9781982136420"</f>
        <v>9781982136420</v>
      </c>
      <c r="H1137" s="1">
        <v>0.0</v>
      </c>
      <c r="I1137" s="1">
        <v>4.26</v>
      </c>
      <c r="J1137" s="1" t="s">
        <v>88</v>
      </c>
      <c r="K1137" s="1" t="s">
        <v>37</v>
      </c>
      <c r="L1137" s="1">
        <v>528.0</v>
      </c>
      <c r="M1137" s="1">
        <v>2023.0</v>
      </c>
      <c r="P1137" s="2">
        <v>45185.0</v>
      </c>
      <c r="Q1137" s="1" t="s">
        <v>1064</v>
      </c>
      <c r="R1137" s="1" t="s">
        <v>5141</v>
      </c>
      <c r="S1137" s="1" t="s">
        <v>32</v>
      </c>
      <c r="W1137" s="1">
        <v>0.0</v>
      </c>
      <c r="X1137" s="1">
        <v>0.0</v>
      </c>
    </row>
    <row r="1138" spans="1:24" ht="15.75" customHeight="1">
      <c r="A1138" s="1">
        <v>77529.0</v>
      </c>
      <c r="B1138" s="1" t="s">
        <v>5142</v>
      </c>
      <c r="C1138" s="1" t="s">
        <v>5143</v>
      </c>
      <c r="D1138" s="1" t="s">
        <v>5144</v>
      </c>
      <c r="E1138" s="1" t="s">
        <v>5145</v>
      </c>
      <c r="F1138" s="1" t="str">
        <f>"1594200459"</f>
        <v>1594200459</v>
      </c>
      <c r="G1138" s="1" t="str">
        <f>"9781594200458"</f>
        <v>9781594200458</v>
      </c>
      <c r="H1138" s="1">
        <v>0.0</v>
      </c>
      <c r="I1138" s="1">
        <v>3.69</v>
      </c>
      <c r="J1138" s="1" t="s">
        <v>5146</v>
      </c>
      <c r="K1138" s="1" t="s">
        <v>37</v>
      </c>
      <c r="L1138" s="1">
        <v>396.0</v>
      </c>
      <c r="M1138" s="1">
        <v>2005.0</v>
      </c>
      <c r="N1138" s="1">
        <v>2005.0</v>
      </c>
      <c r="P1138" s="3">
        <v>45274.0</v>
      </c>
      <c r="Q1138" s="1" t="s">
        <v>479</v>
      </c>
      <c r="R1138" s="1" t="s">
        <v>5147</v>
      </c>
      <c r="S1138" s="1" t="s">
        <v>32</v>
      </c>
      <c r="W1138" s="1">
        <v>0.0</v>
      </c>
      <c r="X1138" s="1">
        <v>0.0</v>
      </c>
    </row>
    <row r="1139" spans="1:24" ht="15.75" customHeight="1">
      <c r="A1139" s="1">
        <v>4594564.0</v>
      </c>
      <c r="B1139" s="1" t="s">
        <v>5148</v>
      </c>
      <c r="C1139" s="1" t="s">
        <v>5149</v>
      </c>
      <c r="D1139" s="1" t="s">
        <v>5150</v>
      </c>
      <c r="F1139" s="1" t="str">
        <f>"0471180947"</f>
        <v>0471180947</v>
      </c>
      <c r="G1139" s="1" t="str">
        <f>"9780471180944"</f>
        <v>9780471180944</v>
      </c>
      <c r="H1139" s="1">
        <v>0.0</v>
      </c>
      <c r="I1139" s="1">
        <v>3.33</v>
      </c>
      <c r="J1139" s="1" t="s">
        <v>93</v>
      </c>
      <c r="K1139" s="1" t="s">
        <v>44</v>
      </c>
      <c r="L1139" s="1">
        <v>240.0</v>
      </c>
      <c r="M1139" s="1">
        <v>1997.0</v>
      </c>
      <c r="N1139" s="1">
        <v>1988.0</v>
      </c>
      <c r="P1139" s="2">
        <v>45143.0</v>
      </c>
      <c r="Q1139" s="1" t="s">
        <v>1017</v>
      </c>
      <c r="R1139" s="1" t="s">
        <v>5151</v>
      </c>
      <c r="S1139" s="1" t="s">
        <v>32</v>
      </c>
      <c r="W1139" s="1">
        <v>0.0</v>
      </c>
      <c r="X1139" s="1">
        <v>1.0</v>
      </c>
    </row>
    <row r="1140" spans="1:24" ht="15.75" customHeight="1">
      <c r="A1140" s="1">
        <v>3465260.0</v>
      </c>
      <c r="B1140" s="1" t="s">
        <v>5152</v>
      </c>
      <c r="C1140" s="1" t="s">
        <v>5153</v>
      </c>
      <c r="D1140" s="1" t="s">
        <v>5154</v>
      </c>
      <c r="F1140" s="1" t="str">
        <f>"1903809746"</f>
        <v>1903809746</v>
      </c>
      <c r="G1140" s="1" t="str">
        <f>"9781903809747"</f>
        <v>9781903809747</v>
      </c>
      <c r="H1140" s="1">
        <v>0.0</v>
      </c>
      <c r="I1140" s="1">
        <v>3.24</v>
      </c>
      <c r="J1140" s="1" t="s">
        <v>5155</v>
      </c>
      <c r="K1140" s="1" t="s">
        <v>37</v>
      </c>
      <c r="L1140" s="1">
        <v>336.0</v>
      </c>
      <c r="M1140" s="1">
        <v>2002.0</v>
      </c>
      <c r="N1140" s="1">
        <v>2002.0</v>
      </c>
      <c r="P1140" s="3">
        <v>45273.0</v>
      </c>
      <c r="Q1140" s="1" t="s">
        <v>479</v>
      </c>
      <c r="R1140" s="1" t="s">
        <v>5156</v>
      </c>
      <c r="S1140" s="1" t="s">
        <v>32</v>
      </c>
      <c r="W1140" s="1">
        <v>0.0</v>
      </c>
      <c r="X1140" s="1">
        <v>0.0</v>
      </c>
    </row>
    <row r="1141" spans="1:24" ht="15.75" customHeight="1">
      <c r="A1141" s="1">
        <v>6.0701439E7</v>
      </c>
      <c r="B1141" s="1" t="s">
        <v>5157</v>
      </c>
      <c r="C1141" s="1" t="s">
        <v>5158</v>
      </c>
      <c r="D1141" s="1" t="s">
        <v>5159</v>
      </c>
      <c r="F1141" s="1" t="str">
        <f>"1982153083"</f>
        <v>1982153083</v>
      </c>
      <c r="G1141" s="1" t="str">
        <f>"9781982153083"</f>
        <v>9781982153083</v>
      </c>
      <c r="H1141" s="1">
        <v>0.0</v>
      </c>
      <c r="I1141" s="1">
        <v>3.69</v>
      </c>
      <c r="J1141" s="1" t="s">
        <v>88</v>
      </c>
      <c r="K1141" s="1" t="s">
        <v>37</v>
      </c>
      <c r="L1141" s="1">
        <v>336.0</v>
      </c>
      <c r="M1141" s="1">
        <v>2023.0</v>
      </c>
      <c r="N1141" s="1">
        <v>2023.0</v>
      </c>
      <c r="P1141" s="2">
        <v>45163.0</v>
      </c>
      <c r="Q1141" s="1" t="s">
        <v>502</v>
      </c>
      <c r="R1141" s="1" t="s">
        <v>5160</v>
      </c>
      <c r="S1141" s="1" t="s">
        <v>32</v>
      </c>
      <c r="W1141" s="1">
        <v>0.0</v>
      </c>
      <c r="X1141" s="1">
        <v>0.0</v>
      </c>
    </row>
    <row r="1142" spans="1:24" ht="15.75" customHeight="1">
      <c r="A1142" s="1">
        <v>2.5362962E7</v>
      </c>
      <c r="B1142" s="1" t="s">
        <v>5161</v>
      </c>
      <c r="C1142" s="1" t="s">
        <v>5162</v>
      </c>
      <c r="D1142" s="1" t="s">
        <v>5163</v>
      </c>
      <c r="E1142" s="1" t="s">
        <v>5164</v>
      </c>
      <c r="F1142" s="1" t="str">
        <f>"1925052141"</f>
        <v>1925052141</v>
      </c>
      <c r="G1142" s="1" t="str">
        <f>"9781925052145"</f>
        <v>9781925052145</v>
      </c>
      <c r="H1142" s="1">
        <v>0.0</v>
      </c>
      <c r="I1142" s="1">
        <v>4.02</v>
      </c>
      <c r="J1142" s="1" t="s">
        <v>5165</v>
      </c>
      <c r="K1142" s="1" t="s">
        <v>44</v>
      </c>
      <c r="L1142" s="1">
        <v>130.0</v>
      </c>
      <c r="M1142" s="1">
        <v>2015.0</v>
      </c>
      <c r="N1142" s="1">
        <v>2015.0</v>
      </c>
      <c r="P1142" s="2">
        <v>45187.0</v>
      </c>
      <c r="Q1142" s="1" t="s">
        <v>633</v>
      </c>
      <c r="R1142" s="1" t="s">
        <v>5166</v>
      </c>
      <c r="S1142" s="1" t="s">
        <v>32</v>
      </c>
      <c r="W1142" s="1">
        <v>0.0</v>
      </c>
      <c r="X1142" s="1">
        <v>0.0</v>
      </c>
    </row>
    <row r="1143" spans="1:24" ht="15.75" customHeight="1">
      <c r="A1143" s="1">
        <v>5.3492676E7</v>
      </c>
      <c r="B1143" s="1" t="s">
        <v>5167</v>
      </c>
      <c r="C1143" s="1" t="s">
        <v>5168</v>
      </c>
      <c r="D1143" s="1" t="s">
        <v>5169</v>
      </c>
      <c r="F1143" s="1" t="str">
        <f>"1951142292"</f>
        <v>1951142292</v>
      </c>
      <c r="G1143" s="1" t="str">
        <f>"9781951142292"</f>
        <v>9781951142292</v>
      </c>
      <c r="H1143" s="1">
        <v>4.0</v>
      </c>
      <c r="I1143" s="1">
        <v>4.1</v>
      </c>
      <c r="J1143" s="1" t="s">
        <v>3038</v>
      </c>
      <c r="K1143" s="1" t="s">
        <v>44</v>
      </c>
      <c r="L1143" s="1">
        <v>296.0</v>
      </c>
      <c r="M1143" s="1">
        <v>2021.0</v>
      </c>
      <c r="N1143" s="1">
        <v>2020.0</v>
      </c>
      <c r="O1143" s="2">
        <v>44228.0</v>
      </c>
      <c r="P1143" s="2">
        <v>44219.0</v>
      </c>
      <c r="Q1143" s="1">
        <v>0.0</v>
      </c>
      <c r="R1143" s="1" t="s">
        <v>5170</v>
      </c>
      <c r="S1143" s="1" t="s">
        <v>271</v>
      </c>
      <c r="W1143" s="1">
        <v>1.0</v>
      </c>
      <c r="X1143" s="1">
        <v>1.0</v>
      </c>
    </row>
    <row r="1144" spans="1:24" ht="15.75" customHeight="1">
      <c r="A1144" s="1">
        <v>2482681.0</v>
      </c>
      <c r="B1144" s="1" t="s">
        <v>5171</v>
      </c>
      <c r="C1144" s="1" t="s">
        <v>5172</v>
      </c>
      <c r="D1144" s="1" t="s">
        <v>5173</v>
      </c>
      <c r="F1144" s="1" t="str">
        <f>"0415324483"</f>
        <v>0415324483</v>
      </c>
      <c r="G1144" s="1" t="str">
        <f>"9780415324489"</f>
        <v>9780415324489</v>
      </c>
      <c r="H1144" s="1">
        <v>0.0</v>
      </c>
      <c r="I1144" s="1">
        <v>4.17</v>
      </c>
      <c r="J1144" s="1" t="s">
        <v>280</v>
      </c>
      <c r="K1144" s="1" t="s">
        <v>37</v>
      </c>
      <c r="L1144" s="1">
        <v>320.0</v>
      </c>
      <c r="M1144" s="1">
        <v>2007.0</v>
      </c>
      <c r="N1144" s="1">
        <v>2007.0</v>
      </c>
      <c r="P1144" s="2">
        <v>45143.0</v>
      </c>
      <c r="Q1144" s="1" t="s">
        <v>32</v>
      </c>
      <c r="R1144" s="1" t="s">
        <v>5174</v>
      </c>
      <c r="S1144" s="1" t="s">
        <v>32</v>
      </c>
      <c r="W1144" s="1">
        <v>0.0</v>
      </c>
      <c r="X1144" s="1">
        <v>0.0</v>
      </c>
    </row>
    <row r="1145" spans="1:24" ht="15.75" customHeight="1">
      <c r="A1145" s="1">
        <v>733648.0</v>
      </c>
      <c r="B1145" s="1" t="s">
        <v>5175</v>
      </c>
      <c r="C1145" s="1" t="s">
        <v>5176</v>
      </c>
      <c r="D1145" s="1" t="s">
        <v>5177</v>
      </c>
      <c r="F1145" s="1" t="str">
        <f>"1578590450"</f>
        <v>1578590450</v>
      </c>
      <c r="G1145" s="1" t="str">
        <f>"9781578590452"</f>
        <v>9781578590452</v>
      </c>
      <c r="H1145" s="1">
        <v>0.0</v>
      </c>
      <c r="I1145" s="1">
        <v>3.97</v>
      </c>
      <c r="J1145" s="1" t="s">
        <v>5178</v>
      </c>
      <c r="K1145" s="1" t="s">
        <v>44</v>
      </c>
      <c r="L1145" s="1">
        <v>637.0</v>
      </c>
      <c r="M1145" s="1">
        <v>1993.0</v>
      </c>
      <c r="N1145" s="1">
        <v>1993.0</v>
      </c>
      <c r="P1145" s="2">
        <v>43934.0</v>
      </c>
      <c r="Q1145" s="1" t="s">
        <v>32</v>
      </c>
      <c r="R1145" s="1" t="s">
        <v>5179</v>
      </c>
      <c r="S1145" s="1" t="s">
        <v>32</v>
      </c>
      <c r="W1145" s="1">
        <v>0.0</v>
      </c>
      <c r="X1145" s="1">
        <v>0.0</v>
      </c>
    </row>
    <row r="1146" spans="1:24" ht="15.75" customHeight="1">
      <c r="A1146" s="1">
        <v>6562140.0</v>
      </c>
      <c r="B1146" s="1" t="s">
        <v>5180</v>
      </c>
      <c r="C1146" s="1" t="s">
        <v>5181</v>
      </c>
      <c r="D1146" s="1" t="s">
        <v>5182</v>
      </c>
      <c r="F1146" s="1" t="str">
        <f>"0195324870"</f>
        <v>0195324870</v>
      </c>
      <c r="G1146" s="1" t="str">
        <f>"9780195324877"</f>
        <v>9780195324877</v>
      </c>
      <c r="H1146" s="1">
        <v>0.0</v>
      </c>
      <c r="I1146" s="1">
        <v>3.86</v>
      </c>
      <c r="J1146" s="1" t="s">
        <v>181</v>
      </c>
      <c r="K1146" s="1" t="s">
        <v>37</v>
      </c>
      <c r="L1146" s="1">
        <v>384.0</v>
      </c>
      <c r="M1146" s="1">
        <v>2009.0</v>
      </c>
      <c r="N1146" s="1">
        <v>2009.0</v>
      </c>
      <c r="P1146" s="2">
        <v>45173.0</v>
      </c>
      <c r="Q1146" s="1" t="s">
        <v>32</v>
      </c>
      <c r="R1146" s="1" t="s">
        <v>5183</v>
      </c>
      <c r="S1146" s="1" t="s">
        <v>32</v>
      </c>
      <c r="W1146" s="1">
        <v>0.0</v>
      </c>
      <c r="X1146" s="1">
        <v>0.0</v>
      </c>
    </row>
    <row r="1147" spans="1:24" ht="15.75" customHeight="1">
      <c r="A1147" s="1">
        <v>837301.0</v>
      </c>
      <c r="B1147" s="1" t="s">
        <v>5184</v>
      </c>
      <c r="C1147" s="1" t="s">
        <v>5185</v>
      </c>
      <c r="D1147" s="1" t="s">
        <v>5186</v>
      </c>
      <c r="E1147" s="1" t="s">
        <v>5187</v>
      </c>
      <c r="F1147" s="1" t="str">
        <f>"0807003077"</f>
        <v>0807003077</v>
      </c>
      <c r="G1147" s="1" t="str">
        <f>"9780807003077"</f>
        <v>9780807003077</v>
      </c>
      <c r="H1147" s="1">
        <v>0.0</v>
      </c>
      <c r="I1147" s="1">
        <v>3.93</v>
      </c>
      <c r="J1147" s="1" t="s">
        <v>758</v>
      </c>
      <c r="K1147" s="1" t="s">
        <v>44</v>
      </c>
      <c r="L1147" s="1">
        <v>264.0</v>
      </c>
      <c r="M1147" s="1">
        <v>2005.0</v>
      </c>
      <c r="N1147" s="1">
        <v>2005.0</v>
      </c>
      <c r="P1147" s="3">
        <v>45271.0</v>
      </c>
      <c r="Q1147" s="1" t="s">
        <v>479</v>
      </c>
      <c r="R1147" s="1" t="s">
        <v>5188</v>
      </c>
      <c r="S1147" s="1" t="s">
        <v>32</v>
      </c>
      <c r="W1147" s="1">
        <v>0.0</v>
      </c>
      <c r="X1147" s="1">
        <v>0.0</v>
      </c>
    </row>
    <row r="1148" spans="1:24" ht="15.75" customHeight="1">
      <c r="A1148" s="1">
        <v>6350013.0</v>
      </c>
      <c r="B1148" s="1" t="s">
        <v>5189</v>
      </c>
      <c r="C1148" s="1" t="s">
        <v>5190</v>
      </c>
      <c r="D1148" s="1" t="s">
        <v>5191</v>
      </c>
      <c r="F1148" s="1" t="str">
        <f>"0141020776"</f>
        <v>0141020776</v>
      </c>
      <c r="G1148" s="1" t="str">
        <f>"9780141020778"</f>
        <v>9780141020778</v>
      </c>
      <c r="H1148" s="1">
        <v>0.0</v>
      </c>
      <c r="I1148" s="1">
        <v>4.11</v>
      </c>
      <c r="J1148" s="1" t="s">
        <v>309</v>
      </c>
      <c r="K1148" s="1" t="s">
        <v>44</v>
      </c>
      <c r="L1148" s="1">
        <v>590.0</v>
      </c>
      <c r="M1148" s="1">
        <v>2009.0</v>
      </c>
      <c r="N1148" s="1">
        <v>2008.0</v>
      </c>
      <c r="P1148" s="2">
        <v>45114.0</v>
      </c>
      <c r="Q1148" s="1" t="s">
        <v>2810</v>
      </c>
      <c r="R1148" s="1" t="s">
        <v>5192</v>
      </c>
      <c r="S1148" s="1" t="s">
        <v>32</v>
      </c>
      <c r="W1148" s="1">
        <v>0.0</v>
      </c>
      <c r="X1148" s="1">
        <v>0.0</v>
      </c>
    </row>
    <row r="1149" spans="1:24" ht="15.75" customHeight="1">
      <c r="A1149" s="1">
        <v>7113640.0</v>
      </c>
      <c r="B1149" s="1" t="s">
        <v>5193</v>
      </c>
      <c r="C1149" s="1" t="s">
        <v>5194</v>
      </c>
      <c r="D1149" s="1" t="s">
        <v>5195</v>
      </c>
      <c r="F1149" s="1" t="str">
        <f>"0195338286"</f>
        <v>0195338286</v>
      </c>
      <c r="G1149" s="1" t="str">
        <f>"9780195338287"</f>
        <v>9780195338287</v>
      </c>
      <c r="H1149" s="1">
        <v>0.0</v>
      </c>
      <c r="I1149" s="1">
        <v>3.67</v>
      </c>
      <c r="J1149" s="1" t="s">
        <v>181</v>
      </c>
      <c r="K1149" s="1" t="s">
        <v>37</v>
      </c>
      <c r="L1149" s="1">
        <v>208.0</v>
      </c>
      <c r="M1149" s="1">
        <v>2009.0</v>
      </c>
      <c r="N1149" s="1">
        <v>2008.0</v>
      </c>
      <c r="P1149" s="2">
        <v>45168.0</v>
      </c>
      <c r="Q1149" s="1" t="s">
        <v>32</v>
      </c>
      <c r="R1149" s="1" t="s">
        <v>5196</v>
      </c>
      <c r="S1149" s="1" t="s">
        <v>32</v>
      </c>
      <c r="W1149" s="1">
        <v>0.0</v>
      </c>
      <c r="X1149" s="1">
        <v>0.0</v>
      </c>
    </row>
    <row r="1150" spans="1:24" ht="15.75" customHeight="1">
      <c r="A1150" s="1">
        <v>153275.0</v>
      </c>
      <c r="B1150" s="1" t="s">
        <v>5197</v>
      </c>
      <c r="C1150" s="1" t="s">
        <v>5194</v>
      </c>
      <c r="D1150" s="1" t="s">
        <v>5195</v>
      </c>
      <c r="F1150" s="1" t="str">
        <f>"0195151658"</f>
        <v>0195151658</v>
      </c>
      <c r="G1150" s="1" t="str">
        <f>"9780195151657"</f>
        <v>9780195151657</v>
      </c>
      <c r="H1150" s="1">
        <v>0.0</v>
      </c>
      <c r="I1150" s="1">
        <v>4.12</v>
      </c>
      <c r="J1150" s="1" t="s">
        <v>181</v>
      </c>
      <c r="K1150" s="1" t="s">
        <v>44</v>
      </c>
      <c r="L1150" s="1">
        <v>392.0</v>
      </c>
      <c r="M1150" s="1">
        <v>2002.0</v>
      </c>
      <c r="N1150" s="1">
        <v>2000.0</v>
      </c>
      <c r="P1150" s="2">
        <v>45167.0</v>
      </c>
      <c r="Q1150" s="1" t="s">
        <v>32</v>
      </c>
      <c r="R1150" s="1" t="s">
        <v>5198</v>
      </c>
      <c r="S1150" s="1" t="s">
        <v>32</v>
      </c>
      <c r="W1150" s="1">
        <v>0.0</v>
      </c>
      <c r="X1150" s="1">
        <v>0.0</v>
      </c>
    </row>
    <row r="1151" spans="1:24" ht="15.75" customHeight="1">
      <c r="A1151" s="1">
        <v>6.2972496E7</v>
      </c>
      <c r="B1151" s="1" t="s">
        <v>5199</v>
      </c>
      <c r="C1151" s="1" t="s">
        <v>5200</v>
      </c>
      <c r="D1151" s="1" t="s">
        <v>5201</v>
      </c>
      <c r="E1151" s="1" t="s">
        <v>3063</v>
      </c>
      <c r="F1151" s="1" t="str">
        <f>"0811229343"</f>
        <v>0811229343</v>
      </c>
      <c r="G1151" s="1" t="str">
        <f>"9780811229340"</f>
        <v>9780811229340</v>
      </c>
      <c r="H1151" s="1">
        <v>0.0</v>
      </c>
      <c r="I1151" s="1">
        <v>3.54</v>
      </c>
      <c r="J1151" s="1" t="s">
        <v>419</v>
      </c>
      <c r="K1151" s="1" t="s">
        <v>37</v>
      </c>
      <c r="L1151" s="1">
        <v>336.0</v>
      </c>
      <c r="M1151" s="1">
        <v>2023.0</v>
      </c>
      <c r="N1151" s="1">
        <v>2021.0</v>
      </c>
      <c r="P1151" s="2">
        <v>45262.0</v>
      </c>
      <c r="Q1151" s="1" t="s">
        <v>145</v>
      </c>
      <c r="R1151" s="1" t="s">
        <v>5202</v>
      </c>
      <c r="S1151" s="1" t="s">
        <v>32</v>
      </c>
      <c r="W1151" s="1">
        <v>0.0</v>
      </c>
      <c r="X1151" s="1">
        <v>0.0</v>
      </c>
    </row>
    <row r="1152" spans="1:24" ht="15.75" customHeight="1">
      <c r="A1152" s="1">
        <v>1.0236411E7</v>
      </c>
      <c r="B1152" s="1" t="s">
        <v>5203</v>
      </c>
      <c r="C1152" s="1" t="s">
        <v>5204</v>
      </c>
      <c r="D1152" s="1" t="s">
        <v>5205</v>
      </c>
      <c r="E1152" s="1" t="s">
        <v>5206</v>
      </c>
      <c r="F1152" s="1" t="str">
        <f>"1844676668"</f>
        <v>1844676668</v>
      </c>
      <c r="G1152" s="1" t="str">
        <f>"9781844676668"</f>
        <v>9781844676668</v>
      </c>
      <c r="H1152" s="1">
        <v>0.0</v>
      </c>
      <c r="I1152" s="1">
        <v>3.48</v>
      </c>
      <c r="J1152" s="1" t="s">
        <v>720</v>
      </c>
      <c r="K1152" s="1" t="s">
        <v>44</v>
      </c>
      <c r="L1152" s="1">
        <v>158.0</v>
      </c>
      <c r="M1152" s="1">
        <v>2011.0</v>
      </c>
      <c r="N1152" s="1">
        <v>1791.0</v>
      </c>
      <c r="P1152" s="2">
        <v>43046.0</v>
      </c>
      <c r="Q1152" s="1" t="s">
        <v>32</v>
      </c>
      <c r="R1152" s="1" t="s">
        <v>5207</v>
      </c>
      <c r="S1152" s="1" t="s">
        <v>32</v>
      </c>
      <c r="W1152" s="1">
        <v>0.0</v>
      </c>
      <c r="X1152" s="1">
        <v>0.0</v>
      </c>
    </row>
    <row r="1153" spans="1:24" ht="15.75" customHeight="1">
      <c r="A1153" s="1">
        <v>3.5074087E7</v>
      </c>
      <c r="B1153" s="1" t="s">
        <v>5208</v>
      </c>
      <c r="C1153" s="1" t="s">
        <v>5209</v>
      </c>
      <c r="D1153" s="1" t="s">
        <v>5210</v>
      </c>
      <c r="F1153" s="1" t="str">
        <f>"0241285798"</f>
        <v>0241285798</v>
      </c>
      <c r="G1153" s="1" t="str">
        <f>"9780241285794"</f>
        <v>9780241285794</v>
      </c>
      <c r="H1153" s="1">
        <v>0.0</v>
      </c>
      <c r="I1153" s="1">
        <v>4.06</v>
      </c>
      <c r="J1153" s="1" t="s">
        <v>3735</v>
      </c>
      <c r="K1153" s="1" t="s">
        <v>37</v>
      </c>
      <c r="L1153" s="1">
        <v>400.0</v>
      </c>
      <c r="M1153" s="1">
        <v>2018.0</v>
      </c>
      <c r="P1153" s="3">
        <v>44194.0</v>
      </c>
      <c r="Q1153" s="1" t="s">
        <v>421</v>
      </c>
      <c r="R1153" s="1" t="s">
        <v>5211</v>
      </c>
      <c r="S1153" s="1" t="s">
        <v>32</v>
      </c>
      <c r="W1153" s="1">
        <v>0.0</v>
      </c>
      <c r="X1153" s="1">
        <v>0.0</v>
      </c>
    </row>
    <row r="1154" spans="1:24" ht="15.75" customHeight="1">
      <c r="A1154" s="1">
        <v>247241.0</v>
      </c>
      <c r="B1154" s="1" t="s">
        <v>5212</v>
      </c>
      <c r="C1154" s="1" t="s">
        <v>2633</v>
      </c>
      <c r="D1154" s="1" t="s">
        <v>5213</v>
      </c>
      <c r="F1154" s="1" t="str">
        <f>"0872862968"</f>
        <v>0872862968</v>
      </c>
      <c r="G1154" s="1" t="str">
        <f>"9780872862968"</f>
        <v>9780872862968</v>
      </c>
      <c r="H1154" s="1">
        <v>0.0</v>
      </c>
      <c r="I1154" s="1">
        <v>3.77</v>
      </c>
      <c r="J1154" s="1" t="s">
        <v>3807</v>
      </c>
      <c r="K1154" s="1" t="s">
        <v>44</v>
      </c>
      <c r="L1154" s="1">
        <v>136.0</v>
      </c>
      <c r="M1154" s="1">
        <v>2001.0</v>
      </c>
      <c r="N1154" s="1">
        <v>1994.0</v>
      </c>
      <c r="P1154" s="2">
        <v>44250.0</v>
      </c>
      <c r="Q1154" s="1" t="s">
        <v>32</v>
      </c>
      <c r="R1154" s="1" t="s">
        <v>5214</v>
      </c>
      <c r="S1154" s="1" t="s">
        <v>32</v>
      </c>
      <c r="W1154" s="1">
        <v>0.0</v>
      </c>
      <c r="X1154" s="1">
        <v>0.0</v>
      </c>
    </row>
    <row r="1155" spans="1:24" ht="15.75" customHeight="1">
      <c r="A1155" s="1">
        <v>96491.0</v>
      </c>
      <c r="B1155" s="1" t="s">
        <v>5215</v>
      </c>
      <c r="C1155" s="1" t="s">
        <v>5216</v>
      </c>
      <c r="D1155" s="1" t="s">
        <v>5217</v>
      </c>
      <c r="F1155" s="1" t="str">
        <f>"1560259795"</f>
        <v>1560259795</v>
      </c>
      <c r="G1155" s="1" t="str">
        <f>"9781560259794"</f>
        <v>9781560259794</v>
      </c>
      <c r="H1155" s="1">
        <v>0.0</v>
      </c>
      <c r="I1155" s="1">
        <v>3.81</v>
      </c>
      <c r="J1155" s="1" t="s">
        <v>5218</v>
      </c>
      <c r="K1155" s="1" t="s">
        <v>37</v>
      </c>
      <c r="L1155" s="1">
        <v>550.0</v>
      </c>
      <c r="M1155" s="1">
        <v>2007.0</v>
      </c>
      <c r="N1155" s="1">
        <v>2007.0</v>
      </c>
      <c r="P1155" s="3">
        <v>45278.0</v>
      </c>
      <c r="Q1155" s="1" t="s">
        <v>479</v>
      </c>
      <c r="R1155" s="1" t="s">
        <v>5219</v>
      </c>
      <c r="S1155" s="1" t="s">
        <v>32</v>
      </c>
      <c r="W1155" s="1">
        <v>0.0</v>
      </c>
      <c r="X1155" s="1">
        <v>0.0</v>
      </c>
    </row>
    <row r="1156" spans="1:24" ht="15.75" customHeight="1">
      <c r="A1156" s="1">
        <v>1.7209459E7</v>
      </c>
      <c r="B1156" s="1" t="s">
        <v>5220</v>
      </c>
      <c r="C1156" s="1" t="s">
        <v>5221</v>
      </c>
      <c r="D1156" s="1" t="s">
        <v>5222</v>
      </c>
      <c r="F1156" s="1" t="str">
        <f t="shared" si="80" ref="F1156:G1156">""</f>
        <v/>
      </c>
      <c r="G1156" s="1" t="str">
        <f t="shared" si="80"/>
        <v/>
      </c>
      <c r="H1156" s="1">
        <v>0.0</v>
      </c>
      <c r="I1156" s="1">
        <v>3.82</v>
      </c>
      <c r="J1156" s="1" t="s">
        <v>2273</v>
      </c>
      <c r="K1156" s="1" t="s">
        <v>44</v>
      </c>
      <c r="L1156" s="1">
        <v>165.0</v>
      </c>
      <c r="M1156" s="1">
        <v>1968.0</v>
      </c>
      <c r="N1156" s="1">
        <v>1968.0</v>
      </c>
      <c r="P1156" s="2">
        <v>45154.0</v>
      </c>
      <c r="Q1156" s="1" t="s">
        <v>553</v>
      </c>
      <c r="R1156" s="1" t="s">
        <v>5223</v>
      </c>
      <c r="S1156" s="1" t="s">
        <v>32</v>
      </c>
      <c r="W1156" s="1">
        <v>0.0</v>
      </c>
      <c r="X1156" s="1">
        <v>0.0</v>
      </c>
    </row>
    <row r="1157" spans="1:24" ht="15.75" customHeight="1">
      <c r="A1157" s="1">
        <v>1281898.0</v>
      </c>
      <c r="B1157" s="1" t="s">
        <v>5224</v>
      </c>
      <c r="C1157" s="1" t="s">
        <v>5225</v>
      </c>
      <c r="D1157" s="1" t="s">
        <v>5226</v>
      </c>
      <c r="F1157" s="1" t="str">
        <f>"0262610825"</f>
        <v>0262610825</v>
      </c>
      <c r="G1157" s="1" t="str">
        <f>"9780262610827"</f>
        <v>9780262610827</v>
      </c>
      <c r="H1157" s="1">
        <v>0.0</v>
      </c>
      <c r="I1157" s="1">
        <v>4.33</v>
      </c>
      <c r="J1157" s="1" t="s">
        <v>1353</v>
      </c>
      <c r="K1157" s="1" t="s">
        <v>44</v>
      </c>
      <c r="M1157" s="1">
        <v>1992.0</v>
      </c>
      <c r="N1157" s="1">
        <v>1990.0</v>
      </c>
      <c r="P1157" s="2">
        <v>45153.0</v>
      </c>
      <c r="Q1157" s="1" t="s">
        <v>32</v>
      </c>
      <c r="R1157" s="1" t="s">
        <v>5227</v>
      </c>
      <c r="S1157" s="1" t="s">
        <v>32</v>
      </c>
      <c r="W1157" s="1">
        <v>0.0</v>
      </c>
      <c r="X1157" s="1">
        <v>0.0</v>
      </c>
    </row>
    <row r="1158" spans="1:24" ht="15.75" customHeight="1">
      <c r="A1158" s="1">
        <v>235898.0</v>
      </c>
      <c r="B1158" s="1" t="s">
        <v>5228</v>
      </c>
      <c r="C1158" s="1" t="s">
        <v>5229</v>
      </c>
      <c r="D1158" s="1" t="s">
        <v>5230</v>
      </c>
      <c r="E1158" s="1" t="s">
        <v>5231</v>
      </c>
      <c r="F1158" s="1" t="str">
        <f>"1592402313"</f>
        <v>1592402313</v>
      </c>
      <c r="G1158" s="1" t="str">
        <f>"9781592402311"</f>
        <v>9781592402311</v>
      </c>
      <c r="H1158" s="1">
        <v>5.0</v>
      </c>
      <c r="I1158" s="1">
        <v>4.37</v>
      </c>
      <c r="J1158" s="1" t="s">
        <v>5232</v>
      </c>
      <c r="K1158" s="1" t="s">
        <v>37</v>
      </c>
      <c r="L1158" s="1">
        <v>368.0</v>
      </c>
      <c r="M1158" s="1">
        <v>2006.0</v>
      </c>
      <c r="N1158" s="1">
        <v>2006.0</v>
      </c>
      <c r="P1158" s="2">
        <v>41305.0</v>
      </c>
      <c r="S1158" s="1" t="s">
        <v>271</v>
      </c>
      <c r="W1158" s="1">
        <v>1.0</v>
      </c>
      <c r="X1158" s="1">
        <v>0.0</v>
      </c>
    </row>
    <row r="1159" spans="1:24" ht="15.75" customHeight="1">
      <c r="A1159" s="1">
        <v>1.8797133E7</v>
      </c>
      <c r="B1159" s="1" t="s">
        <v>5233</v>
      </c>
      <c r="C1159" s="1" t="s">
        <v>5234</v>
      </c>
      <c r="D1159" s="1" t="s">
        <v>5235</v>
      </c>
      <c r="F1159" s="1" t="str">
        <f>"1938905377"</f>
        <v>1938905377</v>
      </c>
      <c r="G1159" s="1" t="str">
        <f>"9781938905377"</f>
        <v>9781938905377</v>
      </c>
      <c r="H1159" s="1">
        <v>0.0</v>
      </c>
      <c r="I1159" s="1">
        <v>5.0</v>
      </c>
      <c r="J1159" s="1" t="s">
        <v>5236</v>
      </c>
      <c r="K1159" s="1" t="s">
        <v>37</v>
      </c>
      <c r="L1159" s="1">
        <v>192.0</v>
      </c>
      <c r="M1159" s="1">
        <v>2016.0</v>
      </c>
      <c r="N1159" s="1">
        <v>2013.0</v>
      </c>
      <c r="P1159" s="2">
        <v>45145.0</v>
      </c>
      <c r="Q1159" s="1" t="s">
        <v>935</v>
      </c>
      <c r="R1159" s="1" t="s">
        <v>5237</v>
      </c>
      <c r="S1159" s="1" t="s">
        <v>32</v>
      </c>
      <c r="W1159" s="1">
        <v>0.0</v>
      </c>
      <c r="X1159" s="1">
        <v>0.0</v>
      </c>
    </row>
    <row r="1160" spans="1:24" ht="15.75" customHeight="1">
      <c r="A1160" s="1">
        <v>677877.0</v>
      </c>
      <c r="B1160" s="1" t="s">
        <v>5238</v>
      </c>
      <c r="C1160" s="1" t="s">
        <v>5239</v>
      </c>
      <c r="D1160" s="1" t="s">
        <v>5240</v>
      </c>
      <c r="F1160" s="1" t="str">
        <f>"0802136346"</f>
        <v>0802136346</v>
      </c>
      <c r="G1160" s="1" t="str">
        <f>"9780802136343"</f>
        <v>9780802136343</v>
      </c>
      <c r="H1160" s="1">
        <v>0.0</v>
      </c>
      <c r="I1160" s="1">
        <v>3.85</v>
      </c>
      <c r="J1160" s="1" t="s">
        <v>663</v>
      </c>
      <c r="K1160" s="1" t="s">
        <v>44</v>
      </c>
      <c r="L1160" s="1">
        <v>141.0</v>
      </c>
      <c r="M1160" s="1">
        <v>1999.0</v>
      </c>
      <c r="N1160" s="1">
        <v>1970.0</v>
      </c>
      <c r="P1160" s="2">
        <v>44814.0</v>
      </c>
      <c r="Q1160" s="1" t="s">
        <v>502</v>
      </c>
      <c r="R1160" s="1" t="s">
        <v>5241</v>
      </c>
      <c r="S1160" s="1" t="s">
        <v>32</v>
      </c>
      <c r="W1160" s="1">
        <v>0.0</v>
      </c>
      <c r="X1160" s="1">
        <v>0.0</v>
      </c>
    </row>
    <row r="1161" spans="1:24" ht="15.75" customHeight="1">
      <c r="A1161" s="1">
        <v>2.8505023E7</v>
      </c>
      <c r="B1161" s="1" t="s">
        <v>5242</v>
      </c>
      <c r="C1161" s="1" t="s">
        <v>3373</v>
      </c>
      <c r="D1161" s="1" t="s">
        <v>5243</v>
      </c>
      <c r="F1161" s="1" t="str">
        <f>"1501126342"</f>
        <v>1501126342</v>
      </c>
      <c r="G1161" s="1" t="str">
        <f>"9781501126345"</f>
        <v>9781501126345</v>
      </c>
      <c r="H1161" s="1">
        <v>0.0</v>
      </c>
      <c r="I1161" s="1">
        <v>4.36</v>
      </c>
      <c r="J1161" s="1" t="s">
        <v>88</v>
      </c>
      <c r="K1161" s="1" t="s">
        <v>37</v>
      </c>
      <c r="L1161" s="1">
        <v>226.0</v>
      </c>
      <c r="M1161" s="1">
        <v>2016.0</v>
      </c>
      <c r="N1161" s="1">
        <v>2016.0</v>
      </c>
      <c r="P1161" s="2">
        <v>42621.0</v>
      </c>
      <c r="Q1161" s="1" t="s">
        <v>1235</v>
      </c>
      <c r="R1161" s="1" t="s">
        <v>5244</v>
      </c>
      <c r="S1161" s="1" t="s">
        <v>32</v>
      </c>
      <c r="W1161" s="1">
        <v>0.0</v>
      </c>
      <c r="X1161" s="1">
        <v>1.0</v>
      </c>
    </row>
    <row r="1162" spans="1:24" ht="15.75" customHeight="1">
      <c r="A1162" s="1">
        <v>1453576.0</v>
      </c>
      <c r="B1162" s="1" t="s">
        <v>5245</v>
      </c>
      <c r="C1162" s="1" t="s">
        <v>5246</v>
      </c>
      <c r="D1162" s="1" t="s">
        <v>5247</v>
      </c>
      <c r="F1162" s="1" t="str">
        <f>"0553260855"</f>
        <v>0553260855</v>
      </c>
      <c r="G1162" s="1" t="str">
        <f>"9780553260854"</f>
        <v>9780553260854</v>
      </c>
      <c r="H1162" s="1">
        <v>0.0</v>
      </c>
      <c r="I1162" s="1">
        <v>4.23</v>
      </c>
      <c r="J1162" s="1" t="s">
        <v>1585</v>
      </c>
      <c r="K1162" s="1" t="s">
        <v>1225</v>
      </c>
      <c r="L1162" s="1">
        <v>304.0</v>
      </c>
      <c r="M1162" s="1">
        <v>1989.0</v>
      </c>
      <c r="N1162" s="1">
        <v>1971.0</v>
      </c>
      <c r="P1162" s="2">
        <v>44790.0</v>
      </c>
      <c r="Q1162" s="1" t="s">
        <v>32</v>
      </c>
      <c r="R1162" s="1" t="s">
        <v>5248</v>
      </c>
      <c r="S1162" s="1" t="s">
        <v>32</v>
      </c>
      <c r="W1162" s="1">
        <v>0.0</v>
      </c>
      <c r="X1162" s="1">
        <v>0.0</v>
      </c>
    </row>
    <row r="1163" spans="1:24" ht="15.75" customHeight="1">
      <c r="A1163" s="1">
        <v>2.1491527E7</v>
      </c>
      <c r="B1163" s="1" t="s">
        <v>5249</v>
      </c>
      <c r="C1163" s="1" t="s">
        <v>5250</v>
      </c>
      <c r="D1163" s="1" t="s">
        <v>5251</v>
      </c>
      <c r="F1163" s="1" t="str">
        <f>"0062359835"</f>
        <v>0062359835</v>
      </c>
      <c r="G1163" s="1" t="str">
        <f>"9780062359834"</f>
        <v>9780062359834</v>
      </c>
      <c r="H1163" s="1">
        <v>2.0</v>
      </c>
      <c r="I1163" s="1">
        <v>3.7</v>
      </c>
      <c r="J1163" s="1" t="s">
        <v>917</v>
      </c>
      <c r="K1163" s="1" t="s">
        <v>44</v>
      </c>
      <c r="L1163" s="1">
        <v>352.0</v>
      </c>
      <c r="M1163" s="1">
        <v>2014.0</v>
      </c>
      <c r="N1163" s="1">
        <v>2009.0</v>
      </c>
      <c r="O1163" s="2">
        <v>42100.0</v>
      </c>
      <c r="P1163" s="2">
        <v>42067.0</v>
      </c>
      <c r="S1163" s="1" t="s">
        <v>271</v>
      </c>
      <c r="W1163" s="1">
        <v>1.0</v>
      </c>
      <c r="X1163" s="1">
        <v>0.0</v>
      </c>
    </row>
    <row r="1164" spans="1:24" ht="15.75" customHeight="1">
      <c r="A1164" s="1">
        <v>2.3358216E7</v>
      </c>
      <c r="B1164" s="1" t="s">
        <v>5252</v>
      </c>
      <c r="C1164" s="1" t="s">
        <v>5253</v>
      </c>
      <c r="D1164" s="1" t="s">
        <v>5254</v>
      </c>
      <c r="F1164" s="1" t="str">
        <f>"1101870125"</f>
        <v>1101870125</v>
      </c>
      <c r="G1164" s="1" t="str">
        <f>"9781101870129"</f>
        <v>9781101870129</v>
      </c>
      <c r="H1164" s="1">
        <v>0.0</v>
      </c>
      <c r="I1164" s="1">
        <v>3.49</v>
      </c>
      <c r="J1164" s="1" t="s">
        <v>772</v>
      </c>
      <c r="K1164" s="1" t="s">
        <v>37</v>
      </c>
      <c r="L1164" s="1">
        <v>240.0</v>
      </c>
      <c r="M1164" s="1">
        <v>2015.0</v>
      </c>
      <c r="N1164" s="1">
        <v>2015.0</v>
      </c>
      <c r="P1164" s="2">
        <v>42345.0</v>
      </c>
      <c r="Q1164" s="1" t="s">
        <v>32</v>
      </c>
      <c r="R1164" s="1" t="s">
        <v>5255</v>
      </c>
      <c r="S1164" s="1" t="s">
        <v>32</v>
      </c>
      <c r="W1164" s="1">
        <v>0.0</v>
      </c>
      <c r="X1164" s="1">
        <v>0.0</v>
      </c>
    </row>
    <row r="1165" spans="1:24" ht="15.75" customHeight="1">
      <c r="A1165" s="1">
        <v>4789658.0</v>
      </c>
      <c r="B1165" s="1" t="s">
        <v>5256</v>
      </c>
      <c r="C1165" s="1" t="s">
        <v>5253</v>
      </c>
      <c r="D1165" s="1" t="s">
        <v>5254</v>
      </c>
      <c r="F1165" s="1" t="str">
        <f>"0307387461"</f>
        <v>0307387461</v>
      </c>
      <c r="G1165" s="1" t="str">
        <f>"9780307387462"</f>
        <v>9780307387462</v>
      </c>
      <c r="H1165" s="1">
        <v>0.0</v>
      </c>
      <c r="I1165" s="1">
        <v>3.79</v>
      </c>
      <c r="J1165" s="1" t="s">
        <v>69</v>
      </c>
      <c r="K1165" s="1" t="s">
        <v>44</v>
      </c>
      <c r="L1165" s="1">
        <v>240.0</v>
      </c>
      <c r="M1165" s="1">
        <v>2009.0</v>
      </c>
      <c r="N1165" s="1">
        <v>2009.0</v>
      </c>
      <c r="P1165" s="2">
        <v>41466.0</v>
      </c>
      <c r="Q1165" s="1" t="s">
        <v>32</v>
      </c>
      <c r="R1165" s="1" t="s">
        <v>5257</v>
      </c>
      <c r="S1165" s="1" t="s">
        <v>32</v>
      </c>
      <c r="W1165" s="1">
        <v>0.0</v>
      </c>
      <c r="X1165" s="1">
        <v>0.0</v>
      </c>
    </row>
    <row r="1166" spans="1:24" ht="15.75" customHeight="1">
      <c r="A1166" s="1">
        <v>1.3166631E7</v>
      </c>
      <c r="B1166" s="1" t="s">
        <v>5258</v>
      </c>
      <c r="C1166" s="1" t="s">
        <v>5259</v>
      </c>
      <c r="D1166" s="1" t="s">
        <v>5260</v>
      </c>
      <c r="F1166" s="1" t="str">
        <f>"0374532923"</f>
        <v>0374532923</v>
      </c>
      <c r="G1166" s="1" t="str">
        <f>"9780374532925"</f>
        <v>9780374532925</v>
      </c>
      <c r="H1166" s="1">
        <v>0.0</v>
      </c>
      <c r="I1166" s="1">
        <v>3.72</v>
      </c>
      <c r="J1166" s="1" t="s">
        <v>5261</v>
      </c>
      <c r="K1166" s="1" t="s">
        <v>44</v>
      </c>
      <c r="L1166" s="1">
        <v>320.0</v>
      </c>
      <c r="M1166" s="1">
        <v>2012.0</v>
      </c>
      <c r="N1166" s="1">
        <v>2010.0</v>
      </c>
      <c r="P1166" s="2">
        <v>42392.0</v>
      </c>
      <c r="Q1166" s="1" t="s">
        <v>32</v>
      </c>
      <c r="R1166" s="1" t="s">
        <v>5262</v>
      </c>
      <c r="S1166" s="1" t="s">
        <v>32</v>
      </c>
      <c r="W1166" s="1">
        <v>0.0</v>
      </c>
      <c r="X1166" s="1">
        <v>0.0</v>
      </c>
    </row>
    <row r="1167" spans="1:24" ht="15.75" customHeight="1">
      <c r="A1167" s="1">
        <v>1.7332242E7</v>
      </c>
      <c r="B1167" s="1" t="s">
        <v>5263</v>
      </c>
      <c r="C1167" s="1" t="s">
        <v>5259</v>
      </c>
      <c r="D1167" s="1" t="s">
        <v>5260</v>
      </c>
      <c r="F1167" s="1" t="str">
        <f>"0374230897"</f>
        <v>0374230897</v>
      </c>
      <c r="G1167" s="1" t="str">
        <f>"9780374230890"</f>
        <v>9780374230890</v>
      </c>
      <c r="H1167" s="1">
        <v>0.0</v>
      </c>
      <c r="I1167" s="1">
        <v>3.73</v>
      </c>
      <c r="J1167" s="1" t="s">
        <v>5261</v>
      </c>
      <c r="K1167" s="1" t="s">
        <v>37</v>
      </c>
      <c r="L1167" s="1">
        <v>265.0</v>
      </c>
      <c r="M1167" s="1">
        <v>2013.0</v>
      </c>
      <c r="N1167" s="1">
        <v>2013.0</v>
      </c>
      <c r="P1167" s="2">
        <v>42392.0</v>
      </c>
      <c r="Q1167" s="1" t="s">
        <v>32</v>
      </c>
      <c r="R1167" s="1" t="s">
        <v>5264</v>
      </c>
      <c r="S1167" s="1" t="s">
        <v>32</v>
      </c>
      <c r="W1167" s="1">
        <v>0.0</v>
      </c>
      <c r="X1167" s="1">
        <v>0.0</v>
      </c>
    </row>
    <row r="1168" spans="1:24" ht="15.75" customHeight="1">
      <c r="A1168" s="1">
        <v>5.0981824E7</v>
      </c>
      <c r="B1168" s="1" t="s">
        <v>5265</v>
      </c>
      <c r="C1168" s="1" t="s">
        <v>5266</v>
      </c>
      <c r="D1168" s="1" t="s">
        <v>5267</v>
      </c>
      <c r="E1168" s="1" t="s">
        <v>5268</v>
      </c>
      <c r="F1168" s="1" t="str">
        <f>"3836579871"</f>
        <v>3836579871</v>
      </c>
      <c r="G1168" s="1" t="str">
        <f>"9783836579872"</f>
        <v>9783836579872</v>
      </c>
      <c r="H1168" s="1">
        <v>0.0</v>
      </c>
      <c r="I1168" s="1">
        <v>4.51</v>
      </c>
      <c r="J1168" s="1" t="s">
        <v>5269</v>
      </c>
      <c r="K1168" s="1" t="s">
        <v>37</v>
      </c>
      <c r="L1168" s="1">
        <v>519.0</v>
      </c>
      <c r="M1168" s="1">
        <v>2020.0</v>
      </c>
      <c r="P1168" s="2">
        <v>45059.0</v>
      </c>
      <c r="Q1168" s="1" t="s">
        <v>32</v>
      </c>
      <c r="R1168" s="1" t="s">
        <v>5270</v>
      </c>
      <c r="S1168" s="1" t="s">
        <v>32</v>
      </c>
      <c r="W1168" s="1">
        <v>0.0</v>
      </c>
      <c r="X1168" s="1">
        <v>0.0</v>
      </c>
    </row>
    <row r="1169" spans="1:24" ht="15.75" customHeight="1">
      <c r="A1169" s="1">
        <v>4371062.0</v>
      </c>
      <c r="B1169" s="1" t="s">
        <v>5271</v>
      </c>
      <c r="C1169" s="1" t="s">
        <v>5272</v>
      </c>
      <c r="D1169" s="1" t="s">
        <v>5273</v>
      </c>
      <c r="E1169" s="1" t="s">
        <v>5274</v>
      </c>
      <c r="F1169" s="1" t="str">
        <f>"8478442391"</f>
        <v>8478442391</v>
      </c>
      <c r="G1169" s="1" t="str">
        <f>"9788478442393"</f>
        <v>9788478442393</v>
      </c>
      <c r="H1169" s="1">
        <v>0.0</v>
      </c>
      <c r="I1169" s="1">
        <v>3.85</v>
      </c>
      <c r="J1169" s="1" t="s">
        <v>638</v>
      </c>
      <c r="K1169" s="1" t="s">
        <v>37</v>
      </c>
      <c r="L1169" s="1">
        <v>208.0</v>
      </c>
      <c r="M1169" s="1">
        <v>2007.0</v>
      </c>
      <c r="N1169" s="1">
        <v>2007.0</v>
      </c>
      <c r="P1169" s="2">
        <v>43976.0</v>
      </c>
      <c r="Q1169" s="1" t="s">
        <v>109</v>
      </c>
      <c r="R1169" s="1" t="s">
        <v>5275</v>
      </c>
      <c r="S1169" s="1" t="s">
        <v>32</v>
      </c>
      <c r="W1169" s="1">
        <v>0.0</v>
      </c>
      <c r="X1169" s="1">
        <v>0.0</v>
      </c>
    </row>
    <row r="1170" spans="1:24" ht="15.75" customHeight="1">
      <c r="A1170" s="1">
        <v>1.2844741E7</v>
      </c>
      <c r="B1170" s="1" t="s">
        <v>5276</v>
      </c>
      <c r="C1170" s="1" t="s">
        <v>5272</v>
      </c>
      <c r="D1170" s="1" t="s">
        <v>5273</v>
      </c>
      <c r="F1170" s="1" t="str">
        <f>"8498416094"</f>
        <v>8498416094</v>
      </c>
      <c r="G1170" s="1" t="str">
        <f>"9788498416091"</f>
        <v>9788498416091</v>
      </c>
      <c r="H1170" s="1">
        <v>0.0</v>
      </c>
      <c r="I1170" s="1">
        <v>3.35</v>
      </c>
      <c r="J1170" s="1" t="s">
        <v>638</v>
      </c>
      <c r="K1170" s="1" t="s">
        <v>44</v>
      </c>
      <c r="L1170" s="1">
        <v>224.0</v>
      </c>
      <c r="M1170" s="1">
        <v>2011.0</v>
      </c>
      <c r="N1170" s="1">
        <v>2011.0</v>
      </c>
      <c r="P1170" s="2">
        <v>43976.0</v>
      </c>
      <c r="Q1170" s="1" t="s">
        <v>32</v>
      </c>
      <c r="R1170" s="1" t="s">
        <v>5277</v>
      </c>
      <c r="S1170" s="1" t="s">
        <v>32</v>
      </c>
      <c r="W1170" s="1">
        <v>0.0</v>
      </c>
      <c r="X1170" s="1">
        <v>0.0</v>
      </c>
    </row>
    <row r="1171" spans="1:24" ht="15.75" customHeight="1">
      <c r="A1171" s="1">
        <v>3.5820384E7</v>
      </c>
      <c r="B1171" s="1" t="s">
        <v>5278</v>
      </c>
      <c r="C1171" s="1" t="s">
        <v>5279</v>
      </c>
      <c r="D1171" s="1" t="s">
        <v>5280</v>
      </c>
      <c r="F1171" s="1" t="str">
        <f>"0062652613"</f>
        <v>0062652613</v>
      </c>
      <c r="G1171" s="1" t="str">
        <f>"9780062652614"</f>
        <v>9780062652614</v>
      </c>
      <c r="H1171" s="1">
        <v>0.0</v>
      </c>
      <c r="I1171" s="1">
        <v>3.7</v>
      </c>
      <c r="J1171" s="1" t="s">
        <v>917</v>
      </c>
      <c r="K1171" s="1" t="s">
        <v>44</v>
      </c>
      <c r="L1171" s="1">
        <v>256.0</v>
      </c>
      <c r="M1171" s="1">
        <v>2018.0</v>
      </c>
      <c r="N1171" s="1">
        <v>2018.0</v>
      </c>
      <c r="P1171" s="2">
        <v>44444.0</v>
      </c>
      <c r="Q1171" s="1" t="s">
        <v>32</v>
      </c>
      <c r="R1171" s="1" t="s">
        <v>5281</v>
      </c>
      <c r="S1171" s="1" t="s">
        <v>32</v>
      </c>
      <c r="W1171" s="1">
        <v>0.0</v>
      </c>
      <c r="X1171" s="1">
        <v>0.0</v>
      </c>
    </row>
    <row r="1172" spans="1:24" ht="15.75" customHeight="1">
      <c r="A1172" s="1">
        <v>1.72621E7</v>
      </c>
      <c r="B1172" s="1" t="s">
        <v>5282</v>
      </c>
      <c r="C1172" s="1" t="s">
        <v>5283</v>
      </c>
      <c r="D1172" s="1" t="s">
        <v>5284</v>
      </c>
      <c r="F1172" s="1" t="str">
        <f>"0307265749"</f>
        <v>0307265749</v>
      </c>
      <c r="G1172" s="1" t="str">
        <f>"9780307265746"</f>
        <v>9780307265746</v>
      </c>
      <c r="H1172" s="1">
        <v>0.0</v>
      </c>
      <c r="I1172" s="1">
        <v>3.87</v>
      </c>
      <c r="J1172" s="1" t="s">
        <v>1397</v>
      </c>
      <c r="K1172" s="1" t="s">
        <v>37</v>
      </c>
      <c r="L1172" s="1">
        <v>340.0</v>
      </c>
      <c r="M1172" s="1">
        <v>2013.0</v>
      </c>
      <c r="N1172" s="1">
        <v>2013.0</v>
      </c>
      <c r="P1172" s="3">
        <v>41567.0</v>
      </c>
      <c r="Q1172" s="1" t="s">
        <v>32</v>
      </c>
      <c r="R1172" s="1" t="s">
        <v>5285</v>
      </c>
      <c r="S1172" s="1" t="s">
        <v>32</v>
      </c>
      <c r="W1172" s="1">
        <v>0.0</v>
      </c>
      <c r="X1172" s="1">
        <v>0.0</v>
      </c>
    </row>
    <row r="1173" spans="1:24" ht="15.75" customHeight="1">
      <c r="A1173" s="1">
        <v>4.3126457E7</v>
      </c>
      <c r="B1173" s="1" t="s">
        <v>5286</v>
      </c>
      <c r="C1173" s="1" t="s">
        <v>5287</v>
      </c>
      <c r="D1173" s="1" t="s">
        <v>5288</v>
      </c>
      <c r="F1173" s="1" t="str">
        <f>"0525510540"</f>
        <v>0525510540</v>
      </c>
      <c r="G1173" s="1" t="str">
        <f>"9780525510543"</f>
        <v>9780525510543</v>
      </c>
      <c r="H1173" s="1">
        <v>0.0</v>
      </c>
      <c r="I1173" s="1">
        <v>4.05</v>
      </c>
      <c r="J1173" s="1" t="s">
        <v>1189</v>
      </c>
      <c r="K1173" s="1" t="s">
        <v>37</v>
      </c>
      <c r="L1173" s="1">
        <v>303.0</v>
      </c>
      <c r="M1173" s="1">
        <v>2019.0</v>
      </c>
      <c r="N1173" s="1">
        <v>2019.0</v>
      </c>
      <c r="P1173" s="2">
        <v>43921.0</v>
      </c>
      <c r="Q1173" s="1" t="s">
        <v>338</v>
      </c>
      <c r="R1173" s="1" t="s">
        <v>5289</v>
      </c>
      <c r="S1173" s="1" t="s">
        <v>32</v>
      </c>
      <c r="W1173" s="1">
        <v>0.0</v>
      </c>
      <c r="X1173" s="1">
        <v>0.0</v>
      </c>
    </row>
    <row r="1174" spans="1:24" ht="15.75" customHeight="1">
      <c r="A1174" s="1">
        <v>361991.0</v>
      </c>
      <c r="B1174" s="1" t="s">
        <v>5290</v>
      </c>
      <c r="C1174" s="1" t="s">
        <v>5291</v>
      </c>
      <c r="D1174" s="1" t="s">
        <v>5292</v>
      </c>
      <c r="F1174" s="1" t="str">
        <f>"0195537688"</f>
        <v>0195537688</v>
      </c>
      <c r="G1174" s="1" t="str">
        <f>"9780195537680"</f>
        <v>9780195537680</v>
      </c>
      <c r="H1174" s="1">
        <v>0.0</v>
      </c>
      <c r="I1174" s="1">
        <v>3.5</v>
      </c>
      <c r="J1174" s="1" t="s">
        <v>181</v>
      </c>
      <c r="K1174" s="1" t="s">
        <v>44</v>
      </c>
      <c r="L1174" s="1">
        <v>240.0</v>
      </c>
      <c r="M1174" s="1">
        <v>1996.0</v>
      </c>
      <c r="N1174" s="1">
        <v>1996.0</v>
      </c>
      <c r="P1174" s="2">
        <v>45181.0</v>
      </c>
      <c r="Q1174" s="1" t="s">
        <v>249</v>
      </c>
      <c r="R1174" s="1" t="s">
        <v>5293</v>
      </c>
      <c r="S1174" s="1" t="s">
        <v>32</v>
      </c>
      <c r="W1174" s="1">
        <v>0.0</v>
      </c>
      <c r="X1174" s="1">
        <v>0.0</v>
      </c>
    </row>
    <row r="1175" spans="1:24" ht="15.75" customHeight="1">
      <c r="A1175" s="1">
        <v>842450.0</v>
      </c>
      <c r="B1175" s="1" t="s">
        <v>5294</v>
      </c>
      <c r="C1175" s="1" t="s">
        <v>5295</v>
      </c>
      <c r="D1175" s="1" t="s">
        <v>5296</v>
      </c>
      <c r="E1175" s="1" t="s">
        <v>5297</v>
      </c>
      <c r="F1175" s="1" t="str">
        <f>"0679450149"</f>
        <v>0679450149</v>
      </c>
      <c r="G1175" s="1" t="str">
        <f>"9780679450146"</f>
        <v>9780679450146</v>
      </c>
      <c r="H1175" s="1">
        <v>0.0</v>
      </c>
      <c r="I1175" s="1">
        <v>4.15</v>
      </c>
      <c r="J1175" s="1" t="s">
        <v>1189</v>
      </c>
      <c r="K1175" s="1" t="s">
        <v>37</v>
      </c>
      <c r="L1175" s="1">
        <v>110.0</v>
      </c>
      <c r="M1175" s="1">
        <v>1996.0</v>
      </c>
      <c r="N1175" s="1">
        <v>1996.0</v>
      </c>
      <c r="P1175" s="2">
        <v>41836.0</v>
      </c>
      <c r="Q1175" s="1" t="s">
        <v>32</v>
      </c>
      <c r="R1175" s="1" t="s">
        <v>5298</v>
      </c>
      <c r="S1175" s="1" t="s">
        <v>32</v>
      </c>
      <c r="W1175" s="1">
        <v>0.0</v>
      </c>
      <c r="X1175" s="1">
        <v>0.0</v>
      </c>
    </row>
    <row r="1176" spans="1:24" ht="15.75" customHeight="1">
      <c r="A1176" s="1">
        <v>8854815.0</v>
      </c>
      <c r="B1176" s="1" t="s">
        <v>5299</v>
      </c>
      <c r="C1176" s="1" t="s">
        <v>5300</v>
      </c>
      <c r="D1176" s="1" t="s">
        <v>5301</v>
      </c>
      <c r="F1176" s="1" t="str">
        <f>"0871404095"</f>
        <v>0871404095</v>
      </c>
      <c r="G1176" s="1" t="str">
        <f>"9780871404091"</f>
        <v>9780871404091</v>
      </c>
      <c r="H1176" s="1">
        <v>0.0</v>
      </c>
      <c r="I1176" s="1">
        <v>3.81</v>
      </c>
      <c r="J1176" s="1" t="s">
        <v>5302</v>
      </c>
      <c r="K1176" s="1" t="s">
        <v>37</v>
      </c>
      <c r="L1176" s="1">
        <v>279.0</v>
      </c>
      <c r="M1176" s="1">
        <v>2012.0</v>
      </c>
      <c r="N1176" s="1">
        <v>2011.0</v>
      </c>
      <c r="P1176" s="2">
        <v>45177.0</v>
      </c>
      <c r="Q1176" s="1" t="s">
        <v>32</v>
      </c>
      <c r="R1176" s="1" t="s">
        <v>5303</v>
      </c>
      <c r="S1176" s="1" t="s">
        <v>32</v>
      </c>
      <c r="W1176" s="1">
        <v>0.0</v>
      </c>
      <c r="X1176" s="1">
        <v>0.0</v>
      </c>
    </row>
    <row r="1177" spans="1:24" ht="15.75" customHeight="1">
      <c r="A1177" s="1">
        <v>6150907.0</v>
      </c>
      <c r="B1177" s="1" t="s">
        <v>5304</v>
      </c>
      <c r="C1177" s="1" t="s">
        <v>5305</v>
      </c>
      <c r="D1177" s="1" t="s">
        <v>5306</v>
      </c>
      <c r="F1177" s="1" t="str">
        <f>"098024367X"</f>
        <v>098024367X</v>
      </c>
      <c r="G1177" s="1" t="str">
        <f>"9780980243673"</f>
        <v>9780980243673</v>
      </c>
      <c r="H1177" s="1">
        <v>0.0</v>
      </c>
      <c r="I1177" s="1">
        <v>3.31</v>
      </c>
      <c r="J1177" s="1" t="s">
        <v>3038</v>
      </c>
      <c r="K1177" s="1" t="s">
        <v>44</v>
      </c>
      <c r="L1177" s="1">
        <v>250.0</v>
      </c>
      <c r="M1177" s="1">
        <v>2009.0</v>
      </c>
      <c r="N1177" s="1">
        <v>2009.0</v>
      </c>
      <c r="P1177" s="2">
        <v>43969.0</v>
      </c>
      <c r="Q1177" s="1" t="s">
        <v>32</v>
      </c>
      <c r="R1177" s="1" t="s">
        <v>5307</v>
      </c>
      <c r="S1177" s="1" t="s">
        <v>32</v>
      </c>
      <c r="W1177" s="1">
        <v>0.0</v>
      </c>
      <c r="X1177" s="1">
        <v>0.0</v>
      </c>
    </row>
    <row r="1178" spans="1:24" ht="15.75" customHeight="1">
      <c r="A1178" s="1">
        <v>1.2840331E8</v>
      </c>
      <c r="B1178" s="1" t="s">
        <v>5308</v>
      </c>
      <c r="C1178" s="1" t="s">
        <v>5309</v>
      </c>
      <c r="D1178" s="1" t="s">
        <v>5310</v>
      </c>
      <c r="F1178" s="1" t="str">
        <f t="shared" si="81" ref="F1178:G1178">""</f>
        <v/>
      </c>
      <c r="G1178" s="1" t="str">
        <f t="shared" si="81"/>
        <v/>
      </c>
      <c r="H1178" s="1">
        <v>0.0</v>
      </c>
      <c r="I1178" s="1">
        <v>5.0</v>
      </c>
      <c r="J1178" s="1" t="s">
        <v>5311</v>
      </c>
      <c r="K1178" s="1" t="s">
        <v>37</v>
      </c>
      <c r="L1178" s="1">
        <v>130.0</v>
      </c>
      <c r="M1178" s="1">
        <v>1963.0</v>
      </c>
      <c r="N1178" s="1">
        <v>1963.0</v>
      </c>
      <c r="P1178" s="2">
        <v>45160.0</v>
      </c>
      <c r="Q1178" s="1" t="s">
        <v>115</v>
      </c>
      <c r="R1178" s="1" t="s">
        <v>5312</v>
      </c>
      <c r="S1178" s="1" t="s">
        <v>32</v>
      </c>
      <c r="W1178" s="1">
        <v>0.0</v>
      </c>
      <c r="X1178" s="1">
        <v>1.0</v>
      </c>
    </row>
    <row r="1179" spans="1:24" ht="15.75" customHeight="1">
      <c r="A1179" s="1">
        <v>7815.0</v>
      </c>
      <c r="B1179" s="1" t="s">
        <v>5313</v>
      </c>
      <c r="C1179" s="1" t="s">
        <v>5314</v>
      </c>
      <c r="D1179" s="1" t="s">
        <v>5315</v>
      </c>
      <c r="F1179" s="1" t="str">
        <f>"1400078431"</f>
        <v>1400078431</v>
      </c>
      <c r="G1179" s="1" t="str">
        <f>"9781400078431"</f>
        <v>9781400078431</v>
      </c>
      <c r="H1179" s="1">
        <v>0.0</v>
      </c>
      <c r="I1179" s="1">
        <v>3.93</v>
      </c>
      <c r="J1179" s="1" t="s">
        <v>69</v>
      </c>
      <c r="K1179" s="1" t="s">
        <v>44</v>
      </c>
      <c r="L1179" s="1">
        <v>227.0</v>
      </c>
      <c r="M1179" s="1">
        <v>2007.0</v>
      </c>
      <c r="N1179" s="1">
        <v>2005.0</v>
      </c>
      <c r="P1179" s="2">
        <v>44242.0</v>
      </c>
      <c r="Q1179" s="1" t="s">
        <v>55</v>
      </c>
      <c r="R1179" s="1" t="s">
        <v>5316</v>
      </c>
      <c r="S1179" s="1" t="s">
        <v>32</v>
      </c>
      <c r="W1179" s="1">
        <v>0.0</v>
      </c>
      <c r="X1179" s="1">
        <v>0.0</v>
      </c>
    </row>
    <row r="1180" spans="1:24" ht="15.75" customHeight="1">
      <c r="A1180" s="1">
        <v>3.2842454E7</v>
      </c>
      <c r="B1180" s="1" t="s">
        <v>5317</v>
      </c>
      <c r="C1180" s="1" t="s">
        <v>5314</v>
      </c>
      <c r="D1180" s="1" t="s">
        <v>5315</v>
      </c>
      <c r="E1180" s="1" t="s">
        <v>5318</v>
      </c>
      <c r="F1180" s="1" t="str">
        <f>"1524732796"</f>
        <v>1524732796</v>
      </c>
      <c r="G1180" s="1" t="str">
        <f>"9781524732790"</f>
        <v>9781524732790</v>
      </c>
      <c r="H1180" s="1">
        <v>0.0</v>
      </c>
      <c r="I1180" s="1">
        <v>3.69</v>
      </c>
      <c r="J1180" s="1" t="s">
        <v>1397</v>
      </c>
      <c r="K1180" s="1" t="s">
        <v>37</v>
      </c>
      <c r="L1180" s="1">
        <v>160.0</v>
      </c>
      <c r="M1180" s="1">
        <v>2017.0</v>
      </c>
      <c r="N1180" s="1">
        <v>2017.0</v>
      </c>
      <c r="P1180" s="2">
        <v>45154.0</v>
      </c>
      <c r="Q1180" s="1" t="s">
        <v>32</v>
      </c>
      <c r="R1180" s="1" t="s">
        <v>5319</v>
      </c>
      <c r="S1180" s="1" t="s">
        <v>32</v>
      </c>
      <c r="W1180" s="1">
        <v>0.0</v>
      </c>
      <c r="X1180" s="1">
        <v>0.0</v>
      </c>
    </row>
    <row r="1181" spans="1:24" ht="15.75" customHeight="1">
      <c r="A1181" s="1">
        <v>791345.0</v>
      </c>
      <c r="B1181" s="1" t="s">
        <v>5320</v>
      </c>
      <c r="C1181" s="1" t="s">
        <v>5321</v>
      </c>
      <c r="D1181" s="1" t="s">
        <v>5322</v>
      </c>
      <c r="F1181" s="1" t="str">
        <f>"0099750619"</f>
        <v>0099750619</v>
      </c>
      <c r="G1181" s="1" t="str">
        <f>"9780099750611"</f>
        <v>9780099750611</v>
      </c>
      <c r="H1181" s="1">
        <v>0.0</v>
      </c>
      <c r="I1181" s="1">
        <v>3.67</v>
      </c>
      <c r="J1181" s="1" t="s">
        <v>5323</v>
      </c>
      <c r="K1181" s="1" t="s">
        <v>44</v>
      </c>
      <c r="L1181" s="1">
        <v>189.0</v>
      </c>
      <c r="M1181" s="1">
        <v>1998.0</v>
      </c>
      <c r="N1181" s="1">
        <v>1967.0</v>
      </c>
      <c r="P1181" s="2">
        <v>45150.0</v>
      </c>
      <c r="Q1181" s="1" t="s">
        <v>32</v>
      </c>
      <c r="R1181" s="1" t="s">
        <v>5324</v>
      </c>
      <c r="S1181" s="1" t="s">
        <v>32</v>
      </c>
      <c r="W1181" s="1">
        <v>0.0</v>
      </c>
      <c r="X1181" s="1">
        <v>0.0</v>
      </c>
    </row>
    <row r="1182" spans="1:24" ht="15.75" customHeight="1">
      <c r="A1182" s="1">
        <v>770655.0</v>
      </c>
      <c r="B1182" s="1" t="s">
        <v>5325</v>
      </c>
      <c r="C1182" s="1" t="s">
        <v>5326</v>
      </c>
      <c r="D1182" s="1" t="s">
        <v>5327</v>
      </c>
      <c r="F1182" s="1" t="str">
        <f>"1555831907"</f>
        <v>1555831907</v>
      </c>
      <c r="G1182" s="1" t="str">
        <f>"9781555831905"</f>
        <v>9781555831905</v>
      </c>
      <c r="H1182" s="1">
        <v>0.0</v>
      </c>
      <c r="I1182" s="1">
        <v>4.18</v>
      </c>
      <c r="J1182" s="1" t="s">
        <v>5328</v>
      </c>
      <c r="K1182" s="1" t="s">
        <v>44</v>
      </c>
      <c r="L1182" s="1">
        <v>502.0</v>
      </c>
      <c r="M1182" s="1">
        <v>1992.0</v>
      </c>
      <c r="N1182" s="1">
        <v>1992.0</v>
      </c>
      <c r="P1182" s="2">
        <v>45180.0</v>
      </c>
      <c r="Q1182" s="1" t="s">
        <v>32</v>
      </c>
      <c r="R1182" s="1" t="s">
        <v>5329</v>
      </c>
      <c r="S1182" s="1" t="s">
        <v>32</v>
      </c>
      <c r="W1182" s="1">
        <v>0.0</v>
      </c>
      <c r="X1182" s="1">
        <v>0.0</v>
      </c>
    </row>
    <row r="1183" spans="1:24" ht="15.75" customHeight="1">
      <c r="A1183" s="1">
        <v>2483355.0</v>
      </c>
      <c r="B1183" s="1" t="s">
        <v>5330</v>
      </c>
      <c r="C1183" s="1" t="s">
        <v>5331</v>
      </c>
      <c r="D1183" s="1" t="s">
        <v>5332</v>
      </c>
      <c r="F1183" s="1" t="str">
        <f>"0151014906"</f>
        <v>0151014906</v>
      </c>
      <c r="G1183" s="1" t="str">
        <f>"9780151014903"</f>
        <v>9780151014903</v>
      </c>
      <c r="H1183" s="1">
        <v>0.0</v>
      </c>
      <c r="I1183" s="1">
        <v>4.03</v>
      </c>
      <c r="J1183" s="1" t="s">
        <v>5333</v>
      </c>
      <c r="K1183" s="1" t="s">
        <v>37</v>
      </c>
      <c r="L1183" s="1">
        <v>316.0</v>
      </c>
      <c r="M1183" s="1">
        <v>2008.0</v>
      </c>
      <c r="N1183" s="1">
        <v>2008.0</v>
      </c>
      <c r="P1183" s="2">
        <v>45170.0</v>
      </c>
      <c r="Q1183" s="1" t="s">
        <v>32</v>
      </c>
      <c r="R1183" s="1" t="s">
        <v>5334</v>
      </c>
      <c r="S1183" s="1" t="s">
        <v>32</v>
      </c>
      <c r="W1183" s="1">
        <v>0.0</v>
      </c>
      <c r="X1183" s="1">
        <v>0.0</v>
      </c>
    </row>
    <row r="1184" spans="1:24" ht="15.75" customHeight="1">
      <c r="A1184" s="1">
        <v>1.6003447E7</v>
      </c>
      <c r="B1184" s="1" t="s">
        <v>5335</v>
      </c>
      <c r="C1184" s="1" t="s">
        <v>5336</v>
      </c>
      <c r="D1184" s="1" t="s">
        <v>5337</v>
      </c>
      <c r="F1184" s="1" t="str">
        <f>"0957832958"</f>
        <v>0957832958</v>
      </c>
      <c r="G1184" s="1" t="str">
        <f>"9780957832954"</f>
        <v>9780957832954</v>
      </c>
      <c r="H1184" s="1">
        <v>0.0</v>
      </c>
      <c r="I1184" s="1">
        <v>4.5</v>
      </c>
      <c r="J1184" s="1" t="s">
        <v>5338</v>
      </c>
      <c r="K1184" s="1" t="s">
        <v>44</v>
      </c>
      <c r="L1184" s="1">
        <v>0.0</v>
      </c>
      <c r="M1184" s="1">
        <v>2009.0</v>
      </c>
      <c r="N1184" s="1">
        <v>2009.0</v>
      </c>
      <c r="P1184" s="2">
        <v>45191.0</v>
      </c>
      <c r="Q1184" s="1" t="s">
        <v>3661</v>
      </c>
      <c r="R1184" s="1" t="s">
        <v>5339</v>
      </c>
      <c r="S1184" s="1" t="s">
        <v>32</v>
      </c>
      <c r="W1184" s="1">
        <v>0.0</v>
      </c>
      <c r="X1184" s="1">
        <v>0.0</v>
      </c>
    </row>
    <row r="1185" spans="1:24" ht="15.75" customHeight="1">
      <c r="A1185" s="1">
        <v>6.0708721E7</v>
      </c>
      <c r="B1185" s="1" t="s">
        <v>5340</v>
      </c>
      <c r="C1185" s="1" t="s">
        <v>5341</v>
      </c>
      <c r="D1185" s="1" t="s">
        <v>5342</v>
      </c>
      <c r="F1185" s="1" t="str">
        <f>""</f>
        <v/>
      </c>
      <c r="G1185" s="1" t="str">
        <f>"9781952177798"</f>
        <v>9781952177798</v>
      </c>
      <c r="H1185" s="1">
        <v>0.0</v>
      </c>
      <c r="I1185" s="1">
        <v>4.19</v>
      </c>
      <c r="J1185" s="1" t="s">
        <v>1525</v>
      </c>
      <c r="K1185" s="1" t="s">
        <v>44</v>
      </c>
      <c r="L1185" s="1">
        <v>298.0</v>
      </c>
      <c r="M1185" s="1">
        <v>2022.0</v>
      </c>
      <c r="N1185" s="1">
        <v>2022.0</v>
      </c>
      <c r="P1185" s="3">
        <v>44852.0</v>
      </c>
      <c r="Q1185" s="1" t="s">
        <v>55</v>
      </c>
      <c r="R1185" s="1" t="s">
        <v>5343</v>
      </c>
      <c r="S1185" s="1" t="s">
        <v>32</v>
      </c>
      <c r="W1185" s="1">
        <v>0.0</v>
      </c>
      <c r="X1185" s="1">
        <v>0.0</v>
      </c>
    </row>
    <row r="1186" spans="1:24" ht="15.75" customHeight="1">
      <c r="A1186" s="1">
        <v>7194727.0</v>
      </c>
      <c r="B1186" s="1" t="s">
        <v>5344</v>
      </c>
      <c r="C1186" s="1" t="s">
        <v>5341</v>
      </c>
      <c r="D1186" s="1" t="s">
        <v>5342</v>
      </c>
      <c r="E1186" s="1" t="s">
        <v>5345</v>
      </c>
      <c r="F1186" s="1" t="str">
        <f>"0977934357"</f>
        <v>0977934357</v>
      </c>
      <c r="G1186" s="1" t="str">
        <f>"9780977934355"</f>
        <v>9780977934355</v>
      </c>
      <c r="H1186" s="1">
        <v>0.0</v>
      </c>
      <c r="I1186" s="1">
        <v>4.23</v>
      </c>
      <c r="J1186" s="1" t="s">
        <v>5346</v>
      </c>
      <c r="K1186" s="1" t="s">
        <v>44</v>
      </c>
      <c r="L1186" s="1">
        <v>326.0</v>
      </c>
      <c r="M1186" s="1">
        <v>2010.0</v>
      </c>
      <c r="N1186" s="1">
        <v>2010.0</v>
      </c>
      <c r="P1186" s="3">
        <v>44852.0</v>
      </c>
      <c r="Q1186" s="1" t="s">
        <v>32</v>
      </c>
      <c r="R1186" s="1" t="s">
        <v>5347</v>
      </c>
      <c r="S1186" s="1" t="s">
        <v>32</v>
      </c>
      <c r="W1186" s="1">
        <v>0.0</v>
      </c>
      <c r="X1186" s="1">
        <v>0.0</v>
      </c>
    </row>
    <row r="1187" spans="1:24" ht="15.75" customHeight="1">
      <c r="A1187" s="1">
        <v>1.3260387E7</v>
      </c>
      <c r="B1187" s="1" t="s">
        <v>5348</v>
      </c>
      <c r="C1187" s="1" t="s">
        <v>5349</v>
      </c>
      <c r="D1187" s="1" t="s">
        <v>5350</v>
      </c>
      <c r="E1187" s="1" t="s">
        <v>5351</v>
      </c>
      <c r="F1187" s="1" t="str">
        <f>"1439181551"</f>
        <v>1439181551</v>
      </c>
      <c r="G1187" s="1" t="str">
        <f>"9781439181553"</f>
        <v>9781439181553</v>
      </c>
      <c r="H1187" s="1">
        <v>0.0</v>
      </c>
      <c r="I1187" s="1">
        <v>3.76</v>
      </c>
      <c r="J1187" s="1" t="s">
        <v>535</v>
      </c>
      <c r="K1187" s="1" t="s">
        <v>37</v>
      </c>
      <c r="L1187" s="1">
        <v>352.0</v>
      </c>
      <c r="M1187" s="1">
        <v>2014.0</v>
      </c>
      <c r="N1187" s="1">
        <v>2012.0</v>
      </c>
      <c r="P1187" s="2">
        <v>45173.0</v>
      </c>
      <c r="Q1187" s="1" t="s">
        <v>32</v>
      </c>
      <c r="R1187" s="1" t="s">
        <v>5352</v>
      </c>
      <c r="S1187" s="1" t="s">
        <v>32</v>
      </c>
      <c r="W1187" s="1">
        <v>0.0</v>
      </c>
      <c r="X1187" s="1">
        <v>0.0</v>
      </c>
    </row>
    <row r="1188" spans="1:24" ht="15.75" customHeight="1">
      <c r="A1188" s="1">
        <v>5.7933306E7</v>
      </c>
      <c r="B1188" s="1" t="s">
        <v>5353</v>
      </c>
      <c r="C1188" s="1" t="s">
        <v>5354</v>
      </c>
      <c r="D1188" s="1" t="s">
        <v>5355</v>
      </c>
      <c r="F1188" s="1" t="str">
        <f>"0593138511"</f>
        <v>0593138511</v>
      </c>
      <c r="G1188" s="1" t="str">
        <f>"9780593138519"</f>
        <v>9780593138519</v>
      </c>
      <c r="H1188" s="1">
        <v>0.0</v>
      </c>
      <c r="I1188" s="1">
        <v>4.24</v>
      </c>
      <c r="J1188" s="1" t="s">
        <v>5356</v>
      </c>
      <c r="K1188" s="1" t="s">
        <v>37</v>
      </c>
      <c r="L1188" s="1">
        <v>357.0</v>
      </c>
      <c r="M1188" s="1">
        <v>2022.0</v>
      </c>
      <c r="N1188" s="1">
        <v>2022.0</v>
      </c>
      <c r="P1188" s="2">
        <v>45153.0</v>
      </c>
      <c r="Q1188" s="1" t="s">
        <v>55</v>
      </c>
      <c r="R1188" s="1" t="s">
        <v>5357</v>
      </c>
      <c r="S1188" s="1" t="s">
        <v>32</v>
      </c>
      <c r="W1188" s="1">
        <v>0.0</v>
      </c>
      <c r="X1188" s="1">
        <v>0.0</v>
      </c>
    </row>
    <row r="1189" spans="1:24" ht="15.75" customHeight="1">
      <c r="A1189" s="1">
        <v>9.1290204E7</v>
      </c>
      <c r="B1189" s="1" t="s">
        <v>5358</v>
      </c>
      <c r="C1189" s="1" t="s">
        <v>5359</v>
      </c>
      <c r="D1189" s="1" t="s">
        <v>5360</v>
      </c>
      <c r="F1189" s="1" t="str">
        <f>"1913505669"</f>
        <v>1913505669</v>
      </c>
      <c r="G1189" s="1" t="str">
        <f>"9781913505660"</f>
        <v>9781913505660</v>
      </c>
      <c r="H1189" s="1">
        <v>0.0</v>
      </c>
      <c r="I1189" s="1">
        <v>3.62</v>
      </c>
      <c r="J1189" s="1" t="s">
        <v>2598</v>
      </c>
      <c r="K1189" s="1" t="s">
        <v>37</v>
      </c>
      <c r="L1189" s="1">
        <v>320.0</v>
      </c>
      <c r="M1189" s="1">
        <v>2023.0</v>
      </c>
      <c r="N1189" s="1">
        <v>2023.0</v>
      </c>
      <c r="P1189" s="2">
        <v>45089.0</v>
      </c>
      <c r="Q1189" s="1" t="s">
        <v>502</v>
      </c>
      <c r="R1189" s="1" t="s">
        <v>5361</v>
      </c>
      <c r="S1189" s="1" t="s">
        <v>32</v>
      </c>
      <c r="W1189" s="1">
        <v>0.0</v>
      </c>
      <c r="X1189" s="1">
        <v>0.0</v>
      </c>
    </row>
    <row r="1190" spans="1:24" ht="15.75" customHeight="1">
      <c r="A1190" s="1">
        <v>1.5862122E7</v>
      </c>
      <c r="B1190" s="1" t="s">
        <v>5362</v>
      </c>
      <c r="C1190" s="1" t="s">
        <v>5363</v>
      </c>
      <c r="D1190" s="1" t="s">
        <v>5364</v>
      </c>
      <c r="E1190" s="1" t="s">
        <v>5365</v>
      </c>
      <c r="F1190" s="1" t="str">
        <f>"0738735795"</f>
        <v>0738735795</v>
      </c>
      <c r="G1190" s="1" t="str">
        <f>"9780738735795"</f>
        <v>9780738735795</v>
      </c>
      <c r="H1190" s="1">
        <v>0.0</v>
      </c>
      <c r="I1190" s="1">
        <v>3.98</v>
      </c>
      <c r="J1190" s="1" t="s">
        <v>1267</v>
      </c>
      <c r="K1190" s="1" t="s">
        <v>44</v>
      </c>
      <c r="L1190" s="1">
        <v>216.0</v>
      </c>
      <c r="M1190" s="1">
        <v>2013.0</v>
      </c>
      <c r="P1190" s="2">
        <v>44814.0</v>
      </c>
      <c r="Q1190" s="1" t="s">
        <v>1268</v>
      </c>
      <c r="R1190" s="1" t="s">
        <v>5366</v>
      </c>
      <c r="S1190" s="1" t="s">
        <v>32</v>
      </c>
      <c r="W1190" s="1">
        <v>0.0</v>
      </c>
      <c r="X1190" s="1">
        <v>1.0</v>
      </c>
    </row>
    <row r="1191" spans="1:24" ht="15.75" customHeight="1">
      <c r="A1191" s="1">
        <v>2450973.0</v>
      </c>
      <c r="B1191" s="1" t="s">
        <v>5367</v>
      </c>
      <c r="C1191" s="1" t="s">
        <v>5368</v>
      </c>
      <c r="D1191" s="1" t="s">
        <v>5369</v>
      </c>
      <c r="F1191" s="1" t="str">
        <f>"0099516772"</f>
        <v>0099516772</v>
      </c>
      <c r="G1191" s="1" t="str">
        <f>"9780099516774"</f>
        <v>9780099516774</v>
      </c>
      <c r="H1191" s="1">
        <v>0.0</v>
      </c>
      <c r="I1191" s="1">
        <v>4.22</v>
      </c>
      <c r="J1191" s="1" t="s">
        <v>813</v>
      </c>
      <c r="K1191" s="1" t="s">
        <v>44</v>
      </c>
      <c r="L1191" s="1">
        <v>928.0</v>
      </c>
      <c r="M1191" s="1">
        <v>2008.0</v>
      </c>
      <c r="N1191" s="1">
        <v>2003.0</v>
      </c>
      <c r="P1191" s="3">
        <v>45273.0</v>
      </c>
      <c r="Q1191" s="1" t="s">
        <v>479</v>
      </c>
      <c r="R1191" s="1" t="s">
        <v>5370</v>
      </c>
      <c r="S1191" s="1" t="s">
        <v>32</v>
      </c>
      <c r="W1191" s="1">
        <v>0.0</v>
      </c>
      <c r="X1191" s="1">
        <v>0.0</v>
      </c>
    </row>
    <row r="1192" spans="1:24" ht="15.75" customHeight="1">
      <c r="A1192" s="1">
        <v>7573276.0</v>
      </c>
      <c r="B1192" s="1" t="s">
        <v>5371</v>
      </c>
      <c r="C1192" s="1" t="s">
        <v>5372</v>
      </c>
      <c r="D1192" s="1" t="s">
        <v>5373</v>
      </c>
      <c r="F1192" s="1" t="str">
        <f t="shared" si="82" ref="F1192:G1192">""</f>
        <v/>
      </c>
      <c r="G1192" s="1" t="str">
        <f t="shared" si="82"/>
        <v/>
      </c>
      <c r="H1192" s="1">
        <v>0.0</v>
      </c>
      <c r="I1192" s="1">
        <v>3.79</v>
      </c>
      <c r="J1192" s="1" t="s">
        <v>5374</v>
      </c>
      <c r="K1192" s="1" t="s">
        <v>37</v>
      </c>
      <c r="L1192" s="1">
        <v>304.0</v>
      </c>
      <c r="M1192" s="1">
        <v>1967.0</v>
      </c>
      <c r="N1192" s="1">
        <v>1967.0</v>
      </c>
      <c r="P1192" s="3">
        <v>45271.0</v>
      </c>
      <c r="Q1192" s="1" t="s">
        <v>479</v>
      </c>
      <c r="R1192" s="1" t="s">
        <v>5375</v>
      </c>
      <c r="S1192" s="1" t="s">
        <v>32</v>
      </c>
      <c r="W1192" s="1">
        <v>0.0</v>
      </c>
      <c r="X1192" s="1">
        <v>0.0</v>
      </c>
    </row>
    <row r="1193" spans="1:24" ht="15.75" customHeight="1">
      <c r="A1193" s="1">
        <v>1.361305E7</v>
      </c>
      <c r="B1193" s="1" t="s">
        <v>5376</v>
      </c>
      <c r="C1193" s="1" t="s">
        <v>5377</v>
      </c>
      <c r="D1193" s="1" t="s">
        <v>5378</v>
      </c>
      <c r="F1193" s="1" t="str">
        <f t="shared" si="83" ref="F1193:G1193">""</f>
        <v/>
      </c>
      <c r="G1193" s="1" t="str">
        <f t="shared" si="83"/>
        <v/>
      </c>
      <c r="H1193" s="1">
        <v>0.0</v>
      </c>
      <c r="I1193" s="1">
        <v>3.87</v>
      </c>
      <c r="J1193" s="1" t="s">
        <v>962</v>
      </c>
      <c r="L1193" s="1">
        <v>265.0</v>
      </c>
      <c r="M1193" s="1">
        <v>2009.0</v>
      </c>
      <c r="N1193" s="1">
        <v>2009.0</v>
      </c>
      <c r="P1193" s="3">
        <v>45214.0</v>
      </c>
      <c r="Q1193" s="1" t="s">
        <v>55</v>
      </c>
      <c r="R1193" s="1" t="s">
        <v>5379</v>
      </c>
      <c r="S1193" s="1" t="s">
        <v>32</v>
      </c>
      <c r="W1193" s="1">
        <v>0.0</v>
      </c>
      <c r="X1193" s="1">
        <v>0.0</v>
      </c>
    </row>
    <row r="1194" spans="1:24" ht="15.75" customHeight="1">
      <c r="A1194" s="1">
        <v>1042903.0</v>
      </c>
      <c r="B1194" s="95" t="s">
        <v>5380</v>
      </c>
      <c r="C1194" s="1" t="s">
        <v>5381</v>
      </c>
      <c r="D1194" s="1" t="s">
        <v>5382</v>
      </c>
      <c r="E1194" s="1" t="s">
        <v>5383</v>
      </c>
      <c r="F1194" s="1" t="str">
        <f>"0713650605"</f>
        <v>0713650605</v>
      </c>
      <c r="G1194" s="1" t="str">
        <f>"9780713650600"</f>
        <v>9780713650600</v>
      </c>
      <c r="H1194" s="1">
        <v>0.0</v>
      </c>
      <c r="I1194" s="1">
        <v>3.69</v>
      </c>
      <c r="J1194" s="1" t="s">
        <v>5384</v>
      </c>
      <c r="K1194" s="1" t="s">
        <v>44</v>
      </c>
      <c r="L1194" s="1">
        <v>176.0</v>
      </c>
      <c r="M1194" s="1">
        <v>2008.0</v>
      </c>
      <c r="N1194" s="1">
        <v>1633.0</v>
      </c>
      <c r="P1194" s="2">
        <v>45115.0</v>
      </c>
      <c r="Q1194" s="1" t="s">
        <v>32</v>
      </c>
      <c r="R1194" s="1" t="s">
        <v>5385</v>
      </c>
      <c r="S1194" s="1" t="s">
        <v>32</v>
      </c>
      <c r="W1194" s="1">
        <v>0.0</v>
      </c>
      <c r="X1194" s="1">
        <v>0.0</v>
      </c>
    </row>
    <row r="1195" spans="1:24" ht="15.75" customHeight="1">
      <c r="A1195" s="1">
        <v>205311.0</v>
      </c>
      <c r="B1195" s="1" t="s">
        <v>5386</v>
      </c>
      <c r="C1195" s="1" t="s">
        <v>5387</v>
      </c>
      <c r="D1195" s="1" t="s">
        <v>5388</v>
      </c>
      <c r="F1195" s="1" t="str">
        <f>"0340652403"</f>
        <v>0340652403</v>
      </c>
      <c r="G1195" s="1" t="str">
        <f>"9780340652404"</f>
        <v>9780340652404</v>
      </c>
      <c r="H1195" s="1">
        <v>0.0</v>
      </c>
      <c r="I1195" s="1">
        <v>3.6</v>
      </c>
      <c r="J1195" s="1" t="s">
        <v>5389</v>
      </c>
      <c r="K1195" s="1" t="s">
        <v>44</v>
      </c>
      <c r="L1195" s="1">
        <v>400.0</v>
      </c>
      <c r="M1195" s="1">
        <v>2009.0</v>
      </c>
      <c r="N1195" s="1">
        <v>1996.0</v>
      </c>
      <c r="P1195" s="2">
        <v>45153.0</v>
      </c>
      <c r="Q1195" s="1" t="s">
        <v>32</v>
      </c>
      <c r="R1195" s="1" t="s">
        <v>5390</v>
      </c>
      <c r="S1195" s="1" t="s">
        <v>32</v>
      </c>
      <c r="W1195" s="1">
        <v>0.0</v>
      </c>
      <c r="X1195" s="1">
        <v>0.0</v>
      </c>
    </row>
    <row r="1196" spans="1:24" ht="15.75" customHeight="1">
      <c r="A1196" s="1">
        <v>89231.0</v>
      </c>
      <c r="B1196" s="1" t="s">
        <v>5391</v>
      </c>
      <c r="C1196" s="1" t="s">
        <v>5392</v>
      </c>
      <c r="D1196" s="1" t="s">
        <v>5393</v>
      </c>
      <c r="F1196" s="1" t="str">
        <f>"1400076730"</f>
        <v>1400076730</v>
      </c>
      <c r="G1196" s="1" t="str">
        <f>"9781400076734"</f>
        <v>9781400076734</v>
      </c>
      <c r="H1196" s="1">
        <v>0.0</v>
      </c>
      <c r="I1196" s="1">
        <v>4.24</v>
      </c>
      <c r="J1196" s="1" t="s">
        <v>69</v>
      </c>
      <c r="K1196" s="1" t="s">
        <v>44</v>
      </c>
      <c r="L1196" s="1">
        <v>336.0</v>
      </c>
      <c r="M1196" s="1">
        <v>2004.0</v>
      </c>
      <c r="N1196" s="1">
        <v>1972.0</v>
      </c>
      <c r="P1196" s="2">
        <v>45088.0</v>
      </c>
      <c r="Q1196" s="1" t="s">
        <v>5394</v>
      </c>
      <c r="R1196" s="1" t="s">
        <v>5395</v>
      </c>
      <c r="S1196" s="1" t="s">
        <v>32</v>
      </c>
      <c r="W1196" s="1">
        <v>0.0</v>
      </c>
      <c r="X1196" s="1">
        <v>0.0</v>
      </c>
    </row>
    <row r="1197" spans="1:24" ht="15.75" customHeight="1">
      <c r="A1197" s="1">
        <v>166997.0</v>
      </c>
      <c r="B1197" s="1" t="s">
        <v>5396</v>
      </c>
      <c r="C1197" s="1" t="s">
        <v>5392</v>
      </c>
      <c r="D1197" s="1" t="s">
        <v>5393</v>
      </c>
      <c r="E1197" s="1" t="s">
        <v>5397</v>
      </c>
      <c r="F1197" s="1" t="str">
        <f>"1590171993"</f>
        <v>1590171993</v>
      </c>
      <c r="G1197" s="1" t="str">
        <f>"9781590171998"</f>
        <v>9781590171998</v>
      </c>
      <c r="H1197" s="1">
        <v>0.0</v>
      </c>
      <c r="I1197" s="1">
        <v>4.33</v>
      </c>
      <c r="J1197" s="1" t="s">
        <v>823</v>
      </c>
      <c r="K1197" s="1" t="s">
        <v>44</v>
      </c>
      <c r="L1197" s="1">
        <v>288.0</v>
      </c>
      <c r="M1197" s="1">
        <v>2006.0</v>
      </c>
      <c r="N1197" s="1">
        <v>1965.0</v>
      </c>
      <c r="P1197" s="3">
        <v>41605.0</v>
      </c>
      <c r="Q1197" s="1" t="s">
        <v>818</v>
      </c>
      <c r="R1197" s="1" t="s">
        <v>5398</v>
      </c>
      <c r="S1197" s="1" t="s">
        <v>32</v>
      </c>
      <c r="W1197" s="1">
        <v>0.0</v>
      </c>
      <c r="X1197" s="1">
        <v>1.0</v>
      </c>
    </row>
    <row r="1198" spans="1:24" ht="15.75" customHeight="1">
      <c r="A1198" s="1">
        <v>2.5993142E7</v>
      </c>
      <c r="B1198" s="1" t="s">
        <v>5399</v>
      </c>
      <c r="C1198" s="1" t="s">
        <v>5400</v>
      </c>
      <c r="D1198" s="1" t="s">
        <v>5401</v>
      </c>
      <c r="F1198" s="1" t="str">
        <f t="shared" si="84" ref="F1198:G1198">""</f>
        <v/>
      </c>
      <c r="G1198" s="1" t="str">
        <f t="shared" si="84"/>
        <v/>
      </c>
      <c r="H1198" s="1">
        <v>0.0</v>
      </c>
      <c r="I1198" s="1">
        <v>5.0</v>
      </c>
      <c r="J1198" s="1" t="s">
        <v>5402</v>
      </c>
      <c r="K1198" s="1" t="s">
        <v>198</v>
      </c>
      <c r="L1198" s="1">
        <v>460.0</v>
      </c>
      <c r="M1198" s="1">
        <v>1930.0</v>
      </c>
      <c r="N1198" s="1">
        <v>1930.0</v>
      </c>
      <c r="P1198" s="2">
        <v>45123.0</v>
      </c>
      <c r="Q1198" s="1" t="s">
        <v>32</v>
      </c>
      <c r="R1198" s="1" t="s">
        <v>5403</v>
      </c>
      <c r="S1198" s="1" t="s">
        <v>32</v>
      </c>
      <c r="W1198" s="1">
        <v>0.0</v>
      </c>
      <c r="X1198" s="1">
        <v>0.0</v>
      </c>
    </row>
    <row r="1199" spans="1:24" ht="15.75" customHeight="1">
      <c r="A1199" s="1">
        <v>1116430.0</v>
      </c>
      <c r="B1199" s="1" t="s">
        <v>5404</v>
      </c>
      <c r="C1199" s="1" t="s">
        <v>5405</v>
      </c>
      <c r="D1199" s="1" t="s">
        <v>5406</v>
      </c>
      <c r="F1199" s="1" t="str">
        <f>"0415178584"</f>
        <v>0415178584</v>
      </c>
      <c r="G1199" s="1" t="str">
        <f>"9780415178587"</f>
        <v>9780415178587</v>
      </c>
      <c r="H1199" s="1">
        <v>0.0</v>
      </c>
      <c r="I1199" s="1">
        <v>4.0</v>
      </c>
      <c r="J1199" s="1" t="s">
        <v>280</v>
      </c>
      <c r="K1199" s="1" t="s">
        <v>44</v>
      </c>
      <c r="M1199" s="1">
        <v>1998.0</v>
      </c>
      <c r="N1199" s="1">
        <v>1998.0</v>
      </c>
      <c r="P1199" s="2">
        <v>45181.0</v>
      </c>
      <c r="Q1199" s="1" t="s">
        <v>249</v>
      </c>
      <c r="R1199" s="1" t="s">
        <v>5407</v>
      </c>
      <c r="S1199" s="1" t="s">
        <v>32</v>
      </c>
      <c r="W1199" s="1">
        <v>0.0</v>
      </c>
      <c r="X1199" s="1">
        <v>0.0</v>
      </c>
    </row>
    <row r="1200" spans="1:24" ht="15.75" customHeight="1">
      <c r="A1200" s="1">
        <v>529406.0</v>
      </c>
      <c r="B1200" s="1" t="s">
        <v>5408</v>
      </c>
      <c r="C1200" s="1" t="s">
        <v>5409</v>
      </c>
      <c r="D1200" s="1" t="s">
        <v>5410</v>
      </c>
      <c r="F1200" s="1" t="str">
        <f>"1559702141"</f>
        <v>1559702141</v>
      </c>
      <c r="G1200" s="1" t="str">
        <f>"9781559702140"</f>
        <v>9781559702140</v>
      </c>
      <c r="H1200" s="1">
        <v>0.0</v>
      </c>
      <c r="I1200" s="1">
        <v>4.02</v>
      </c>
      <c r="J1200" s="1" t="s">
        <v>616</v>
      </c>
      <c r="K1200" s="1" t="s">
        <v>44</v>
      </c>
      <c r="L1200" s="1">
        <v>592.0</v>
      </c>
      <c r="M1200" s="1">
        <v>1993.0</v>
      </c>
      <c r="N1200" s="1">
        <v>1990.0</v>
      </c>
      <c r="P1200" s="2">
        <v>44444.0</v>
      </c>
      <c r="Q1200" s="1" t="s">
        <v>5411</v>
      </c>
      <c r="R1200" s="1" t="s">
        <v>5412</v>
      </c>
      <c r="S1200" s="1" t="s">
        <v>32</v>
      </c>
      <c r="W1200" s="1">
        <v>0.0</v>
      </c>
      <c r="X1200" s="1">
        <v>0.0</v>
      </c>
    </row>
    <row r="1201" spans="1:24" ht="15.75" customHeight="1">
      <c r="A1201" s="1">
        <v>3656.0</v>
      </c>
      <c r="B1201" s="1" t="s">
        <v>5413</v>
      </c>
      <c r="C1201" s="1" t="s">
        <v>2829</v>
      </c>
      <c r="D1201" s="1" t="s">
        <v>5414</v>
      </c>
      <c r="F1201" s="1" t="str">
        <f>"1400097029"</f>
        <v>1400097029</v>
      </c>
      <c r="G1201" s="1" t="str">
        <f>"9781400097029"</f>
        <v>9781400097029</v>
      </c>
      <c r="H1201" s="1">
        <v>0.0</v>
      </c>
      <c r="I1201" s="1">
        <v>3.55</v>
      </c>
      <c r="J1201" s="1" t="s">
        <v>317</v>
      </c>
      <c r="K1201" s="1" t="s">
        <v>44</v>
      </c>
      <c r="L1201" s="1">
        <v>195.0</v>
      </c>
      <c r="M1201" s="1">
        <v>2006.0</v>
      </c>
      <c r="N1201" s="1">
        <v>2005.0</v>
      </c>
      <c r="P1201" s="2">
        <v>41616.0</v>
      </c>
      <c r="Q1201" s="1" t="s">
        <v>261</v>
      </c>
      <c r="R1201" s="1" t="s">
        <v>5415</v>
      </c>
      <c r="S1201" s="1" t="s">
        <v>32</v>
      </c>
      <c r="W1201" s="1">
        <v>0.0</v>
      </c>
      <c r="X1201" s="1">
        <v>0.0</v>
      </c>
    </row>
    <row r="1202" spans="1:24" ht="15.75" customHeight="1">
      <c r="A1202" s="1">
        <v>1.30355506E8</v>
      </c>
      <c r="B1202" s="1" t="s">
        <v>5416</v>
      </c>
      <c r="C1202" s="1" t="s">
        <v>5417</v>
      </c>
      <c r="D1202" s="1" t="s">
        <v>5418</v>
      </c>
      <c r="F1202" s="1" t="str">
        <f t="shared" si="85" ref="F1202:G1202">""</f>
        <v/>
      </c>
      <c r="G1202" s="1" t="str">
        <f t="shared" si="85"/>
        <v/>
      </c>
      <c r="H1202" s="1">
        <v>0.0</v>
      </c>
      <c r="I1202" s="1">
        <v>3.85</v>
      </c>
      <c r="J1202" s="1" t="s">
        <v>772</v>
      </c>
      <c r="K1202" s="1" t="s">
        <v>44</v>
      </c>
      <c r="L1202" s="1">
        <v>0.0</v>
      </c>
      <c r="M1202" s="1">
        <v>1969.0</v>
      </c>
      <c r="N1202" s="1">
        <v>1969.0</v>
      </c>
      <c r="P1202" s="2">
        <v>45160.0</v>
      </c>
      <c r="Q1202" s="1" t="s">
        <v>115</v>
      </c>
      <c r="R1202" s="1" t="s">
        <v>5419</v>
      </c>
      <c r="S1202" s="1" t="s">
        <v>32</v>
      </c>
      <c r="W1202" s="1">
        <v>0.0</v>
      </c>
      <c r="X1202" s="1">
        <v>1.0</v>
      </c>
    </row>
    <row r="1203" spans="1:24" ht="15.75" customHeight="1">
      <c r="A1203" s="1">
        <v>299813.0</v>
      </c>
      <c r="B1203" s="1" t="s">
        <v>5420</v>
      </c>
      <c r="C1203" s="1" t="s">
        <v>5417</v>
      </c>
      <c r="D1203" s="1" t="s">
        <v>5418</v>
      </c>
      <c r="F1203" s="1" t="str">
        <f>"0679736549"</f>
        <v>0679736549</v>
      </c>
      <c r="G1203" s="1" t="str">
        <f>"9780679736547"</f>
        <v>9780679736547</v>
      </c>
      <c r="H1203" s="1">
        <v>0.0</v>
      </c>
      <c r="I1203" s="1">
        <v>3.69</v>
      </c>
      <c r="J1203" s="1" t="s">
        <v>69</v>
      </c>
      <c r="K1203" s="1" t="s">
        <v>44</v>
      </c>
      <c r="L1203" s="1">
        <v>336.0</v>
      </c>
      <c r="M1203" s="1">
        <v>1992.0</v>
      </c>
      <c r="N1203" s="1">
        <v>1972.0</v>
      </c>
      <c r="P1203" s="2">
        <v>43107.0</v>
      </c>
      <c r="Q1203" s="1" t="s">
        <v>261</v>
      </c>
      <c r="R1203" s="1" t="s">
        <v>5421</v>
      </c>
      <c r="S1203" s="1" t="s">
        <v>32</v>
      </c>
      <c r="W1203" s="1">
        <v>0.0</v>
      </c>
      <c r="X1203" s="1">
        <v>0.0</v>
      </c>
    </row>
    <row r="1204" spans="1:24" ht="15.75" customHeight="1">
      <c r="A1204" s="1">
        <v>460634.0</v>
      </c>
      <c r="B1204" s="1" t="s">
        <v>5422</v>
      </c>
      <c r="C1204" s="1" t="s">
        <v>5417</v>
      </c>
      <c r="D1204" s="1" t="s">
        <v>5418</v>
      </c>
      <c r="F1204" s="1" t="str">
        <f>"0679736565"</f>
        <v>0679736565</v>
      </c>
      <c r="G1204" s="1" t="str">
        <f>"9780679736561"</f>
        <v>9780679736561</v>
      </c>
      <c r="H1204" s="1">
        <v>0.0</v>
      </c>
      <c r="I1204" s="1">
        <v>4.18</v>
      </c>
      <c r="J1204" s="1" t="s">
        <v>317</v>
      </c>
      <c r="K1204" s="1" t="s">
        <v>44</v>
      </c>
      <c r="L1204" s="1">
        <v>101.0</v>
      </c>
      <c r="M1204" s="1">
        <v>1991.0</v>
      </c>
      <c r="N1204" s="1">
        <v>1984.0</v>
      </c>
      <c r="P1204" s="2">
        <v>44144.0</v>
      </c>
      <c r="Q1204" s="1" t="s">
        <v>32</v>
      </c>
      <c r="R1204" s="1" t="s">
        <v>5423</v>
      </c>
      <c r="S1204" s="1" t="s">
        <v>32</v>
      </c>
      <c r="W1204" s="1">
        <v>0.0</v>
      </c>
      <c r="X1204" s="1">
        <v>0.0</v>
      </c>
    </row>
    <row r="1205" spans="1:24" ht="15.75" customHeight="1">
      <c r="A1205" s="1">
        <v>52940.0</v>
      </c>
      <c r="B1205" s="1" t="s">
        <v>5424</v>
      </c>
      <c r="C1205" s="1" t="s">
        <v>5417</v>
      </c>
      <c r="D1205" s="1" t="s">
        <v>5418</v>
      </c>
      <c r="F1205" s="1" t="str">
        <f>"0747543038"</f>
        <v>0747543038</v>
      </c>
      <c r="G1205" s="1" t="str">
        <f>"9780747543039"</f>
        <v>9780747543039</v>
      </c>
      <c r="H1205" s="1">
        <v>0.0</v>
      </c>
      <c r="I1205" s="1">
        <v>4.02</v>
      </c>
      <c r="J1205" s="1" t="s">
        <v>292</v>
      </c>
      <c r="K1205" s="1" t="s">
        <v>44</v>
      </c>
      <c r="L1205" s="1">
        <v>208.0</v>
      </c>
      <c r="M1205" s="1">
        <v>1999.0</v>
      </c>
      <c r="N1205" s="1">
        <v>1979.0</v>
      </c>
      <c r="P1205" s="2">
        <v>43949.0</v>
      </c>
      <c r="Q1205" s="1" t="s">
        <v>32</v>
      </c>
      <c r="R1205" s="1" t="s">
        <v>5425</v>
      </c>
      <c r="S1205" s="1" t="s">
        <v>32</v>
      </c>
      <c r="W1205" s="1">
        <v>0.0</v>
      </c>
      <c r="X1205" s="1">
        <v>0.0</v>
      </c>
    </row>
    <row r="1206" spans="1:24" ht="15.75" customHeight="1">
      <c r="A1206" s="1">
        <v>4976798.0</v>
      </c>
      <c r="B1206" s="1" t="s">
        <v>5426</v>
      </c>
      <c r="C1206" s="1" t="s">
        <v>5427</v>
      </c>
      <c r="D1206" s="1" t="s">
        <v>5428</v>
      </c>
      <c r="F1206" s="1" t="str">
        <f>"0275944050"</f>
        <v>0275944050</v>
      </c>
      <c r="G1206" s="1" t="str">
        <f>"9780275944056"</f>
        <v>9780275944056</v>
      </c>
      <c r="H1206" s="1">
        <v>0.0</v>
      </c>
      <c r="I1206" s="1">
        <v>0.0</v>
      </c>
      <c r="J1206" s="1" t="s">
        <v>5429</v>
      </c>
      <c r="K1206" s="1" t="s">
        <v>37</v>
      </c>
      <c r="L1206" s="1">
        <v>320.0</v>
      </c>
      <c r="M1206" s="1">
        <v>1993.0</v>
      </c>
      <c r="N1206" s="1">
        <v>1993.0</v>
      </c>
      <c r="P1206" s="2">
        <v>45181.0</v>
      </c>
      <c r="Q1206" s="1" t="s">
        <v>249</v>
      </c>
      <c r="R1206" s="1" t="s">
        <v>5430</v>
      </c>
      <c r="S1206" s="1" t="s">
        <v>32</v>
      </c>
      <c r="W1206" s="1">
        <v>0.0</v>
      </c>
      <c r="X1206" s="1">
        <v>0.0</v>
      </c>
    </row>
    <row r="1207" spans="1:24" ht="15.75" customHeight="1">
      <c r="A1207" s="1">
        <v>3.3253215E7</v>
      </c>
      <c r="B1207" s="1" t="s">
        <v>5431</v>
      </c>
      <c r="C1207" s="1" t="s">
        <v>5432</v>
      </c>
      <c r="D1207" s="1" t="s">
        <v>5433</v>
      </c>
      <c r="F1207" s="1" t="str">
        <f t="shared" si="86" ref="F1207:G1207">""</f>
        <v/>
      </c>
      <c r="G1207" s="1" t="str">
        <f t="shared" si="86"/>
        <v/>
      </c>
      <c r="H1207" s="1">
        <v>0.0</v>
      </c>
      <c r="I1207" s="1">
        <v>4.5</v>
      </c>
      <c r="J1207" s="1" t="s">
        <v>5434</v>
      </c>
      <c r="K1207" s="1" t="s">
        <v>37</v>
      </c>
      <c r="L1207" s="1">
        <v>582.0</v>
      </c>
      <c r="M1207" s="1">
        <v>2017.0</v>
      </c>
      <c r="N1207" s="1">
        <v>2017.0</v>
      </c>
      <c r="P1207" s="2">
        <v>44245.0</v>
      </c>
      <c r="Q1207" s="1" t="s">
        <v>32</v>
      </c>
      <c r="R1207" s="1" t="s">
        <v>5435</v>
      </c>
      <c r="S1207" s="1" t="s">
        <v>32</v>
      </c>
      <c r="W1207" s="1">
        <v>0.0</v>
      </c>
      <c r="X1207" s="1">
        <v>0.0</v>
      </c>
    </row>
    <row r="1208" spans="1:24" ht="15.75" customHeight="1">
      <c r="A1208" s="1">
        <v>29797.0</v>
      </c>
      <c r="B1208" s="1" t="s">
        <v>5436</v>
      </c>
      <c r="C1208" s="1" t="s">
        <v>5437</v>
      </c>
      <c r="D1208" s="1" t="s">
        <v>5438</v>
      </c>
      <c r="F1208" s="1" t="str">
        <f t="shared" si="87" ref="F1208:G1208">""</f>
        <v/>
      </c>
      <c r="G1208" s="1" t="str">
        <f t="shared" si="87"/>
        <v/>
      </c>
      <c r="H1208" s="1">
        <v>0.0</v>
      </c>
      <c r="I1208" s="1">
        <v>4.05</v>
      </c>
      <c r="J1208" s="1" t="s">
        <v>910</v>
      </c>
      <c r="K1208" s="1" t="s">
        <v>44</v>
      </c>
      <c r="L1208" s="1">
        <v>324.0</v>
      </c>
      <c r="M1208" s="1">
        <v>2003.0</v>
      </c>
      <c r="N1208" s="1">
        <v>1678.0</v>
      </c>
      <c r="P1208" s="2">
        <v>45192.0</v>
      </c>
      <c r="Q1208" s="1" t="s">
        <v>32</v>
      </c>
      <c r="R1208" s="1" t="s">
        <v>5439</v>
      </c>
      <c r="S1208" s="1" t="s">
        <v>32</v>
      </c>
      <c r="W1208" s="1">
        <v>0.0</v>
      </c>
      <c r="X1208" s="1">
        <v>0.0</v>
      </c>
    </row>
    <row r="1209" spans="1:24" ht="15.75" customHeight="1">
      <c r="A1209" s="1">
        <v>3625149.0</v>
      </c>
      <c r="B1209" s="1" t="s">
        <v>5440</v>
      </c>
      <c r="C1209" s="1" t="s">
        <v>5441</v>
      </c>
      <c r="D1209" s="1" t="s">
        <v>5442</v>
      </c>
      <c r="F1209" s="1" t="str">
        <f>"1559720603"</f>
        <v>1559720603</v>
      </c>
      <c r="G1209" s="1" t="str">
        <f>"9781559720601"</f>
        <v>9781559720601</v>
      </c>
      <c r="H1209" s="1">
        <v>0.0</v>
      </c>
      <c r="I1209" s="1">
        <v>3.0</v>
      </c>
      <c r="J1209" s="1" t="s">
        <v>5443</v>
      </c>
      <c r="K1209" s="1" t="s">
        <v>37</v>
      </c>
      <c r="L1209" s="1">
        <v>174.0</v>
      </c>
      <c r="M1209" s="1">
        <v>1991.0</v>
      </c>
      <c r="N1209" s="1">
        <v>1991.0</v>
      </c>
      <c r="P1209" s="2">
        <v>45189.0</v>
      </c>
      <c r="Q1209" s="1" t="s">
        <v>249</v>
      </c>
      <c r="R1209" s="1" t="s">
        <v>5444</v>
      </c>
      <c r="S1209" s="1" t="s">
        <v>32</v>
      </c>
      <c r="W1209" s="1">
        <v>0.0</v>
      </c>
      <c r="X1209" s="1">
        <v>0.0</v>
      </c>
    </row>
    <row r="1210" spans="1:24" ht="15.75" customHeight="1">
      <c r="A1210" s="1">
        <v>47632.0</v>
      </c>
      <c r="B1210" s="1" t="s">
        <v>5445</v>
      </c>
      <c r="C1210" s="1" t="s">
        <v>5446</v>
      </c>
      <c r="D1210" s="1" t="s">
        <v>5447</v>
      </c>
      <c r="F1210" s="1" t="str">
        <f>"0393927695"</f>
        <v>0393927695</v>
      </c>
      <c r="G1210" s="1" t="str">
        <f>"9780393927696"</f>
        <v>9780393927696</v>
      </c>
      <c r="H1210" s="1">
        <v>0.0</v>
      </c>
      <c r="I1210" s="1">
        <v>3.93</v>
      </c>
      <c r="J1210" s="1" t="s">
        <v>248</v>
      </c>
      <c r="K1210" s="1" t="s">
        <v>44</v>
      </c>
      <c r="L1210" s="1">
        <v>352.0</v>
      </c>
      <c r="M1210" s="1">
        <v>2005.0</v>
      </c>
      <c r="N1210" s="1">
        <v>2000.0</v>
      </c>
      <c r="P1210" s="3">
        <v>44165.0</v>
      </c>
      <c r="Q1210" s="1" t="s">
        <v>138</v>
      </c>
      <c r="R1210" s="1" t="s">
        <v>5448</v>
      </c>
      <c r="S1210" s="1" t="s">
        <v>32</v>
      </c>
      <c r="W1210" s="1">
        <v>0.0</v>
      </c>
      <c r="X1210" s="1">
        <v>0.0</v>
      </c>
    </row>
    <row r="1211" spans="1:24" ht="15.75" customHeight="1">
      <c r="A1211" s="1">
        <v>260785.0</v>
      </c>
      <c r="B1211" s="1" t="s">
        <v>5449</v>
      </c>
      <c r="C1211" s="1" t="s">
        <v>5450</v>
      </c>
      <c r="D1211" s="1" t="s">
        <v>5451</v>
      </c>
      <c r="F1211" s="1" t="str">
        <f>"0141188391"</f>
        <v>0141188391</v>
      </c>
      <c r="G1211" s="1" t="str">
        <f>"9780141188393"</f>
        <v>9780141188393</v>
      </c>
      <c r="H1211" s="1">
        <v>0.0</v>
      </c>
      <c r="I1211" s="1">
        <v>3.81</v>
      </c>
      <c r="J1211" s="1" t="s">
        <v>5452</v>
      </c>
      <c r="K1211" s="1" t="s">
        <v>44</v>
      </c>
      <c r="L1211" s="1">
        <v>352.0</v>
      </c>
      <c r="M1211" s="1">
        <v>2006.0</v>
      </c>
      <c r="N1211" s="1">
        <v>1952.0</v>
      </c>
      <c r="P1211" s="2">
        <v>41364.0</v>
      </c>
      <c r="Q1211" s="1" t="s">
        <v>32</v>
      </c>
      <c r="R1211" s="1" t="s">
        <v>5453</v>
      </c>
      <c r="S1211" s="1" t="s">
        <v>32</v>
      </c>
      <c r="W1211" s="1">
        <v>0.0</v>
      </c>
      <c r="X1211" s="1">
        <v>0.0</v>
      </c>
    </row>
    <row r="1212" spans="1:24" ht="15.75" customHeight="1">
      <c r="A1212" s="1">
        <v>54639.0</v>
      </c>
      <c r="B1212" s="1" t="s">
        <v>5454</v>
      </c>
      <c r="C1212" s="1" t="s">
        <v>5455</v>
      </c>
      <c r="D1212" s="1" t="s">
        <v>5456</v>
      </c>
      <c r="F1212" s="1" t="str">
        <f>"0520230396"</f>
        <v>0520230396</v>
      </c>
      <c r="G1212" s="1" t="str">
        <f>"9780520230392"</f>
        <v>9780520230392</v>
      </c>
      <c r="H1212" s="1">
        <v>0.0</v>
      </c>
      <c r="I1212" s="1">
        <v>4.06</v>
      </c>
      <c r="J1212" s="1" t="s">
        <v>552</v>
      </c>
      <c r="K1212" s="1" t="s">
        <v>44</v>
      </c>
      <c r="L1212" s="1">
        <v>313.0</v>
      </c>
      <c r="M1212" s="1">
        <v>2001.0</v>
      </c>
      <c r="N1212" s="1">
        <v>2000.0</v>
      </c>
      <c r="P1212" s="2">
        <v>45308.0</v>
      </c>
      <c r="Q1212" s="1" t="s">
        <v>30</v>
      </c>
      <c r="R1212" s="1" t="s">
        <v>5457</v>
      </c>
      <c r="S1212" s="1" t="s">
        <v>32</v>
      </c>
      <c r="W1212" s="1">
        <v>0.0</v>
      </c>
      <c r="X1212" s="1">
        <v>0.0</v>
      </c>
    </row>
    <row r="1213" spans="1:24" ht="15.75" customHeight="1">
      <c r="A1213" s="1">
        <v>342573.0</v>
      </c>
      <c r="B1213" s="1" t="s">
        <v>5458</v>
      </c>
      <c r="C1213" s="1" t="s">
        <v>5459</v>
      </c>
      <c r="D1213" s="1" t="s">
        <v>5460</v>
      </c>
      <c r="F1213" s="1" t="str">
        <f>"0393307948"</f>
        <v>0393307948</v>
      </c>
      <c r="G1213" s="1" t="str">
        <f>"9780393307948"</f>
        <v>9780393307948</v>
      </c>
      <c r="H1213" s="1">
        <v>0.0</v>
      </c>
      <c r="I1213" s="1">
        <v>4.07</v>
      </c>
      <c r="J1213" s="1" t="s">
        <v>5461</v>
      </c>
      <c r="K1213" s="1" t="s">
        <v>44</v>
      </c>
      <c r="L1213" s="1">
        <v>264.0</v>
      </c>
      <c r="M1213" s="1">
        <v>1991.0</v>
      </c>
      <c r="N1213" s="1">
        <v>1979.0</v>
      </c>
      <c r="P1213" s="3">
        <v>45271.0</v>
      </c>
      <c r="Q1213" s="1" t="s">
        <v>3945</v>
      </c>
      <c r="R1213" s="1" t="s">
        <v>5462</v>
      </c>
      <c r="S1213" s="1" t="s">
        <v>32</v>
      </c>
      <c r="W1213" s="1">
        <v>0.0</v>
      </c>
      <c r="X1213" s="1">
        <v>0.0</v>
      </c>
    </row>
    <row r="1214" spans="1:24" ht="15.75" customHeight="1">
      <c r="A1214" s="1">
        <v>1.793442E7</v>
      </c>
      <c r="B1214" s="1" t="s">
        <v>5463</v>
      </c>
      <c r="C1214" s="1" t="s">
        <v>5464</v>
      </c>
      <c r="D1214" s="1" t="s">
        <v>5465</v>
      </c>
      <c r="F1214" s="1" t="str">
        <f>"0374230854"</f>
        <v>0374230854</v>
      </c>
      <c r="G1214" s="1" t="str">
        <f>"9780374230852"</f>
        <v>9780374230852</v>
      </c>
      <c r="H1214" s="1">
        <v>0.0</v>
      </c>
      <c r="I1214" s="1">
        <v>3.22</v>
      </c>
      <c r="J1214" s="1" t="s">
        <v>5261</v>
      </c>
      <c r="K1214" s="1" t="s">
        <v>37</v>
      </c>
      <c r="L1214" s="1">
        <v>288.0</v>
      </c>
      <c r="M1214" s="1">
        <v>2014.0</v>
      </c>
      <c r="N1214" s="1">
        <v>2014.0</v>
      </c>
      <c r="P1214" s="2">
        <v>42392.0</v>
      </c>
      <c r="Q1214" s="1" t="s">
        <v>32</v>
      </c>
      <c r="R1214" s="1" t="s">
        <v>5466</v>
      </c>
      <c r="S1214" s="1" t="s">
        <v>32</v>
      </c>
      <c r="W1214" s="1">
        <v>0.0</v>
      </c>
      <c r="X1214" s="1">
        <v>0.0</v>
      </c>
    </row>
    <row r="1215" spans="1:24" ht="15.75" customHeight="1">
      <c r="A1215" s="1">
        <v>75291.0</v>
      </c>
      <c r="B1215" s="1" t="s">
        <v>5467</v>
      </c>
      <c r="C1215" s="1" t="s">
        <v>5468</v>
      </c>
      <c r="D1215" s="1" t="s">
        <v>5469</v>
      </c>
      <c r="F1215" s="1" t="str">
        <f>"0399531971"</f>
        <v>0399531971</v>
      </c>
      <c r="G1215" s="1" t="str">
        <f>"9780399531972"</f>
        <v>9780399531972</v>
      </c>
      <c r="H1215" s="1">
        <v>0.0</v>
      </c>
      <c r="I1215" s="1">
        <v>3.94</v>
      </c>
      <c r="J1215" s="1" t="s">
        <v>5470</v>
      </c>
      <c r="K1215" s="1" t="s">
        <v>44</v>
      </c>
      <c r="L1215" s="1">
        <v>371.0</v>
      </c>
      <c r="M1215" s="1">
        <v>2005.0</v>
      </c>
      <c r="N1215" s="1">
        <v>1934.0</v>
      </c>
      <c r="P1215" s="2">
        <v>43949.0</v>
      </c>
      <c r="Q1215" s="1" t="s">
        <v>32</v>
      </c>
      <c r="R1215" s="1" t="s">
        <v>5471</v>
      </c>
      <c r="S1215" s="1" t="s">
        <v>32</v>
      </c>
      <c r="W1215" s="1">
        <v>0.0</v>
      </c>
      <c r="X1215" s="1">
        <v>0.0</v>
      </c>
    </row>
    <row r="1216" spans="1:24" ht="15.75" customHeight="1">
      <c r="A1216" s="1">
        <v>2.3117729E7</v>
      </c>
      <c r="B1216" s="1" t="s">
        <v>5472</v>
      </c>
      <c r="C1216" s="1" t="s">
        <v>5473</v>
      </c>
      <c r="D1216" s="1" t="s">
        <v>5474</v>
      </c>
      <c r="E1216" s="1" t="s">
        <v>5475</v>
      </c>
      <c r="F1216" s="1" t="str">
        <f>"1497672732"</f>
        <v>1497672732</v>
      </c>
      <c r="G1216" s="1" t="str">
        <f>"9781497672734"</f>
        <v>9781497672734</v>
      </c>
      <c r="H1216" s="1">
        <v>0.0</v>
      </c>
      <c r="I1216" s="1">
        <v>4.23</v>
      </c>
      <c r="J1216" s="1" t="s">
        <v>28</v>
      </c>
      <c r="K1216" s="1" t="s">
        <v>420</v>
      </c>
      <c r="L1216" s="1">
        <v>420.0</v>
      </c>
      <c r="M1216" s="1">
        <v>2014.0</v>
      </c>
      <c r="N1216" s="1">
        <v>1980.0</v>
      </c>
      <c r="P1216" s="2">
        <v>45269.0</v>
      </c>
      <c r="Q1216" s="1" t="s">
        <v>479</v>
      </c>
      <c r="R1216" s="1" t="s">
        <v>5476</v>
      </c>
      <c r="S1216" s="1" t="s">
        <v>32</v>
      </c>
      <c r="W1216" s="1">
        <v>0.0</v>
      </c>
      <c r="X1216" s="1">
        <v>0.0</v>
      </c>
    </row>
    <row r="1217" spans="1:24" ht="15.75" customHeight="1">
      <c r="A1217" s="1">
        <v>3.0190393E7</v>
      </c>
      <c r="B1217" s="1" t="s">
        <v>5477</v>
      </c>
      <c r="C1217" s="1" t="s">
        <v>5478</v>
      </c>
      <c r="D1217" s="1" t="s">
        <v>5479</v>
      </c>
      <c r="F1217" s="1" t="str">
        <f>"1166173941"</f>
        <v>1166173941</v>
      </c>
      <c r="G1217" s="1" t="str">
        <f>"9781166173944"</f>
        <v>9781166173944</v>
      </c>
      <c r="H1217" s="1">
        <v>0.0</v>
      </c>
      <c r="I1217" s="1">
        <v>3.74</v>
      </c>
      <c r="J1217" s="1" t="s">
        <v>5480</v>
      </c>
      <c r="K1217" s="1" t="s">
        <v>44</v>
      </c>
      <c r="L1217" s="1">
        <v>242.0</v>
      </c>
      <c r="M1217" s="1">
        <v>2010.0</v>
      </c>
      <c r="N1217" s="1">
        <v>1608.0</v>
      </c>
      <c r="P1217" s="2">
        <v>45189.0</v>
      </c>
      <c r="Q1217" s="1" t="s">
        <v>249</v>
      </c>
      <c r="R1217" s="1" t="s">
        <v>5481</v>
      </c>
      <c r="S1217" s="1" t="s">
        <v>32</v>
      </c>
      <c r="W1217" s="1">
        <v>0.0</v>
      </c>
      <c r="X1217" s="1">
        <v>0.0</v>
      </c>
    </row>
    <row r="1218" spans="1:24" ht="15.75" customHeight="1">
      <c r="A1218" s="1">
        <v>16286.0</v>
      </c>
      <c r="B1218" s="1" t="s">
        <v>5482</v>
      </c>
      <c r="C1218" s="1" t="s">
        <v>5483</v>
      </c>
      <c r="D1218" s="1" t="s">
        <v>5484</v>
      </c>
      <c r="F1218" s="1" t="str">
        <f>"0316296198"</f>
        <v>0316296198</v>
      </c>
      <c r="G1218" s="1" t="str">
        <f>"9780316296199"</f>
        <v>9780316296199</v>
      </c>
      <c r="H1218" s="1">
        <v>0.0</v>
      </c>
      <c r="I1218" s="1">
        <v>4.05</v>
      </c>
      <c r="J1218" s="1" t="s">
        <v>2445</v>
      </c>
      <c r="K1218" s="1" t="s">
        <v>44</v>
      </c>
      <c r="L1218" s="1">
        <v>656.0</v>
      </c>
      <c r="M1218" s="1">
        <v>2001.0</v>
      </c>
      <c r="N1218" s="1">
        <v>1965.0</v>
      </c>
      <c r="P1218" s="2">
        <v>44256.0</v>
      </c>
      <c r="Q1218" s="1" t="s">
        <v>502</v>
      </c>
      <c r="R1218" s="1" t="s">
        <v>5485</v>
      </c>
      <c r="S1218" s="1" t="s">
        <v>32</v>
      </c>
      <c r="W1218" s="1">
        <v>0.0</v>
      </c>
      <c r="X1218" s="1">
        <v>0.0</v>
      </c>
    </row>
    <row r="1219" spans="1:24" ht="15.75" customHeight="1">
      <c r="A1219" s="1">
        <v>243705.0</v>
      </c>
      <c r="B1219" s="1" t="s">
        <v>5486</v>
      </c>
      <c r="C1219" s="1" t="s">
        <v>5483</v>
      </c>
      <c r="D1219" s="1" t="s">
        <v>5484</v>
      </c>
      <c r="F1219" s="1" t="str">
        <f t="shared" si="88" ref="F1219:G1219">""</f>
        <v/>
      </c>
      <c r="G1219" s="1" t="str">
        <f t="shared" si="88"/>
        <v/>
      </c>
      <c r="H1219" s="1">
        <v>0.0</v>
      </c>
      <c r="I1219" s="1">
        <v>3.98</v>
      </c>
      <c r="J1219" s="1" t="s">
        <v>69</v>
      </c>
      <c r="K1219" s="1" t="s">
        <v>44</v>
      </c>
      <c r="L1219" s="1">
        <v>283.0</v>
      </c>
      <c r="M1219" s="1">
        <v>1998.0</v>
      </c>
      <c r="N1219" s="1">
        <v>1963.0</v>
      </c>
      <c r="P1219" s="2">
        <v>44242.0</v>
      </c>
      <c r="Q1219" s="1" t="s">
        <v>32</v>
      </c>
      <c r="R1219" s="1" t="s">
        <v>5487</v>
      </c>
      <c r="S1219" s="1" t="s">
        <v>32</v>
      </c>
      <c r="W1219" s="1">
        <v>0.0</v>
      </c>
      <c r="X1219" s="1">
        <v>0.0</v>
      </c>
    </row>
    <row r="1220" spans="1:24" ht="15.75" customHeight="1">
      <c r="A1220" s="1">
        <v>6163622.0</v>
      </c>
      <c r="B1220" s="1" t="s">
        <v>5488</v>
      </c>
      <c r="C1220" s="1" t="s">
        <v>5489</v>
      </c>
      <c r="D1220" s="1" t="s">
        <v>5490</v>
      </c>
      <c r="F1220" s="1" t="str">
        <f>"030726534X"</f>
        <v>030726534X</v>
      </c>
      <c r="G1220" s="1" t="str">
        <f>"9780307265340"</f>
        <v>9780307265340</v>
      </c>
      <c r="H1220" s="1">
        <v>0.0</v>
      </c>
      <c r="I1220" s="1">
        <v>3.6</v>
      </c>
      <c r="J1220" s="1" t="s">
        <v>813</v>
      </c>
      <c r="K1220" s="1" t="s">
        <v>37</v>
      </c>
      <c r="L1220" s="1">
        <v>303.0</v>
      </c>
      <c r="M1220" s="1">
        <v>2009.0</v>
      </c>
      <c r="N1220" s="1">
        <v>2009.0</v>
      </c>
      <c r="P1220" s="2">
        <v>45175.0</v>
      </c>
      <c r="Q1220" s="1" t="s">
        <v>32</v>
      </c>
      <c r="R1220" s="1" t="s">
        <v>5491</v>
      </c>
      <c r="S1220" s="1" t="s">
        <v>32</v>
      </c>
      <c r="W1220" s="1">
        <v>0.0</v>
      </c>
      <c r="X1220" s="1">
        <v>0.0</v>
      </c>
    </row>
    <row r="1221" spans="1:24" ht="15.75" customHeight="1">
      <c r="A1221" s="1">
        <v>962861.0</v>
      </c>
      <c r="B1221" s="1" t="s">
        <v>5492</v>
      </c>
      <c r="C1221" s="1" t="s">
        <v>5493</v>
      </c>
      <c r="D1221" s="1" t="s">
        <v>5494</v>
      </c>
      <c r="F1221" s="1" t="str">
        <f>"0226468941"</f>
        <v>0226468941</v>
      </c>
      <c r="G1221" s="1" t="str">
        <f>"9780226468945"</f>
        <v>9780226468945</v>
      </c>
      <c r="H1221" s="1">
        <v>0.0</v>
      </c>
      <c r="I1221" s="1">
        <v>4.0</v>
      </c>
      <c r="J1221" s="1" t="s">
        <v>78</v>
      </c>
      <c r="K1221" s="1" t="s">
        <v>44</v>
      </c>
      <c r="L1221" s="1">
        <v>240.0</v>
      </c>
      <c r="M1221" s="1">
        <v>2006.0</v>
      </c>
      <c r="N1221" s="1">
        <v>1977.0</v>
      </c>
      <c r="P1221" s="2">
        <v>45299.0</v>
      </c>
      <c r="Q1221" s="1" t="s">
        <v>30</v>
      </c>
      <c r="R1221" s="1" t="s">
        <v>5495</v>
      </c>
      <c r="S1221" s="1" t="s">
        <v>32</v>
      </c>
      <c r="W1221" s="1">
        <v>0.0</v>
      </c>
      <c r="X1221" s="1">
        <v>0.0</v>
      </c>
    </row>
    <row r="1222" spans="1:24" ht="15.75" customHeight="1">
      <c r="A1222" s="1">
        <v>957211.0</v>
      </c>
      <c r="B1222" s="1" t="s">
        <v>5496</v>
      </c>
      <c r="C1222" s="1" t="s">
        <v>5497</v>
      </c>
      <c r="D1222" s="1" t="s">
        <v>5498</v>
      </c>
      <c r="F1222" s="1" t="str">
        <f>"0230522009"</f>
        <v>0230522009</v>
      </c>
      <c r="G1222" s="1" t="str">
        <f>"9780230522008"</f>
        <v>9780230522008</v>
      </c>
      <c r="H1222" s="1">
        <v>0.0</v>
      </c>
      <c r="I1222" s="1">
        <v>4.03</v>
      </c>
      <c r="J1222" s="1" t="s">
        <v>4497</v>
      </c>
      <c r="K1222" s="1" t="s">
        <v>44</v>
      </c>
      <c r="L1222" s="1">
        <v>416.0</v>
      </c>
      <c r="M1222" s="1">
        <v>2007.0</v>
      </c>
      <c r="N1222" s="1">
        <v>1974.0</v>
      </c>
      <c r="P1222" s="2">
        <v>45177.0</v>
      </c>
      <c r="Q1222" s="1" t="s">
        <v>45</v>
      </c>
      <c r="R1222" s="1" t="s">
        <v>5499</v>
      </c>
      <c r="S1222" s="1" t="s">
        <v>32</v>
      </c>
      <c r="W1222" s="1">
        <v>0.0</v>
      </c>
      <c r="X1222" s="1">
        <v>0.0</v>
      </c>
    </row>
    <row r="1223" spans="1:24" ht="15.75" customHeight="1">
      <c r="A1223" s="1">
        <v>222046.0</v>
      </c>
      <c r="B1223" s="1" t="s">
        <v>5500</v>
      </c>
      <c r="C1223" s="1" t="s">
        <v>5501</v>
      </c>
      <c r="D1223" s="1" t="s">
        <v>5502</v>
      </c>
      <c r="F1223" s="1" t="str">
        <f>"0811200612"</f>
        <v>0811200612</v>
      </c>
      <c r="G1223" s="1" t="str">
        <f>"9780811200615"</f>
        <v>9780811200615</v>
      </c>
      <c r="H1223" s="1">
        <v>0.0</v>
      </c>
      <c r="I1223" s="1">
        <v>3.66</v>
      </c>
      <c r="J1223" s="1" t="s">
        <v>419</v>
      </c>
      <c r="K1223" s="1" t="s">
        <v>44</v>
      </c>
      <c r="L1223" s="1">
        <v>271.0</v>
      </c>
      <c r="M1223" s="1">
        <v>1972.0</v>
      </c>
      <c r="N1223" s="1">
        <v>1971.0</v>
      </c>
      <c r="P1223" s="2">
        <v>42029.0</v>
      </c>
      <c r="Q1223" s="1" t="s">
        <v>32</v>
      </c>
      <c r="R1223" s="1" t="s">
        <v>5503</v>
      </c>
      <c r="S1223" s="1" t="s">
        <v>32</v>
      </c>
      <c r="W1223" s="1">
        <v>0.0</v>
      </c>
      <c r="X1223" s="1">
        <v>0.0</v>
      </c>
    </row>
    <row r="1224" spans="1:24" ht="15.75" customHeight="1">
      <c r="A1224" s="1">
        <v>2.1874691E7</v>
      </c>
      <c r="B1224" s="1" t="s">
        <v>5504</v>
      </c>
      <c r="C1224" s="1" t="s">
        <v>5505</v>
      </c>
      <c r="D1224" s="1" t="s">
        <v>5506</v>
      </c>
      <c r="E1224" s="1" t="s">
        <v>5507</v>
      </c>
      <c r="F1224" s="1" t="str">
        <f>"0300206291"</f>
        <v>0300206291</v>
      </c>
      <c r="G1224" s="1" t="str">
        <f>"9780300206296"</f>
        <v>9780300206296</v>
      </c>
      <c r="H1224" s="1">
        <v>0.0</v>
      </c>
      <c r="I1224" s="1">
        <v>3.78</v>
      </c>
      <c r="J1224" s="1" t="s">
        <v>962</v>
      </c>
      <c r="K1224" s="1" t="s">
        <v>44</v>
      </c>
      <c r="L1224" s="1">
        <v>176.0</v>
      </c>
      <c r="M1224" s="1">
        <v>2014.0</v>
      </c>
      <c r="N1224" s="1">
        <v>1981.0</v>
      </c>
      <c r="P1224" s="2">
        <v>45113.0</v>
      </c>
      <c r="Q1224" s="1" t="s">
        <v>449</v>
      </c>
      <c r="R1224" s="1" t="s">
        <v>5508</v>
      </c>
      <c r="S1224" s="1" t="s">
        <v>32</v>
      </c>
      <c r="W1224" s="1">
        <v>0.0</v>
      </c>
      <c r="X1224" s="1">
        <v>1.0</v>
      </c>
    </row>
    <row r="1225" spans="1:24" ht="15.75" customHeight="1">
      <c r="A1225" s="1">
        <v>3.8923635E7</v>
      </c>
      <c r="B1225" s="1" t="s">
        <v>5509</v>
      </c>
      <c r="C1225" s="1" t="s">
        <v>5510</v>
      </c>
      <c r="D1225" s="1" t="s">
        <v>5511</v>
      </c>
      <c r="F1225" s="1" t="str">
        <f>"022657668X"</f>
        <v>022657668X</v>
      </c>
      <c r="G1225" s="1" t="str">
        <f>"9780226576688"</f>
        <v>9780226576688</v>
      </c>
      <c r="H1225" s="1">
        <v>0.0</v>
      </c>
      <c r="I1225" s="1">
        <v>4.5</v>
      </c>
      <c r="J1225" s="1" t="s">
        <v>78</v>
      </c>
      <c r="K1225" s="1" t="s">
        <v>44</v>
      </c>
      <c r="L1225" s="1">
        <v>272.0</v>
      </c>
      <c r="M1225" s="1">
        <v>2018.0</v>
      </c>
      <c r="P1225" s="3">
        <v>44192.0</v>
      </c>
      <c r="Q1225" s="1" t="s">
        <v>3850</v>
      </c>
      <c r="R1225" s="1" t="s">
        <v>5512</v>
      </c>
      <c r="S1225" s="1" t="s">
        <v>32</v>
      </c>
      <c r="W1225" s="1">
        <v>0.0</v>
      </c>
      <c r="X1225" s="1">
        <v>0.0</v>
      </c>
    </row>
    <row r="1226" spans="1:24" ht="15.75" customHeight="1">
      <c r="A1226" s="1">
        <v>4.4179374E7</v>
      </c>
      <c r="B1226" s="1" t="s">
        <v>5513</v>
      </c>
      <c r="C1226" s="1" t="s">
        <v>5510</v>
      </c>
      <c r="D1226" s="1" t="s">
        <v>5511</v>
      </c>
      <c r="F1226" s="1" t="str">
        <f>"022665608X"</f>
        <v>022665608X</v>
      </c>
      <c r="G1226" s="1" t="str">
        <f>"9780226656083"</f>
        <v>9780226656083</v>
      </c>
      <c r="H1226" s="1">
        <v>0.0</v>
      </c>
      <c r="I1226" s="1">
        <v>3.17</v>
      </c>
      <c r="J1226" s="1" t="s">
        <v>78</v>
      </c>
      <c r="K1226" s="1" t="s">
        <v>37</v>
      </c>
      <c r="L1226" s="1">
        <v>176.0</v>
      </c>
      <c r="M1226" s="1">
        <v>2019.0</v>
      </c>
      <c r="P1226" s="3">
        <v>44192.0</v>
      </c>
      <c r="Q1226" s="1" t="s">
        <v>3850</v>
      </c>
      <c r="R1226" s="1" t="s">
        <v>5514</v>
      </c>
      <c r="S1226" s="1" t="s">
        <v>32</v>
      </c>
      <c r="W1226" s="1">
        <v>0.0</v>
      </c>
      <c r="X1226" s="1">
        <v>0.0</v>
      </c>
    </row>
    <row r="1227" spans="1:24" ht="15.75" customHeight="1">
      <c r="A1227" s="1">
        <v>3.2660819E7</v>
      </c>
      <c r="B1227" s="1" t="s">
        <v>5515</v>
      </c>
      <c r="C1227" s="1" t="s">
        <v>5516</v>
      </c>
      <c r="D1227" s="1" t="s">
        <v>5517</v>
      </c>
      <c r="E1227" s="1" t="s">
        <v>5518</v>
      </c>
      <c r="F1227" s="1" t="str">
        <f>"1442650451"</f>
        <v>1442650451</v>
      </c>
      <c r="G1227" s="1" t="str">
        <f>"9781442650459"</f>
        <v>9781442650459</v>
      </c>
      <c r="H1227" s="1">
        <v>0.0</v>
      </c>
      <c r="I1227" s="1">
        <v>3.66</v>
      </c>
      <c r="J1227" s="1" t="s">
        <v>5519</v>
      </c>
      <c r="K1227" s="1" t="s">
        <v>37</v>
      </c>
      <c r="L1227" s="1">
        <v>256.0</v>
      </c>
      <c r="M1227" s="1">
        <v>2017.0</v>
      </c>
      <c r="P1227" s="2">
        <v>44204.0</v>
      </c>
      <c r="Q1227" s="1" t="s">
        <v>32</v>
      </c>
      <c r="R1227" s="1" t="s">
        <v>5520</v>
      </c>
      <c r="S1227" s="1" t="s">
        <v>32</v>
      </c>
      <c r="W1227" s="1">
        <v>0.0</v>
      </c>
      <c r="X1227" s="1">
        <v>0.0</v>
      </c>
    </row>
    <row r="1228" spans="1:24" ht="15.75" customHeight="1">
      <c r="A1228" s="1">
        <v>5.9529861E7</v>
      </c>
      <c r="B1228" s="1" t="s">
        <v>5521</v>
      </c>
      <c r="C1228" s="1" t="s">
        <v>5522</v>
      </c>
      <c r="D1228" s="1" t="s">
        <v>5523</v>
      </c>
      <c r="F1228" s="1" t="str">
        <f t="shared" si="89" ref="F1228:G1228">""</f>
        <v/>
      </c>
      <c r="G1228" s="1" t="str">
        <f t="shared" si="89"/>
        <v/>
      </c>
      <c r="H1228" s="1">
        <v>0.0</v>
      </c>
      <c r="I1228" s="1">
        <v>4.25</v>
      </c>
      <c r="J1228" s="1" t="s">
        <v>5524</v>
      </c>
      <c r="K1228" s="1" t="s">
        <v>44</v>
      </c>
      <c r="L1228" s="1">
        <v>488.0</v>
      </c>
      <c r="M1228" s="1">
        <v>1982.0</v>
      </c>
      <c r="N1228" s="1">
        <v>1820.0</v>
      </c>
      <c r="P1228" s="2">
        <v>45129.0</v>
      </c>
      <c r="Q1228" s="1" t="s">
        <v>449</v>
      </c>
      <c r="R1228" s="1" t="s">
        <v>5525</v>
      </c>
      <c r="S1228" s="1" t="s">
        <v>32</v>
      </c>
      <c r="W1228" s="1">
        <v>0.0</v>
      </c>
      <c r="X1228" s="1">
        <v>1.0</v>
      </c>
    </row>
    <row r="1229" spans="1:24" ht="15.75" customHeight="1">
      <c r="A1229" s="1">
        <v>1.8340986E7</v>
      </c>
      <c r="B1229" s="1" t="s">
        <v>5526</v>
      </c>
      <c r="C1229" s="1" t="s">
        <v>5527</v>
      </c>
      <c r="D1229" s="1" t="s">
        <v>5528</v>
      </c>
      <c r="F1229" s="1" t="str">
        <f>"0394178009"</f>
        <v>0394178009</v>
      </c>
      <c r="G1229" s="1" t="str">
        <f>""</f>
        <v/>
      </c>
      <c r="H1229" s="1">
        <v>0.0</v>
      </c>
      <c r="I1229" s="1">
        <v>3.89</v>
      </c>
      <c r="J1229" s="1" t="s">
        <v>5529</v>
      </c>
      <c r="L1229" s="1">
        <v>415.0</v>
      </c>
      <c r="M1229" s="1">
        <v>1981.0</v>
      </c>
      <c r="N1229" s="1">
        <v>1980.0</v>
      </c>
      <c r="P1229" s="2">
        <v>41097.0</v>
      </c>
      <c r="Q1229" s="1" t="s">
        <v>818</v>
      </c>
      <c r="R1229" s="1" t="s">
        <v>5530</v>
      </c>
      <c r="S1229" s="1" t="s">
        <v>32</v>
      </c>
      <c r="W1229" s="1">
        <v>0.0</v>
      </c>
      <c r="X1229" s="1">
        <v>1.0</v>
      </c>
    </row>
    <row r="1230" spans="1:24" ht="15.75" customHeight="1">
      <c r="A1230" s="1">
        <v>41591.0</v>
      </c>
      <c r="B1230" s="1" t="s">
        <v>5531</v>
      </c>
      <c r="C1230" s="1" t="s">
        <v>5532</v>
      </c>
      <c r="D1230" s="1" t="s">
        <v>5533</v>
      </c>
      <c r="F1230" s="1" t="str">
        <f>"0395859999"</f>
        <v>0395859999</v>
      </c>
      <c r="G1230" s="1" t="str">
        <f>"9780395859995"</f>
        <v>9780395859995</v>
      </c>
      <c r="H1230" s="1">
        <v>0.0</v>
      </c>
      <c r="I1230" s="1">
        <v>3.92</v>
      </c>
      <c r="J1230" s="1" t="s">
        <v>468</v>
      </c>
      <c r="K1230" s="1" t="s">
        <v>44</v>
      </c>
      <c r="L1230" s="1">
        <v>206.0</v>
      </c>
      <c r="M1230" s="1">
        <v>1997.0</v>
      </c>
      <c r="N1230" s="1">
        <v>1954.0</v>
      </c>
      <c r="P1230" s="3">
        <v>45271.0</v>
      </c>
      <c r="Q1230" s="1" t="s">
        <v>479</v>
      </c>
      <c r="R1230" s="1" t="s">
        <v>5534</v>
      </c>
      <c r="S1230" s="1" t="s">
        <v>32</v>
      </c>
      <c r="W1230" s="1">
        <v>0.0</v>
      </c>
      <c r="X1230" s="1">
        <v>0.0</v>
      </c>
    </row>
    <row r="1231" spans="1:24" ht="15.75" customHeight="1">
      <c r="A1231" s="1">
        <v>3019815.0</v>
      </c>
      <c r="B1231" s="1" t="s">
        <v>5535</v>
      </c>
      <c r="C1231" s="1" t="s">
        <v>5536</v>
      </c>
      <c r="D1231" s="1" t="s">
        <v>5537</v>
      </c>
      <c r="F1231" s="1" t="str">
        <f>"0791440680"</f>
        <v>0791440680</v>
      </c>
      <c r="G1231" s="1" t="str">
        <f>"9780791440681"</f>
        <v>9780791440681</v>
      </c>
      <c r="H1231" s="1">
        <v>0.0</v>
      </c>
      <c r="I1231" s="1">
        <v>0.0</v>
      </c>
      <c r="J1231" s="1" t="s">
        <v>5538</v>
      </c>
      <c r="K1231" s="1" t="s">
        <v>44</v>
      </c>
      <c r="L1231" s="1">
        <v>278.0</v>
      </c>
      <c r="M1231" s="1">
        <v>1999.0</v>
      </c>
      <c r="N1231" s="1">
        <v>1998.0</v>
      </c>
      <c r="P1231" s="3">
        <v>45276.0</v>
      </c>
      <c r="Q1231" s="1" t="s">
        <v>479</v>
      </c>
      <c r="R1231" s="1" t="s">
        <v>5539</v>
      </c>
      <c r="S1231" s="1" t="s">
        <v>32</v>
      </c>
      <c r="W1231" s="1">
        <v>0.0</v>
      </c>
      <c r="X1231" s="1">
        <v>0.0</v>
      </c>
    </row>
    <row r="1232" spans="1:24" ht="15.75" customHeight="1">
      <c r="A1232" s="1">
        <v>1.8377995E7</v>
      </c>
      <c r="B1232" s="1" t="s">
        <v>5540</v>
      </c>
      <c r="C1232" s="1" t="s">
        <v>5541</v>
      </c>
      <c r="D1232" s="1" t="s">
        <v>5542</v>
      </c>
      <c r="F1232" s="1" t="str">
        <f>"0393243370"</f>
        <v>0393243370</v>
      </c>
      <c r="G1232" s="1" t="str">
        <f>"9780393243376"</f>
        <v>9780393243376</v>
      </c>
      <c r="H1232" s="1">
        <v>0.0</v>
      </c>
      <c r="I1232" s="1">
        <v>3.75</v>
      </c>
      <c r="J1232" s="1" t="s">
        <v>248</v>
      </c>
      <c r="K1232" s="1" t="s">
        <v>37</v>
      </c>
      <c r="L1232" s="1">
        <v>288.0</v>
      </c>
      <c r="M1232" s="1">
        <v>2014.0</v>
      </c>
      <c r="N1232" s="1">
        <v>2014.0</v>
      </c>
      <c r="P1232" s="2">
        <v>44199.0</v>
      </c>
      <c r="Q1232" s="1" t="s">
        <v>32</v>
      </c>
      <c r="R1232" s="1" t="s">
        <v>5543</v>
      </c>
      <c r="S1232" s="1" t="s">
        <v>32</v>
      </c>
      <c r="W1232" s="1">
        <v>0.0</v>
      </c>
      <c r="X1232" s="1">
        <v>0.0</v>
      </c>
    </row>
    <row r="1233" spans="1:24" ht="15.75" customHeight="1">
      <c r="A1233" s="1">
        <v>78.0</v>
      </c>
      <c r="B1233" s="1" t="s">
        <v>5544</v>
      </c>
      <c r="C1233" s="1" t="s">
        <v>5545</v>
      </c>
      <c r="D1233" s="1" t="s">
        <v>5546</v>
      </c>
      <c r="F1233" s="1" t="str">
        <f>"0374518734"</f>
        <v>0374518734</v>
      </c>
      <c r="G1233" s="1" t="str">
        <f>"9780374518738"</f>
        <v>9780374518738</v>
      </c>
      <c r="H1233" s="1">
        <v>0.0</v>
      </c>
      <c r="I1233" s="1">
        <v>4.36</v>
      </c>
      <c r="J1233" s="1" t="s">
        <v>438</v>
      </c>
      <c r="K1233" s="1" t="s">
        <v>44</v>
      </c>
      <c r="L1233" s="1">
        <v>720.0</v>
      </c>
      <c r="M1233" s="1">
        <v>1999.0</v>
      </c>
      <c r="N1233" s="1">
        <v>1998.0</v>
      </c>
      <c r="P1233" s="2">
        <v>45170.0</v>
      </c>
      <c r="Q1233" s="1" t="s">
        <v>32</v>
      </c>
      <c r="R1233" s="1" t="s">
        <v>5547</v>
      </c>
      <c r="S1233" s="1" t="s">
        <v>32</v>
      </c>
      <c r="W1233" s="1">
        <v>0.0</v>
      </c>
      <c r="X1233" s="1">
        <v>0.0</v>
      </c>
    </row>
    <row r="1234" spans="1:24" ht="15.75" customHeight="1">
      <c r="A1234" s="1">
        <v>15997.0</v>
      </c>
      <c r="B1234" s="1" t="s">
        <v>5548</v>
      </c>
      <c r="C1234" s="1" t="s">
        <v>5549</v>
      </c>
      <c r="D1234" s="1" t="s">
        <v>5550</v>
      </c>
      <c r="F1234" s="1" t="str">
        <f>"0140424393"</f>
        <v>0140424393</v>
      </c>
      <c r="G1234" s="1" t="str">
        <f>"9780140424393"</f>
        <v>9780140424393</v>
      </c>
      <c r="H1234" s="1">
        <v>0.0</v>
      </c>
      <c r="I1234" s="1">
        <v>3.84</v>
      </c>
      <c r="J1234" s="1" t="s">
        <v>1023</v>
      </c>
      <c r="K1234" s="1" t="s">
        <v>44</v>
      </c>
      <c r="L1234" s="1">
        <v>512.0</v>
      </c>
      <c r="M1234" s="1">
        <v>2003.0</v>
      </c>
      <c r="N1234" s="1">
        <v>1667.0</v>
      </c>
      <c r="P1234" s="2">
        <v>41494.0</v>
      </c>
      <c r="Q1234" s="1" t="s">
        <v>32</v>
      </c>
      <c r="R1234" s="1" t="s">
        <v>5551</v>
      </c>
      <c r="S1234" s="1" t="s">
        <v>32</v>
      </c>
      <c r="W1234" s="1">
        <v>0.0</v>
      </c>
      <c r="X1234" s="1">
        <v>0.0</v>
      </c>
    </row>
    <row r="1235" spans="1:24" ht="15.75" customHeight="1">
      <c r="A1235" s="1">
        <v>105202.0</v>
      </c>
      <c r="B1235" s="1" t="s">
        <v>5552</v>
      </c>
      <c r="C1235" s="1" t="s">
        <v>5553</v>
      </c>
      <c r="D1235" s="1" t="s">
        <v>5554</v>
      </c>
      <c r="F1235" s="1" t="str">
        <f>"185984412X"</f>
        <v>185984412X</v>
      </c>
      <c r="G1235" s="1" t="str">
        <f>"9781859844120"</f>
        <v>9781859844120</v>
      </c>
      <c r="H1235" s="1">
        <v>0.0</v>
      </c>
      <c r="I1235" s="1">
        <v>4.14</v>
      </c>
      <c r="J1235" s="1" t="s">
        <v>367</v>
      </c>
      <c r="K1235" s="1" t="s">
        <v>44</v>
      </c>
      <c r="L1235" s="1">
        <v>192.0</v>
      </c>
      <c r="M1235" s="1">
        <v>2003.0</v>
      </c>
      <c r="N1235" s="1">
        <v>2002.0</v>
      </c>
      <c r="P1235" s="3">
        <v>45271.0</v>
      </c>
      <c r="Q1235" s="1" t="s">
        <v>479</v>
      </c>
      <c r="R1235" s="1" t="s">
        <v>5555</v>
      </c>
      <c r="S1235" s="1" t="s">
        <v>32</v>
      </c>
      <c r="W1235" s="1">
        <v>0.0</v>
      </c>
      <c r="X1235" s="1">
        <v>0.0</v>
      </c>
    </row>
    <row r="1236" spans="1:24" ht="15.75" customHeight="1">
      <c r="A1236" s="1">
        <v>437060.0</v>
      </c>
      <c r="B1236" s="1" t="s">
        <v>5556</v>
      </c>
      <c r="C1236" s="1" t="s">
        <v>5557</v>
      </c>
      <c r="D1236" s="1" t="s">
        <v>5558</v>
      </c>
      <c r="F1236" s="1" t="str">
        <f>"0671443186"</f>
        <v>0671443186</v>
      </c>
      <c r="G1236" s="1" t="str">
        <f>"9780671443184"</f>
        <v>9780671443184</v>
      </c>
      <c r="H1236" s="1">
        <v>0.0</v>
      </c>
      <c r="I1236" s="1">
        <v>4.0</v>
      </c>
      <c r="J1236" s="1" t="s">
        <v>622</v>
      </c>
      <c r="K1236" s="1" t="s">
        <v>37</v>
      </c>
      <c r="L1236" s="1">
        <v>847.0</v>
      </c>
      <c r="M1236" s="1">
        <v>1986.0</v>
      </c>
      <c r="N1236" s="1">
        <v>1986.0</v>
      </c>
      <c r="P1236" s="2">
        <v>45300.0</v>
      </c>
      <c r="Q1236" s="1" t="s">
        <v>30</v>
      </c>
      <c r="R1236" s="1" t="s">
        <v>5559</v>
      </c>
      <c r="S1236" s="1" t="s">
        <v>32</v>
      </c>
      <c r="W1236" s="1">
        <v>0.0</v>
      </c>
      <c r="X1236" s="1">
        <v>0.0</v>
      </c>
    </row>
    <row r="1237" spans="1:24" ht="15.75" customHeight="1">
      <c r="A1237" s="1">
        <v>109713.0</v>
      </c>
      <c r="B1237" s="1" t="s">
        <v>5560</v>
      </c>
      <c r="C1237" s="1" t="s">
        <v>5561</v>
      </c>
      <c r="D1237" s="1" t="s">
        <v>5562</v>
      </c>
      <c r="F1237" s="1" t="str">
        <f>"0802130836"</f>
        <v>0802130836</v>
      </c>
      <c r="G1237" s="1" t="str">
        <f>"9780802130839"</f>
        <v>9780802130839</v>
      </c>
      <c r="H1237" s="1">
        <v>0.0</v>
      </c>
      <c r="I1237" s="1">
        <v>3.93</v>
      </c>
      <c r="J1237" s="1" t="s">
        <v>5563</v>
      </c>
      <c r="K1237" s="1" t="s">
        <v>44</v>
      </c>
      <c r="L1237" s="1">
        <v>400.0</v>
      </c>
      <c r="M1237" s="1">
        <v>1994.0</v>
      </c>
      <c r="N1237" s="1">
        <v>1963.0</v>
      </c>
      <c r="P1237" s="2">
        <v>42806.0</v>
      </c>
      <c r="Q1237" s="1" t="s">
        <v>1110</v>
      </c>
      <c r="R1237" s="1" t="s">
        <v>5564</v>
      </c>
      <c r="S1237" s="1" t="s">
        <v>32</v>
      </c>
      <c r="W1237" s="1">
        <v>0.0</v>
      </c>
      <c r="X1237" s="1">
        <v>0.0</v>
      </c>
    </row>
    <row r="1238" spans="1:24" ht="15.75" customHeight="1">
      <c r="A1238" s="1">
        <v>51905.0</v>
      </c>
      <c r="B1238" s="1" t="s">
        <v>5565</v>
      </c>
      <c r="C1238" s="1" t="s">
        <v>5566</v>
      </c>
      <c r="D1238" s="1" t="s">
        <v>5567</v>
      </c>
      <c r="F1238" s="1" t="str">
        <f>"0195157346"</f>
        <v>0195157346</v>
      </c>
      <c r="G1238" s="1" t="str">
        <f>"9780195157345"</f>
        <v>9780195157345</v>
      </c>
      <c r="H1238" s="1">
        <v>0.0</v>
      </c>
      <c r="I1238" s="1">
        <v>3.88</v>
      </c>
      <c r="J1238" s="1" t="s">
        <v>181</v>
      </c>
      <c r="K1238" s="1" t="s">
        <v>44</v>
      </c>
      <c r="L1238" s="1">
        <v>224.0</v>
      </c>
      <c r="M1238" s="1">
        <v>2005.0</v>
      </c>
      <c r="N1238" s="1">
        <v>2004.0</v>
      </c>
      <c r="P1238" s="2">
        <v>45167.0</v>
      </c>
      <c r="Q1238" s="1" t="s">
        <v>32</v>
      </c>
      <c r="R1238" s="1" t="s">
        <v>5568</v>
      </c>
      <c r="S1238" s="1" t="s">
        <v>32</v>
      </c>
      <c r="W1238" s="1">
        <v>0.0</v>
      </c>
      <c r="X1238" s="1">
        <v>0.0</v>
      </c>
    </row>
    <row r="1239" spans="1:24" ht="15.75" customHeight="1">
      <c r="A1239" s="1">
        <v>4395.0</v>
      </c>
      <c r="B1239" s="1" t="s">
        <v>5569</v>
      </c>
      <c r="C1239" s="1" t="s">
        <v>5570</v>
      </c>
      <c r="D1239" s="1" t="s">
        <v>5571</v>
      </c>
      <c r="F1239" s="1" t="str">
        <f t="shared" si="90" ref="F1239:G1239">""</f>
        <v/>
      </c>
      <c r="G1239" s="1" t="str">
        <f t="shared" si="90"/>
        <v/>
      </c>
      <c r="H1239" s="1">
        <v>0.0</v>
      </c>
      <c r="I1239" s="1">
        <v>4.01</v>
      </c>
      <c r="J1239" s="1" t="s">
        <v>309</v>
      </c>
      <c r="K1239" s="1" t="s">
        <v>44</v>
      </c>
      <c r="L1239" s="1">
        <v>455.0</v>
      </c>
      <c r="M1239" s="1">
        <v>2002.0</v>
      </c>
      <c r="N1239" s="1">
        <v>1939.0</v>
      </c>
      <c r="P1239" s="2">
        <v>41049.0</v>
      </c>
      <c r="Q1239" s="1" t="s">
        <v>502</v>
      </c>
      <c r="R1239" s="1" t="s">
        <v>5572</v>
      </c>
      <c r="S1239" s="1" t="s">
        <v>32</v>
      </c>
      <c r="W1239" s="1">
        <v>0.0</v>
      </c>
      <c r="X1239" s="1">
        <v>0.0</v>
      </c>
    </row>
    <row r="1240" spans="1:24" ht="15.75" customHeight="1">
      <c r="A1240" s="1">
        <v>890.0</v>
      </c>
      <c r="B1240" s="1" t="s">
        <v>5573</v>
      </c>
      <c r="C1240" s="1" t="s">
        <v>5570</v>
      </c>
      <c r="D1240" s="1" t="s">
        <v>5571</v>
      </c>
      <c r="F1240" s="1" t="str">
        <f>"0142000671"</f>
        <v>0142000671</v>
      </c>
      <c r="G1240" s="1" t="str">
        <f>"9780142000670"</f>
        <v>9780142000670</v>
      </c>
      <c r="H1240" s="1">
        <v>0.0</v>
      </c>
      <c r="I1240" s="1">
        <v>3.88</v>
      </c>
      <c r="J1240" s="1" t="s">
        <v>309</v>
      </c>
      <c r="K1240" s="1" t="s">
        <v>44</v>
      </c>
      <c r="L1240" s="1">
        <v>107.0</v>
      </c>
      <c r="M1240" s="1">
        <v>2002.0</v>
      </c>
      <c r="N1240" s="1">
        <v>1937.0</v>
      </c>
      <c r="O1240" s="2">
        <v>41066.0</v>
      </c>
      <c r="P1240" s="2">
        <v>41064.0</v>
      </c>
      <c r="Q1240" s="1" t="s">
        <v>1925</v>
      </c>
      <c r="R1240" s="1" t="s">
        <v>5574</v>
      </c>
      <c r="S1240" s="1" t="s">
        <v>271</v>
      </c>
      <c r="W1240" s="1">
        <v>1.0</v>
      </c>
      <c r="X1240" s="1">
        <v>0.0</v>
      </c>
    </row>
    <row r="1241" spans="1:24" ht="15.75" customHeight="1">
      <c r="A1241" s="1">
        <v>4.0390037E7</v>
      </c>
      <c r="B1241" s="1" t="s">
        <v>5575</v>
      </c>
      <c r="C1241" s="1" t="s">
        <v>5570</v>
      </c>
      <c r="D1241" s="1" t="s">
        <v>5571</v>
      </c>
      <c r="F1241" s="1" t="str">
        <f>"0553023543"</f>
        <v>0553023543</v>
      </c>
      <c r="G1241" s="1" t="str">
        <f>"9780553023541"</f>
        <v>9780553023541</v>
      </c>
      <c r="H1241" s="1">
        <v>0.0</v>
      </c>
      <c r="I1241" s="1">
        <v>4.01</v>
      </c>
      <c r="J1241" s="1" t="s">
        <v>4389</v>
      </c>
      <c r="K1241" s="1" t="s">
        <v>44</v>
      </c>
      <c r="L1241" s="1">
        <v>0.0</v>
      </c>
      <c r="N1241" s="1">
        <v>1939.0</v>
      </c>
      <c r="P1241" s="2">
        <v>45113.0</v>
      </c>
      <c r="Q1241" s="1" t="s">
        <v>32</v>
      </c>
      <c r="R1241" s="1" t="s">
        <v>5576</v>
      </c>
      <c r="S1241" s="1" t="s">
        <v>32</v>
      </c>
      <c r="W1241" s="1">
        <v>0.0</v>
      </c>
      <c r="X1241" s="1">
        <v>0.0</v>
      </c>
    </row>
    <row r="1242" spans="1:24" ht="15.75" customHeight="1">
      <c r="A1242" s="1">
        <v>4406.0</v>
      </c>
      <c r="B1242" s="1" t="s">
        <v>5577</v>
      </c>
      <c r="C1242" s="1" t="s">
        <v>5570</v>
      </c>
      <c r="D1242" s="1" t="s">
        <v>5571</v>
      </c>
      <c r="F1242" s="1" t="str">
        <f>"0142000655"</f>
        <v>0142000655</v>
      </c>
      <c r="G1242" s="1" t="str">
        <f>"9780142000656"</f>
        <v>9780142000656</v>
      </c>
      <c r="H1242" s="1">
        <v>0.0</v>
      </c>
      <c r="I1242" s="1">
        <v>4.41</v>
      </c>
      <c r="J1242" s="1" t="s">
        <v>309</v>
      </c>
      <c r="K1242" s="1" t="s">
        <v>44</v>
      </c>
      <c r="L1242" s="1">
        <v>601.0</v>
      </c>
      <c r="M1242" s="1">
        <v>2002.0</v>
      </c>
      <c r="N1242" s="1">
        <v>1952.0</v>
      </c>
      <c r="P1242" s="2">
        <v>41529.0</v>
      </c>
      <c r="Q1242" s="1" t="s">
        <v>32</v>
      </c>
      <c r="R1242" s="1" t="s">
        <v>5578</v>
      </c>
      <c r="S1242" s="1" t="s">
        <v>32</v>
      </c>
      <c r="W1242" s="1">
        <v>0.0</v>
      </c>
      <c r="X1242" s="1">
        <v>0.0</v>
      </c>
    </row>
    <row r="1243" spans="1:24" ht="15.75" customHeight="1">
      <c r="A1243" s="1">
        <v>1.71061051E8</v>
      </c>
      <c r="B1243" s="1" t="s">
        <v>5579</v>
      </c>
      <c r="C1243" s="1" t="s">
        <v>5580</v>
      </c>
      <c r="D1243" s="1" t="s">
        <v>5581</v>
      </c>
      <c r="F1243" s="1" t="str">
        <f t="shared" si="91" ref="F1243:G1243">""</f>
        <v/>
      </c>
      <c r="G1243" s="1" t="str">
        <f t="shared" si="91"/>
        <v/>
      </c>
      <c r="H1243" s="1">
        <v>0.0</v>
      </c>
      <c r="I1243" s="1">
        <v>3.75</v>
      </c>
      <c r="J1243" s="1" t="s">
        <v>5582</v>
      </c>
      <c r="K1243" s="1" t="s">
        <v>44</v>
      </c>
      <c r="L1243" s="1">
        <v>461.0</v>
      </c>
      <c r="M1243" s="1">
        <v>1950.0</v>
      </c>
      <c r="N1243" s="1">
        <v>1950.0</v>
      </c>
      <c r="P1243" s="2">
        <v>45161.0</v>
      </c>
      <c r="Q1243" s="1" t="s">
        <v>1207</v>
      </c>
      <c r="R1243" s="1" t="s">
        <v>5583</v>
      </c>
      <c r="S1243" s="1" t="s">
        <v>32</v>
      </c>
      <c r="W1243" s="1">
        <v>0.0</v>
      </c>
      <c r="X1243" s="1">
        <v>1.0</v>
      </c>
    </row>
    <row r="1244" spans="1:24" ht="15.75" customHeight="1">
      <c r="A1244" s="1">
        <v>7243316.0</v>
      </c>
      <c r="B1244" s="1" t="s">
        <v>5584</v>
      </c>
      <c r="C1244" s="1" t="s">
        <v>5585</v>
      </c>
      <c r="D1244" s="1" t="s">
        <v>5586</v>
      </c>
      <c r="F1244" s="1" t="str">
        <f>"0374251479"</f>
        <v>0374251479</v>
      </c>
      <c r="G1244" s="1" t="str">
        <f>"9780374251475"</f>
        <v>9780374251475</v>
      </c>
      <c r="H1244" s="1">
        <v>0.0</v>
      </c>
      <c r="I1244" s="1">
        <v>4.06</v>
      </c>
      <c r="J1244" s="1" t="s">
        <v>438</v>
      </c>
      <c r="K1244" s="1" t="s">
        <v>37</v>
      </c>
      <c r="L1244" s="1">
        <v>304.0</v>
      </c>
      <c r="M1244" s="1">
        <v>2010.0</v>
      </c>
      <c r="N1244" s="1">
        <v>2010.0</v>
      </c>
      <c r="P1244" s="2">
        <v>43952.0</v>
      </c>
      <c r="Q1244" s="1" t="s">
        <v>55</v>
      </c>
      <c r="R1244" s="1" t="s">
        <v>5587</v>
      </c>
      <c r="S1244" s="1" t="s">
        <v>32</v>
      </c>
      <c r="W1244" s="1">
        <v>0.0</v>
      </c>
      <c r="X1244" s="1">
        <v>0.0</v>
      </c>
    </row>
    <row r="1245" spans="1:24" ht="15.75" customHeight="1">
      <c r="A1245" s="1">
        <v>3380813.0</v>
      </c>
      <c r="B1245" s="1" t="s">
        <v>5588</v>
      </c>
      <c r="C1245" s="1" t="s">
        <v>5589</v>
      </c>
      <c r="D1245" s="1" t="s">
        <v>5590</v>
      </c>
      <c r="F1245" s="1" t="str">
        <f>"0374194165"</f>
        <v>0374194165</v>
      </c>
      <c r="G1245" s="1" t="str">
        <f>"9780374194161"</f>
        <v>9780374194161</v>
      </c>
      <c r="H1245" s="1">
        <v>0.0</v>
      </c>
      <c r="I1245" s="1">
        <v>3.19</v>
      </c>
      <c r="J1245" s="1" t="s">
        <v>438</v>
      </c>
      <c r="K1245" s="1" t="s">
        <v>37</v>
      </c>
      <c r="L1245" s="1">
        <v>258.0</v>
      </c>
      <c r="M1245" s="1">
        <v>2009.0</v>
      </c>
      <c r="N1245" s="1">
        <v>2009.0</v>
      </c>
      <c r="P1245" s="2">
        <v>43993.0</v>
      </c>
      <c r="Q1245" s="1" t="s">
        <v>32</v>
      </c>
      <c r="R1245" s="1" t="s">
        <v>5591</v>
      </c>
      <c r="S1245" s="1" t="s">
        <v>32</v>
      </c>
      <c r="W1245" s="1">
        <v>0.0</v>
      </c>
      <c r="X1245" s="1">
        <v>0.0</v>
      </c>
    </row>
    <row r="1246" spans="1:24" ht="15.75" customHeight="1">
      <c r="A1246" s="1">
        <v>3.0233546E7</v>
      </c>
      <c r="B1246" s="1" t="s">
        <v>5592</v>
      </c>
      <c r="C1246" s="1" t="s">
        <v>5593</v>
      </c>
      <c r="D1246" s="1" t="s">
        <v>5594</v>
      </c>
      <c r="F1246" s="1" t="str">
        <f t="shared" si="92" ref="F1246:G1246">""</f>
        <v/>
      </c>
      <c r="G1246" s="1" t="str">
        <f t="shared" si="92"/>
        <v/>
      </c>
      <c r="H1246" s="1">
        <v>0.0</v>
      </c>
      <c r="I1246" s="1">
        <v>5.0</v>
      </c>
      <c r="K1246" s="1" t="s">
        <v>29</v>
      </c>
      <c r="L1246" s="1">
        <v>78.0</v>
      </c>
      <c r="M1246" s="1">
        <v>2015.0</v>
      </c>
      <c r="P1246" s="2">
        <v>44455.0</v>
      </c>
      <c r="Q1246" s="1" t="s">
        <v>49</v>
      </c>
      <c r="R1246" s="1" t="s">
        <v>5595</v>
      </c>
      <c r="S1246" s="1" t="s">
        <v>32</v>
      </c>
      <c r="W1246" s="1">
        <v>0.0</v>
      </c>
      <c r="X1246" s="1">
        <v>0.0</v>
      </c>
    </row>
    <row r="1247" spans="1:24" ht="15.75" customHeight="1">
      <c r="A1247" s="1">
        <v>863480.0</v>
      </c>
      <c r="B1247" s="1" t="s">
        <v>5596</v>
      </c>
      <c r="C1247" s="1" t="s">
        <v>5597</v>
      </c>
      <c r="D1247" s="1" t="s">
        <v>5598</v>
      </c>
      <c r="E1247" s="1" t="s">
        <v>5599</v>
      </c>
      <c r="F1247" s="1" t="str">
        <f>"0300016743"</f>
        <v>0300016743</v>
      </c>
      <c r="G1247" s="1" t="str">
        <f>"9780300016741"</f>
        <v>9780300016741</v>
      </c>
      <c r="H1247" s="1">
        <v>0.0</v>
      </c>
      <c r="I1247" s="1">
        <v>4.13</v>
      </c>
      <c r="J1247" s="1" t="s">
        <v>5600</v>
      </c>
      <c r="K1247" s="1" t="s">
        <v>44</v>
      </c>
      <c r="L1247" s="1">
        <v>226.0</v>
      </c>
      <c r="M1247" s="1">
        <v>1973.0</v>
      </c>
      <c r="N1247" s="1">
        <v>1942.0</v>
      </c>
      <c r="P1247" s="2">
        <v>44959.0</v>
      </c>
      <c r="Q1247" s="1" t="s">
        <v>32</v>
      </c>
      <c r="R1247" s="1" t="s">
        <v>5601</v>
      </c>
      <c r="S1247" s="1" t="s">
        <v>32</v>
      </c>
      <c r="W1247" s="1">
        <v>0.0</v>
      </c>
      <c r="X1247" s="1">
        <v>0.0</v>
      </c>
    </row>
    <row r="1248" spans="1:24" ht="15.75" customHeight="1">
      <c r="A1248" s="1">
        <v>1.036133E7</v>
      </c>
      <c r="B1248" s="1" t="s">
        <v>5602</v>
      </c>
      <c r="C1248" s="1" t="s">
        <v>5603</v>
      </c>
      <c r="D1248" s="1" t="s">
        <v>5604</v>
      </c>
      <c r="F1248" s="1" t="str">
        <f>"1118008189"</f>
        <v>1118008189</v>
      </c>
      <c r="G1248" s="1" t="str">
        <f>"9781118008188"</f>
        <v>9781118008188</v>
      </c>
      <c r="H1248" s="1">
        <v>0.0</v>
      </c>
      <c r="I1248" s="1">
        <v>4.31</v>
      </c>
      <c r="J1248" s="1" t="s">
        <v>93</v>
      </c>
      <c r="K1248" s="1" t="s">
        <v>44</v>
      </c>
      <c r="L1248" s="1">
        <v>514.0</v>
      </c>
      <c r="M1248" s="1">
        <v>2011.0</v>
      </c>
      <c r="N1248" s="1">
        <v>2011.0</v>
      </c>
      <c r="P1248" s="2">
        <v>45132.0</v>
      </c>
      <c r="Q1248" s="1" t="s">
        <v>115</v>
      </c>
      <c r="R1248" s="1" t="s">
        <v>5605</v>
      </c>
      <c r="S1248" s="1" t="s">
        <v>32</v>
      </c>
      <c r="W1248" s="1">
        <v>0.0</v>
      </c>
      <c r="X1248" s="1">
        <v>1.0</v>
      </c>
    </row>
    <row r="1249" spans="1:24" ht="15.75" customHeight="1">
      <c r="A1249" s="1">
        <v>118451.0</v>
      </c>
      <c r="B1249" s="1" t="s">
        <v>5606</v>
      </c>
      <c r="C1249" s="1" t="s">
        <v>5607</v>
      </c>
      <c r="D1249" s="1" t="s">
        <v>5608</v>
      </c>
      <c r="E1249" s="1" t="s">
        <v>5609</v>
      </c>
      <c r="F1249" s="1" t="str">
        <f>"1840022701"</f>
        <v>1840022701</v>
      </c>
      <c r="G1249" s="1" t="str">
        <f>"9781840022704"</f>
        <v>9781840022704</v>
      </c>
      <c r="H1249" s="1">
        <v>0.0</v>
      </c>
      <c r="I1249" s="1">
        <v>3.76</v>
      </c>
      <c r="J1249" s="1" t="s">
        <v>870</v>
      </c>
      <c r="K1249" s="1" t="s">
        <v>44</v>
      </c>
      <c r="L1249" s="1">
        <v>292.0</v>
      </c>
      <c r="M1249" s="1">
        <v>2004.0</v>
      </c>
      <c r="N1249" s="1">
        <v>2002.0</v>
      </c>
      <c r="P1249" s="2">
        <v>43287.0</v>
      </c>
      <c r="Q1249" s="1" t="s">
        <v>5610</v>
      </c>
      <c r="R1249" s="1" t="s">
        <v>5611</v>
      </c>
      <c r="S1249" s="1" t="s">
        <v>32</v>
      </c>
      <c r="W1249" s="1">
        <v>0.0</v>
      </c>
      <c r="X1249" s="1">
        <v>0.0</v>
      </c>
    </row>
    <row r="1250" spans="1:24" ht="15.75" customHeight="1">
      <c r="A1250" s="1">
        <v>4.9232437E7</v>
      </c>
      <c r="B1250" s="1" t="s">
        <v>5612</v>
      </c>
      <c r="C1250" s="1" t="s">
        <v>5607</v>
      </c>
      <c r="D1250" s="1" t="s">
        <v>5608</v>
      </c>
      <c r="E1250" s="1" t="s">
        <v>5613</v>
      </c>
      <c r="F1250" s="1" t="str">
        <f>"1910695920"</f>
        <v>1910695920</v>
      </c>
      <c r="G1250" s="1" t="str">
        <f>""</f>
        <v/>
      </c>
      <c r="H1250" s="1">
        <v>0.0</v>
      </c>
      <c r="I1250" s="1">
        <v>4.11</v>
      </c>
      <c r="J1250" s="1" t="s">
        <v>144</v>
      </c>
      <c r="K1250" s="1" t="s">
        <v>29</v>
      </c>
      <c r="L1250" s="1">
        <v>340.0</v>
      </c>
      <c r="M1250" s="1">
        <v>2019.0</v>
      </c>
      <c r="N1250" s="1">
        <v>2019.0</v>
      </c>
      <c r="P1250" s="2">
        <v>45140.0</v>
      </c>
      <c r="Q1250" s="1" t="s">
        <v>32</v>
      </c>
      <c r="R1250" s="1" t="s">
        <v>5614</v>
      </c>
      <c r="S1250" s="1" t="s">
        <v>32</v>
      </c>
      <c r="W1250" s="1">
        <v>0.0</v>
      </c>
      <c r="X1250" s="1">
        <v>0.0</v>
      </c>
    </row>
    <row r="1251" spans="1:24" ht="15.75" customHeight="1">
      <c r="A1251" s="1">
        <v>4.9073851E7</v>
      </c>
      <c r="B1251" s="1" t="s">
        <v>5615</v>
      </c>
      <c r="C1251" s="1" t="s">
        <v>5616</v>
      </c>
      <c r="D1251" s="1" t="s">
        <v>5617</v>
      </c>
      <c r="E1251" s="1" t="s">
        <v>5618</v>
      </c>
      <c r="F1251" s="1" t="str">
        <f>"0857059777"</f>
        <v>0857059777</v>
      </c>
      <c r="G1251" s="1" t="str">
        <f>"9780857059772"</f>
        <v>9780857059772</v>
      </c>
      <c r="H1251" s="1">
        <v>0.0</v>
      </c>
      <c r="I1251" s="1">
        <v>4.0</v>
      </c>
      <c r="J1251" s="1" t="s">
        <v>5619</v>
      </c>
      <c r="K1251" s="1" t="s">
        <v>29</v>
      </c>
      <c r="L1251" s="1">
        <v>320.0</v>
      </c>
      <c r="M1251" s="1">
        <v>2020.0</v>
      </c>
      <c r="N1251" s="1">
        <v>2005.0</v>
      </c>
      <c r="P1251" s="2">
        <v>44226.0</v>
      </c>
      <c r="Q1251" s="1" t="s">
        <v>127</v>
      </c>
      <c r="R1251" s="1" t="s">
        <v>5620</v>
      </c>
      <c r="S1251" s="1" t="s">
        <v>32</v>
      </c>
      <c r="W1251" s="1">
        <v>0.0</v>
      </c>
      <c r="X1251" s="1">
        <v>0.0</v>
      </c>
    </row>
    <row r="1252" spans="1:24" ht="15.75" customHeight="1">
      <c r="A1252" s="1">
        <v>1042416.0</v>
      </c>
      <c r="B1252" s="1" t="s">
        <v>5621</v>
      </c>
      <c r="C1252" s="1" t="s">
        <v>5622</v>
      </c>
      <c r="D1252" s="1" t="s">
        <v>5623</v>
      </c>
      <c r="F1252" s="1" t="str">
        <f>"0316729906"</f>
        <v>0316729906</v>
      </c>
      <c r="G1252" s="1" t="str">
        <f>"9780316729901"</f>
        <v>9780316729901</v>
      </c>
      <c r="H1252" s="1">
        <v>0.0</v>
      </c>
      <c r="I1252" s="1">
        <v>3.95</v>
      </c>
      <c r="J1252" s="1" t="s">
        <v>5624</v>
      </c>
      <c r="K1252" s="1" t="s">
        <v>37</v>
      </c>
      <c r="L1252" s="1">
        <v>389.0</v>
      </c>
      <c r="M1252" s="1">
        <v>2005.0</v>
      </c>
      <c r="N1252" s="1">
        <v>2004.0</v>
      </c>
      <c r="P1252" s="3">
        <v>45278.0</v>
      </c>
      <c r="Q1252" s="1" t="s">
        <v>479</v>
      </c>
      <c r="R1252" s="1" t="s">
        <v>5625</v>
      </c>
      <c r="S1252" s="1" t="s">
        <v>32</v>
      </c>
      <c r="W1252" s="1">
        <v>0.0</v>
      </c>
      <c r="X1252" s="1">
        <v>0.0</v>
      </c>
    </row>
    <row r="1253" spans="1:24" ht="15.75" customHeight="1">
      <c r="A1253" s="1">
        <v>10836.0</v>
      </c>
      <c r="B1253" s="1" t="s">
        <v>5626</v>
      </c>
      <c r="C1253" s="1" t="s">
        <v>5622</v>
      </c>
      <c r="D1253" s="1" t="s">
        <v>5623</v>
      </c>
      <c r="F1253" s="1" t="str">
        <f>"0802135587"</f>
        <v>0802135587</v>
      </c>
      <c r="G1253" s="1" t="str">
        <f>"9780802135582"</f>
        <v>9780802135582</v>
      </c>
      <c r="H1253" s="1">
        <v>0.0</v>
      </c>
      <c r="I1253" s="1">
        <v>4.12</v>
      </c>
      <c r="J1253" s="1" t="s">
        <v>5627</v>
      </c>
      <c r="K1253" s="1" t="s">
        <v>44</v>
      </c>
      <c r="L1253" s="1">
        <v>814.0</v>
      </c>
      <c r="M1253" s="1">
        <v>1997.0</v>
      </c>
      <c r="N1253" s="1">
        <v>1997.0</v>
      </c>
      <c r="P1253" s="2">
        <v>44166.0</v>
      </c>
      <c r="Q1253" s="1" t="s">
        <v>1739</v>
      </c>
      <c r="R1253" s="1" t="s">
        <v>5628</v>
      </c>
      <c r="S1253" s="1" t="s">
        <v>32</v>
      </c>
      <c r="W1253" s="1">
        <v>0.0</v>
      </c>
      <c r="X1253" s="1">
        <v>0.0</v>
      </c>
    </row>
    <row r="1254" spans="1:24" ht="15.75" customHeight="1">
      <c r="A1254" s="1">
        <v>3.035521E7</v>
      </c>
      <c r="B1254" s="1" t="s">
        <v>5629</v>
      </c>
      <c r="C1254" s="1" t="s">
        <v>5630</v>
      </c>
      <c r="D1254" s="1" t="s">
        <v>5631</v>
      </c>
      <c r="E1254" s="1" t="s">
        <v>5632</v>
      </c>
      <c r="F1254" s="1" t="str">
        <f>"1907222448"</f>
        <v>1907222448</v>
      </c>
      <c r="G1254" s="1" t="str">
        <f>"9781907222443"</f>
        <v>9781907222443</v>
      </c>
      <c r="H1254" s="1">
        <v>0.0</v>
      </c>
      <c r="I1254" s="1">
        <v>4.69</v>
      </c>
      <c r="J1254" s="1" t="s">
        <v>5633</v>
      </c>
      <c r="K1254" s="1" t="s">
        <v>37</v>
      </c>
      <c r="L1254" s="1">
        <v>336.0</v>
      </c>
      <c r="M1254" s="1">
        <v>2016.0</v>
      </c>
      <c r="P1254" s="2">
        <v>45122.0</v>
      </c>
      <c r="Q1254" s="1" t="s">
        <v>491</v>
      </c>
      <c r="R1254" s="1" t="s">
        <v>5634</v>
      </c>
      <c r="S1254" s="1" t="s">
        <v>32</v>
      </c>
      <c r="W1254" s="1">
        <v>0.0</v>
      </c>
      <c r="X1254" s="1">
        <v>0.0</v>
      </c>
    </row>
    <row r="1255" spans="1:24" ht="15.75" customHeight="1">
      <c r="A1255" s="1">
        <v>621898.0</v>
      </c>
      <c r="B1255" s="1" t="s">
        <v>5635</v>
      </c>
      <c r="C1255" s="1" t="s">
        <v>5636</v>
      </c>
      <c r="D1255" s="1" t="s">
        <v>5637</v>
      </c>
      <c r="F1255" s="1" t="str">
        <f>"0521422949"</f>
        <v>0521422949</v>
      </c>
      <c r="G1255" s="1" t="str">
        <f>"9780521422949"</f>
        <v>9780521422949</v>
      </c>
      <c r="H1255" s="1">
        <v>0.0</v>
      </c>
      <c r="I1255" s="1">
        <v>4.01</v>
      </c>
      <c r="J1255" s="1" t="s">
        <v>388</v>
      </c>
      <c r="K1255" s="1" t="s">
        <v>44</v>
      </c>
      <c r="L1255" s="1">
        <v>434.0</v>
      </c>
      <c r="M1255" s="1">
        <v>1995.0</v>
      </c>
      <c r="N1255" s="1">
        <v>1995.0</v>
      </c>
      <c r="P1255" s="2">
        <v>44473.0</v>
      </c>
      <c r="Q1255" s="1" t="s">
        <v>5638</v>
      </c>
      <c r="R1255" s="1" t="s">
        <v>5639</v>
      </c>
      <c r="S1255" s="1" t="s">
        <v>32</v>
      </c>
      <c r="W1255" s="1">
        <v>0.0</v>
      </c>
      <c r="X1255" s="1">
        <v>0.0</v>
      </c>
    </row>
    <row r="1256" spans="1:24" ht="15.75" customHeight="1">
      <c r="A1256" s="1">
        <v>228264.0</v>
      </c>
      <c r="B1256" s="1" t="s">
        <v>5640</v>
      </c>
      <c r="C1256" s="1" t="s">
        <v>1868</v>
      </c>
      <c r="D1256" s="1" t="s">
        <v>5641</v>
      </c>
      <c r="F1256" s="1" t="str">
        <f>"019285383X"</f>
        <v>019285383X</v>
      </c>
      <c r="G1256" s="1" t="str">
        <f>"9780192853837"</f>
        <v>9780192853837</v>
      </c>
      <c r="H1256" s="1">
        <v>0.0</v>
      </c>
      <c r="I1256" s="1">
        <v>3.66</v>
      </c>
      <c r="J1256" s="1" t="s">
        <v>181</v>
      </c>
      <c r="K1256" s="1" t="s">
        <v>44</v>
      </c>
      <c r="L1256" s="1">
        <v>144.0</v>
      </c>
      <c r="M1256" s="1">
        <v>2000.0</v>
      </c>
      <c r="N1256" s="1">
        <v>1997.0</v>
      </c>
      <c r="P1256" s="2">
        <v>45157.0</v>
      </c>
      <c r="Q1256" s="1" t="s">
        <v>32</v>
      </c>
      <c r="R1256" s="1" t="s">
        <v>5642</v>
      </c>
      <c r="S1256" s="1" t="s">
        <v>32</v>
      </c>
      <c r="W1256" s="1">
        <v>0.0</v>
      </c>
      <c r="X1256" s="1">
        <v>0.0</v>
      </c>
    </row>
    <row r="1257" spans="1:24" ht="15.75" customHeight="1">
      <c r="A1257" s="1">
        <v>2507261.0</v>
      </c>
      <c r="B1257" s="1" t="s">
        <v>5643</v>
      </c>
      <c r="C1257" s="1" t="s">
        <v>5644</v>
      </c>
      <c r="D1257" s="1" t="s">
        <v>5645</v>
      </c>
      <c r="F1257" s="1" t="str">
        <f>"0415907551"</f>
        <v>0415907551</v>
      </c>
      <c r="G1257" s="1" t="str">
        <f>"9780415907552"</f>
        <v>9780415907552</v>
      </c>
      <c r="H1257" s="1">
        <v>0.0</v>
      </c>
      <c r="I1257" s="1">
        <v>3.33</v>
      </c>
      <c r="J1257" s="1" t="s">
        <v>280</v>
      </c>
      <c r="K1257" s="1" t="s">
        <v>44</v>
      </c>
      <c r="L1257" s="1">
        <v>308.0</v>
      </c>
      <c r="M1257" s="1">
        <v>1995.0</v>
      </c>
      <c r="N1257" s="1">
        <v>1994.0</v>
      </c>
      <c r="P1257" s="2">
        <v>43949.0</v>
      </c>
      <c r="Q1257" s="1" t="s">
        <v>32</v>
      </c>
      <c r="R1257" s="1" t="s">
        <v>5646</v>
      </c>
      <c r="S1257" s="1" t="s">
        <v>32</v>
      </c>
      <c r="W1257" s="1">
        <v>0.0</v>
      </c>
      <c r="X1257" s="1">
        <v>0.0</v>
      </c>
    </row>
    <row r="1258" spans="1:24" ht="15.75" customHeight="1">
      <c r="A1258" s="1">
        <v>1.8492351E7</v>
      </c>
      <c r="B1258" s="1" t="s">
        <v>5647</v>
      </c>
      <c r="C1258" s="1" t="s">
        <v>5648</v>
      </c>
      <c r="D1258" s="1" t="s">
        <v>5649</v>
      </c>
      <c r="F1258" s="1" t="str">
        <f>"0615870864"</f>
        <v>0615870864</v>
      </c>
      <c r="G1258" s="1" t="str">
        <f>"9780615870861"</f>
        <v>9780615870861</v>
      </c>
      <c r="H1258" s="1">
        <v>0.0</v>
      </c>
      <c r="I1258" s="1">
        <v>3.95</v>
      </c>
      <c r="J1258" s="1" t="s">
        <v>5650</v>
      </c>
      <c r="K1258" s="1" t="s">
        <v>44</v>
      </c>
      <c r="L1258" s="1">
        <v>250.0</v>
      </c>
      <c r="M1258" s="1">
        <v>2013.0</v>
      </c>
      <c r="N1258" s="1">
        <v>2013.0</v>
      </c>
      <c r="P1258" s="2">
        <v>43926.0</v>
      </c>
      <c r="Q1258" s="1" t="s">
        <v>32</v>
      </c>
      <c r="R1258" s="1" t="s">
        <v>5651</v>
      </c>
      <c r="S1258" s="1" t="s">
        <v>32</v>
      </c>
      <c r="W1258" s="1">
        <v>0.0</v>
      </c>
      <c r="X1258" s="1">
        <v>0.0</v>
      </c>
    </row>
    <row r="1259" spans="1:24" ht="15.75" customHeight="1">
      <c r="A1259" s="1">
        <v>5.6561001E7</v>
      </c>
      <c r="B1259" s="1" t="s">
        <v>5652</v>
      </c>
      <c r="C1259" s="1" t="s">
        <v>5653</v>
      </c>
      <c r="D1259" s="1" t="s">
        <v>5654</v>
      </c>
      <c r="F1259" s="1" t="str">
        <f t="shared" si="93" ref="F1259:G1259">""</f>
        <v/>
      </c>
      <c r="G1259" s="1" t="str">
        <f t="shared" si="93"/>
        <v/>
      </c>
      <c r="H1259" s="1">
        <v>0.0</v>
      </c>
      <c r="I1259" s="1">
        <v>3.59</v>
      </c>
      <c r="J1259" s="1" t="s">
        <v>1397</v>
      </c>
      <c r="K1259" s="1" t="s">
        <v>29</v>
      </c>
      <c r="L1259" s="1">
        <v>304.0</v>
      </c>
      <c r="M1259" s="1">
        <v>2021.0</v>
      </c>
      <c r="N1259" s="1">
        <v>2021.0</v>
      </c>
      <c r="P1259" s="2">
        <v>44216.0</v>
      </c>
      <c r="Q1259" s="1" t="s">
        <v>502</v>
      </c>
      <c r="R1259" s="1" t="s">
        <v>5655</v>
      </c>
      <c r="S1259" s="1" t="s">
        <v>32</v>
      </c>
      <c r="W1259" s="1">
        <v>0.0</v>
      </c>
      <c r="X1259" s="1">
        <v>0.0</v>
      </c>
    </row>
    <row r="1260" spans="1:24" ht="15.75" customHeight="1">
      <c r="A1260" s="1">
        <v>1.9915399E7</v>
      </c>
      <c r="B1260" s="1" t="s">
        <v>5656</v>
      </c>
      <c r="C1260" s="1" t="s">
        <v>5657</v>
      </c>
      <c r="D1260" s="1" t="s">
        <v>5658</v>
      </c>
      <c r="F1260" s="1" t="str">
        <f t="shared" si="94" ref="F1260:G1260">""</f>
        <v/>
      </c>
      <c r="G1260" s="1" t="str">
        <f t="shared" si="94"/>
        <v/>
      </c>
      <c r="H1260" s="1">
        <v>0.0</v>
      </c>
      <c r="I1260" s="1">
        <v>3.4</v>
      </c>
      <c r="J1260" s="1" t="s">
        <v>5659</v>
      </c>
      <c r="K1260" s="1" t="s">
        <v>44</v>
      </c>
      <c r="L1260" s="1">
        <v>160.0</v>
      </c>
      <c r="M1260" s="1">
        <v>2012.0</v>
      </c>
      <c r="N1260" s="1">
        <v>2011.0</v>
      </c>
      <c r="P1260" s="2">
        <v>45113.0</v>
      </c>
      <c r="Q1260" s="1" t="s">
        <v>788</v>
      </c>
      <c r="R1260" s="1" t="s">
        <v>5660</v>
      </c>
      <c r="S1260" s="1" t="s">
        <v>32</v>
      </c>
      <c r="W1260" s="1">
        <v>0.0</v>
      </c>
      <c r="X1260" s="1">
        <v>1.0</v>
      </c>
    </row>
    <row r="1261" spans="1:24" ht="15.75" customHeight="1">
      <c r="A1261" s="1">
        <v>16713.0</v>
      </c>
      <c r="B1261" s="1" t="s">
        <v>5661</v>
      </c>
      <c r="C1261" s="1" t="s">
        <v>5657</v>
      </c>
      <c r="D1261" s="1" t="s">
        <v>5658</v>
      </c>
      <c r="F1261" s="1" t="str">
        <f>"1400076811"</f>
        <v>1400076811</v>
      </c>
      <c r="G1261" s="1" t="str">
        <f>"9781400076819"</f>
        <v>9781400076819</v>
      </c>
      <c r="H1261" s="1">
        <v>0.0</v>
      </c>
      <c r="I1261" s="1">
        <v>3.63</v>
      </c>
      <c r="J1261" s="1" t="s">
        <v>239</v>
      </c>
      <c r="K1261" s="1" t="s">
        <v>44</v>
      </c>
      <c r="L1261" s="1">
        <v>149.0</v>
      </c>
      <c r="M1261" s="1">
        <v>2006.0</v>
      </c>
      <c r="N1261" s="1">
        <v>2005.0</v>
      </c>
      <c r="P1261" s="2">
        <v>43919.0</v>
      </c>
      <c r="Q1261" s="1" t="s">
        <v>32</v>
      </c>
      <c r="R1261" s="1" t="s">
        <v>5662</v>
      </c>
      <c r="S1261" s="1" t="s">
        <v>32</v>
      </c>
      <c r="W1261" s="1">
        <v>0.0</v>
      </c>
      <c r="X1261" s="1">
        <v>0.0</v>
      </c>
    </row>
    <row r="1262" spans="1:24" ht="15.75" customHeight="1">
      <c r="A1262" s="1">
        <v>6955186.0</v>
      </c>
      <c r="B1262" s="1" t="s">
        <v>5663</v>
      </c>
      <c r="C1262" s="1" t="s">
        <v>5664</v>
      </c>
      <c r="D1262" s="1" t="s">
        <v>5665</v>
      </c>
      <c r="F1262" s="1" t="str">
        <f>"0807085928"</f>
        <v>0807085928</v>
      </c>
      <c r="G1262" s="1" t="str">
        <f>"9780807085929"</f>
        <v>9780807085929</v>
      </c>
      <c r="H1262" s="1">
        <v>0.0</v>
      </c>
      <c r="I1262" s="1">
        <v>4.17</v>
      </c>
      <c r="J1262" s="1" t="s">
        <v>758</v>
      </c>
      <c r="K1262" s="1" t="s">
        <v>37</v>
      </c>
      <c r="L1262" s="1">
        <v>246.0</v>
      </c>
      <c r="M1262" s="1">
        <v>2010.0</v>
      </c>
      <c r="N1262" s="1">
        <v>2010.0</v>
      </c>
      <c r="P1262" s="2">
        <v>42556.0</v>
      </c>
      <c r="Q1262" s="1" t="s">
        <v>32</v>
      </c>
      <c r="R1262" s="1" t="s">
        <v>5666</v>
      </c>
      <c r="S1262" s="1" t="s">
        <v>32</v>
      </c>
      <c r="W1262" s="1">
        <v>0.0</v>
      </c>
      <c r="X1262" s="1">
        <v>0.0</v>
      </c>
    </row>
    <row r="1263" spans="1:24" ht="15.75" customHeight="1">
      <c r="A1263" s="1">
        <v>179028.0</v>
      </c>
      <c r="B1263" s="1" t="s">
        <v>5667</v>
      </c>
      <c r="C1263" s="1" t="s">
        <v>5668</v>
      </c>
      <c r="D1263" s="1" t="s">
        <v>5669</v>
      </c>
      <c r="F1263" s="1" t="str">
        <f>"0226426165"</f>
        <v>0226426165</v>
      </c>
      <c r="G1263" s="1" t="str">
        <f>"9780226426167"</f>
        <v>9780226426167</v>
      </c>
      <c r="H1263" s="1">
        <v>0.0</v>
      </c>
      <c r="I1263" s="1">
        <v>3.92</v>
      </c>
      <c r="J1263" s="1" t="s">
        <v>78</v>
      </c>
      <c r="K1263" s="1" t="s">
        <v>44</v>
      </c>
      <c r="L1263" s="1">
        <v>426.0</v>
      </c>
      <c r="M1263" s="1">
        <v>2003.0</v>
      </c>
      <c r="N1263" s="1">
        <v>2001.0</v>
      </c>
      <c r="P1263" s="3">
        <v>44192.0</v>
      </c>
      <c r="Q1263" s="1" t="s">
        <v>5670</v>
      </c>
      <c r="R1263" s="1" t="s">
        <v>5671</v>
      </c>
      <c r="S1263" s="1" t="s">
        <v>32</v>
      </c>
      <c r="W1263" s="1">
        <v>0.0</v>
      </c>
      <c r="X1263" s="1">
        <v>0.0</v>
      </c>
    </row>
    <row r="1264" spans="1:24" ht="15.75" customHeight="1">
      <c r="A1264" s="1">
        <v>85357.0</v>
      </c>
      <c r="B1264" s="1" t="s">
        <v>5672</v>
      </c>
      <c r="C1264" s="1" t="s">
        <v>5668</v>
      </c>
      <c r="D1264" s="1" t="s">
        <v>5669</v>
      </c>
      <c r="E1264" s="1" t="s">
        <v>5673</v>
      </c>
      <c r="F1264" s="1" t="str">
        <f>"0452275423"</f>
        <v>0452275423</v>
      </c>
      <c r="G1264" s="1" t="str">
        <f>"9780452275423"</f>
        <v>9780452275423</v>
      </c>
      <c r="H1264" s="1">
        <v>0.0</v>
      </c>
      <c r="I1264" s="1">
        <v>3.93</v>
      </c>
      <c r="J1264" s="1" t="s">
        <v>3748</v>
      </c>
      <c r="K1264" s="1" t="s">
        <v>44</v>
      </c>
      <c r="L1264" s="1">
        <v>304.0</v>
      </c>
      <c r="M1264" s="1">
        <v>1996.0</v>
      </c>
      <c r="N1264" s="1">
        <v>1995.0</v>
      </c>
      <c r="P1264" s="3">
        <v>44192.0</v>
      </c>
      <c r="Q1264" s="1" t="s">
        <v>5674</v>
      </c>
      <c r="R1264" s="1" t="s">
        <v>5675</v>
      </c>
      <c r="S1264" s="1" t="s">
        <v>32</v>
      </c>
      <c r="W1264" s="1">
        <v>0.0</v>
      </c>
      <c r="X1264" s="1">
        <v>0.0</v>
      </c>
    </row>
    <row r="1265" spans="1:24" ht="15.75" customHeight="1">
      <c r="A1265" s="1">
        <v>4.3501412E7</v>
      </c>
      <c r="B1265" s="1" t="s">
        <v>5676</v>
      </c>
      <c r="C1265" s="1" t="s">
        <v>5668</v>
      </c>
      <c r="D1265" s="1" t="s">
        <v>5669</v>
      </c>
      <c r="F1265" s="1" t="str">
        <f t="shared" si="95" ref="F1265:G1265">""</f>
        <v/>
      </c>
      <c r="G1265" s="1" t="str">
        <f t="shared" si="95"/>
        <v/>
      </c>
      <c r="H1265" s="1">
        <v>0.0</v>
      </c>
      <c r="I1265" s="1">
        <v>4.27</v>
      </c>
      <c r="J1265" s="1" t="s">
        <v>3748</v>
      </c>
      <c r="K1265" s="1" t="s">
        <v>44</v>
      </c>
      <c r="L1265" s="1">
        <v>720.0</v>
      </c>
      <c r="M1265" s="1">
        <v>1992.0</v>
      </c>
      <c r="N1265" s="1">
        <v>1975.0</v>
      </c>
      <c r="P1265" s="2">
        <v>42544.0</v>
      </c>
      <c r="Q1265" s="1" t="s">
        <v>5674</v>
      </c>
      <c r="R1265" s="1" t="s">
        <v>5677</v>
      </c>
      <c r="S1265" s="1" t="s">
        <v>32</v>
      </c>
      <c r="W1265" s="1">
        <v>0.0</v>
      </c>
      <c r="X1265" s="1">
        <v>0.0</v>
      </c>
    </row>
    <row r="1266" spans="1:24" ht="15.75" customHeight="1">
      <c r="A1266" s="1">
        <v>5.316191E7</v>
      </c>
      <c r="B1266" s="1" t="s">
        <v>5678</v>
      </c>
      <c r="C1266" s="1" t="s">
        <v>5679</v>
      </c>
      <c r="D1266" s="1" t="s">
        <v>5680</v>
      </c>
      <c r="F1266" s="1" t="str">
        <f>"1786835444"</f>
        <v>1786835444</v>
      </c>
      <c r="G1266" s="1" t="str">
        <f>"9781786835444"</f>
        <v>9781786835444</v>
      </c>
      <c r="H1266" s="1">
        <v>0.0</v>
      </c>
      <c r="I1266" s="1">
        <v>4.11</v>
      </c>
      <c r="J1266" s="1" t="s">
        <v>5681</v>
      </c>
      <c r="K1266" s="1" t="s">
        <v>44</v>
      </c>
      <c r="L1266" s="1">
        <v>272.0</v>
      </c>
      <c r="M1266" s="1">
        <v>2020.0</v>
      </c>
      <c r="P1266" s="2">
        <v>44031.0</v>
      </c>
      <c r="Q1266" s="1" t="s">
        <v>32</v>
      </c>
      <c r="R1266" s="1" t="s">
        <v>5682</v>
      </c>
      <c r="S1266" s="1" t="s">
        <v>32</v>
      </c>
      <c r="W1266" s="1">
        <v>0.0</v>
      </c>
      <c r="X1266" s="1">
        <v>0.0</v>
      </c>
    </row>
    <row r="1267" spans="1:24" ht="15.75" customHeight="1">
      <c r="A1267" s="1">
        <v>5.3275789E7</v>
      </c>
      <c r="B1267" s="1" t="s">
        <v>5683</v>
      </c>
      <c r="C1267" s="1" t="s">
        <v>5684</v>
      </c>
      <c r="D1267" s="1" t="s">
        <v>5685</v>
      </c>
      <c r="F1267" s="1" t="str">
        <f>"1509531645"</f>
        <v>1509531645</v>
      </c>
      <c r="G1267" s="1" t="str">
        <f>"9781509531646"</f>
        <v>9781509531646</v>
      </c>
      <c r="H1267" s="1">
        <v>0.0</v>
      </c>
      <c r="I1267" s="1">
        <v>4.05</v>
      </c>
      <c r="J1267" s="1" t="s">
        <v>4287</v>
      </c>
      <c r="K1267" s="1" t="s">
        <v>37</v>
      </c>
      <c r="L1267" s="1">
        <v>224.0</v>
      </c>
      <c r="M1267" s="1">
        <v>2020.0</v>
      </c>
      <c r="P1267" s="2">
        <v>45165.0</v>
      </c>
      <c r="Q1267" s="1" t="s">
        <v>32</v>
      </c>
      <c r="R1267" s="1" t="s">
        <v>5686</v>
      </c>
      <c r="S1267" s="1" t="s">
        <v>32</v>
      </c>
      <c r="W1267" s="1">
        <v>0.0</v>
      </c>
      <c r="X1267" s="1">
        <v>0.0</v>
      </c>
    </row>
    <row r="1268" spans="1:24" ht="15.75" customHeight="1">
      <c r="A1268" s="1">
        <v>3.1617291E7</v>
      </c>
      <c r="B1268" s="1" t="s">
        <v>5687</v>
      </c>
      <c r="C1268" s="1" t="s">
        <v>5688</v>
      </c>
      <c r="D1268" s="1" t="s">
        <v>5689</v>
      </c>
      <c r="F1268" s="1" t="str">
        <f>"147389252X"</f>
        <v>147389252X</v>
      </c>
      <c r="G1268" s="1" t="str">
        <f>"9781473892521"</f>
        <v>9781473892521</v>
      </c>
      <c r="H1268" s="1">
        <v>0.0</v>
      </c>
      <c r="I1268" s="1">
        <v>3.33</v>
      </c>
      <c r="J1268" s="1" t="s">
        <v>5690</v>
      </c>
      <c r="K1268" s="1" t="s">
        <v>44</v>
      </c>
      <c r="L1268" s="1">
        <v>256.0</v>
      </c>
      <c r="M1268" s="1">
        <v>2017.0</v>
      </c>
      <c r="P1268" s="2">
        <v>45168.0</v>
      </c>
      <c r="Q1268" s="1" t="s">
        <v>32</v>
      </c>
      <c r="R1268" s="1" t="s">
        <v>5691</v>
      </c>
      <c r="S1268" s="1" t="s">
        <v>32</v>
      </c>
      <c r="W1268" s="1">
        <v>0.0</v>
      </c>
      <c r="X1268" s="1">
        <v>0.0</v>
      </c>
    </row>
    <row r="1269" spans="1:24" ht="15.75" customHeight="1">
      <c r="A1269" s="1">
        <v>5.520045E7</v>
      </c>
      <c r="B1269" s="1" t="s">
        <v>5692</v>
      </c>
      <c r="C1269" s="1" t="s">
        <v>5693</v>
      </c>
      <c r="D1269" s="1" t="s">
        <v>5694</v>
      </c>
      <c r="F1269" s="1" t="str">
        <f>"1443464147"</f>
        <v>1443464147</v>
      </c>
      <c r="G1269" s="1" t="str">
        <f>"9781443464147"</f>
        <v>9781443464147</v>
      </c>
      <c r="H1269" s="1">
        <v>0.0</v>
      </c>
      <c r="I1269" s="1">
        <v>3.43</v>
      </c>
      <c r="J1269" s="1" t="s">
        <v>5695</v>
      </c>
      <c r="K1269" s="1" t="s">
        <v>420</v>
      </c>
      <c r="L1269" s="1">
        <v>304.0</v>
      </c>
      <c r="M1269" s="1">
        <v>2021.0</v>
      </c>
      <c r="N1269" s="1">
        <v>2021.0</v>
      </c>
      <c r="P1269" s="2">
        <v>44279.0</v>
      </c>
      <c r="Q1269" s="1" t="s">
        <v>32</v>
      </c>
      <c r="R1269" s="1" t="s">
        <v>5696</v>
      </c>
      <c r="S1269" s="1" t="s">
        <v>32</v>
      </c>
      <c r="W1269" s="1">
        <v>0.0</v>
      </c>
      <c r="X1269" s="1">
        <v>0.0</v>
      </c>
    </row>
    <row r="1270" spans="1:24" ht="15.75" customHeight="1">
      <c r="A1270" s="1">
        <v>7178643.0</v>
      </c>
      <c r="B1270" s="1" t="s">
        <v>5697</v>
      </c>
      <c r="C1270" s="1" t="s">
        <v>5698</v>
      </c>
      <c r="D1270" s="1" t="s">
        <v>5699</v>
      </c>
      <c r="E1270" s="1" t="s">
        <v>5700</v>
      </c>
      <c r="F1270" s="1" t="str">
        <f>"8433905481"</f>
        <v>8433905481</v>
      </c>
      <c r="G1270" s="1" t="str">
        <f>"9788433905482"</f>
        <v>9788433905482</v>
      </c>
      <c r="H1270" s="1">
        <v>0.0</v>
      </c>
      <c r="I1270" s="1">
        <v>4.04</v>
      </c>
      <c r="J1270" s="1" t="s">
        <v>275</v>
      </c>
      <c r="K1270" s="1" t="s">
        <v>44</v>
      </c>
      <c r="L1270" s="1">
        <v>384.0</v>
      </c>
      <c r="M1270" s="1">
        <v>2018.0</v>
      </c>
      <c r="N1270" s="1">
        <v>1995.0</v>
      </c>
      <c r="P1270" s="2">
        <v>45318.0</v>
      </c>
      <c r="Q1270" s="1" t="s">
        <v>55</v>
      </c>
      <c r="R1270" s="1" t="s">
        <v>5701</v>
      </c>
      <c r="S1270" s="1" t="s">
        <v>32</v>
      </c>
      <c r="W1270" s="1">
        <v>0.0</v>
      </c>
      <c r="X1270" s="1">
        <v>0.0</v>
      </c>
    </row>
    <row r="1271" spans="1:24" ht="15.75" customHeight="1">
      <c r="A1271" s="1">
        <v>109237.0</v>
      </c>
      <c r="B1271" s="1" t="s">
        <v>5702</v>
      </c>
      <c r="C1271" s="1" t="s">
        <v>159</v>
      </c>
      <c r="D1271" s="1" t="s">
        <v>5703</v>
      </c>
      <c r="E1271" s="1" t="s">
        <v>5704</v>
      </c>
      <c r="F1271" s="1" t="str">
        <f>"0140587217"</f>
        <v>0140587217</v>
      </c>
      <c r="G1271" s="1" t="str">
        <f>"9780140587210"</f>
        <v>9780140587210</v>
      </c>
      <c r="H1271" s="1">
        <v>5.0</v>
      </c>
      <c r="I1271" s="1">
        <v>4.35</v>
      </c>
      <c r="J1271" s="1" t="s">
        <v>1023</v>
      </c>
      <c r="K1271" s="1" t="s">
        <v>44</v>
      </c>
      <c r="L1271" s="1">
        <v>496.0</v>
      </c>
      <c r="M1271" s="1">
        <v>2000.0</v>
      </c>
      <c r="N1271" s="1">
        <v>1971.0</v>
      </c>
      <c r="P1271" s="2">
        <v>41585.0</v>
      </c>
      <c r="Q1271" s="1" t="s">
        <v>851</v>
      </c>
      <c r="R1271" s="1" t="s">
        <v>5705</v>
      </c>
      <c r="S1271" s="1" t="s">
        <v>32</v>
      </c>
      <c r="W1271" s="1">
        <v>1.0</v>
      </c>
      <c r="X1271" s="1">
        <v>1.0</v>
      </c>
    </row>
    <row r="1272" spans="1:24" ht="15.75" customHeight="1">
      <c r="A1272" s="1">
        <v>2.9362495E7</v>
      </c>
      <c r="B1272" s="1" t="s">
        <v>5706</v>
      </c>
      <c r="C1272" s="1" t="s">
        <v>159</v>
      </c>
      <c r="D1272" s="1" t="s">
        <v>5703</v>
      </c>
      <c r="E1272" s="1" t="s">
        <v>5707</v>
      </c>
      <c r="F1272" s="1" t="str">
        <f>"0857423983"</f>
        <v>0857423983</v>
      </c>
      <c r="G1272" s="1" t="str">
        <f>"9780857423986"</f>
        <v>9780857423986</v>
      </c>
      <c r="H1272" s="1">
        <v>0.0</v>
      </c>
      <c r="I1272" s="1">
        <v>4.18</v>
      </c>
      <c r="J1272" s="1" t="s">
        <v>5708</v>
      </c>
      <c r="K1272" s="1" t="s">
        <v>44</v>
      </c>
      <c r="L1272" s="1">
        <v>352.0</v>
      </c>
      <c r="M1272" s="1">
        <v>2016.0</v>
      </c>
      <c r="N1272" s="1">
        <v>1985.0</v>
      </c>
      <c r="P1272" s="2">
        <v>45160.0</v>
      </c>
      <c r="Q1272" s="1" t="s">
        <v>1235</v>
      </c>
      <c r="R1272" s="1" t="s">
        <v>5709</v>
      </c>
      <c r="S1272" s="1" t="s">
        <v>32</v>
      </c>
      <c r="W1272" s="1">
        <v>0.0</v>
      </c>
      <c r="X1272" s="1">
        <v>1.0</v>
      </c>
    </row>
    <row r="1273" spans="1:24" ht="15.75" customHeight="1">
      <c r="A1273" s="1">
        <v>93642.0</v>
      </c>
      <c r="B1273" s="1" t="s">
        <v>5710</v>
      </c>
      <c r="C1273" s="1" t="s">
        <v>159</v>
      </c>
      <c r="D1273" s="1" t="s">
        <v>5703</v>
      </c>
      <c r="F1273" s="1" t="str">
        <f>"9500425785"</f>
        <v>9500425785</v>
      </c>
      <c r="G1273" s="1" t="str">
        <f>"9789500425780"</f>
        <v>9789500425780</v>
      </c>
      <c r="H1273" s="1">
        <v>0.0</v>
      </c>
      <c r="I1273" s="1">
        <v>4.12</v>
      </c>
      <c r="J1273" s="1" t="s">
        <v>5711</v>
      </c>
      <c r="L1273" s="1">
        <v>59.0</v>
      </c>
      <c r="M1273" s="1">
        <v>2008.0</v>
      </c>
      <c r="N1273" s="1">
        <v>1983.0</v>
      </c>
      <c r="P1273" s="2">
        <v>45159.0</v>
      </c>
      <c r="Q1273" s="1" t="s">
        <v>1235</v>
      </c>
      <c r="R1273" s="1" t="s">
        <v>5712</v>
      </c>
      <c r="S1273" s="1" t="s">
        <v>32</v>
      </c>
      <c r="V1273" s="1" t="s">
        <v>3620</v>
      </c>
      <c r="W1273" s="1">
        <v>0.0</v>
      </c>
      <c r="X1273" s="1">
        <v>1.0</v>
      </c>
    </row>
    <row r="1274" spans="1:24" ht="15.75" customHeight="1">
      <c r="A1274" s="1">
        <v>2462024.0</v>
      </c>
      <c r="B1274" s="1" t="s">
        <v>5713</v>
      </c>
      <c r="C1274" s="1" t="s">
        <v>159</v>
      </c>
      <c r="D1274" s="1" t="s">
        <v>5703</v>
      </c>
      <c r="E1274" s="1" t="s">
        <v>5714</v>
      </c>
      <c r="F1274" s="1" t="str">
        <f>"8402081770"</f>
        <v>8402081770</v>
      </c>
      <c r="G1274" s="1" t="str">
        <f>"9788402081773"</f>
        <v>9788402081773</v>
      </c>
      <c r="H1274" s="1">
        <v>0.0</v>
      </c>
      <c r="I1274" s="1">
        <v>4.06</v>
      </c>
      <c r="J1274" s="1" t="s">
        <v>5715</v>
      </c>
      <c r="K1274" s="1" t="s">
        <v>44</v>
      </c>
      <c r="L1274" s="1">
        <v>210.0</v>
      </c>
      <c r="M1274" s="1">
        <v>1981.0</v>
      </c>
      <c r="N1274" s="1">
        <v>1957.0</v>
      </c>
      <c r="P1274" s="2">
        <v>45161.0</v>
      </c>
      <c r="Q1274" s="1" t="s">
        <v>1235</v>
      </c>
      <c r="R1274" s="1" t="s">
        <v>5716</v>
      </c>
      <c r="S1274" s="1" t="s">
        <v>32</v>
      </c>
      <c r="V1274" s="1" t="s">
        <v>5717</v>
      </c>
      <c r="W1274" s="1">
        <v>0.0</v>
      </c>
      <c r="X1274" s="1">
        <v>1.0</v>
      </c>
    </row>
    <row r="1275" spans="1:24" ht="15.75" customHeight="1">
      <c r="A1275" s="1">
        <v>992903.0</v>
      </c>
      <c r="B1275" s="1" t="s">
        <v>5718</v>
      </c>
      <c r="C1275" s="1" t="s">
        <v>159</v>
      </c>
      <c r="D1275" s="1" t="s">
        <v>5703</v>
      </c>
      <c r="E1275" s="1" t="s">
        <v>5719</v>
      </c>
      <c r="F1275" s="1" t="str">
        <f>"9875662445"</f>
        <v>9875662445</v>
      </c>
      <c r="G1275" s="1" t="str">
        <f>"9789875662445"</f>
        <v>9789875662445</v>
      </c>
      <c r="H1275" s="1">
        <v>0.0</v>
      </c>
      <c r="I1275" s="1">
        <v>4.35</v>
      </c>
      <c r="J1275" s="1" t="s">
        <v>1219</v>
      </c>
      <c r="K1275" s="1" t="s">
        <v>44</v>
      </c>
      <c r="L1275" s="1">
        <v>407.0</v>
      </c>
      <c r="M1275" s="1">
        <v>2007.0</v>
      </c>
      <c r="N1275" s="1">
        <v>1940.0</v>
      </c>
      <c r="P1275" s="2">
        <v>45152.0</v>
      </c>
      <c r="Q1275" s="1" t="s">
        <v>383</v>
      </c>
      <c r="R1275" s="1" t="s">
        <v>5720</v>
      </c>
      <c r="S1275" s="1" t="s">
        <v>32</v>
      </c>
      <c r="V1275" s="1" t="s">
        <v>5721</v>
      </c>
      <c r="W1275" s="1">
        <v>1.0</v>
      </c>
      <c r="X1275" s="1">
        <v>1.0</v>
      </c>
    </row>
    <row r="1276" spans="1:24" ht="15.75" customHeight="1">
      <c r="A1276" s="1">
        <v>2310551.0</v>
      </c>
      <c r="B1276" s="1" t="s">
        <v>5722</v>
      </c>
      <c r="C1276" s="1" t="s">
        <v>159</v>
      </c>
      <c r="D1276" s="1" t="s">
        <v>5703</v>
      </c>
      <c r="F1276" s="1" t="str">
        <f>"8420613533"</f>
        <v>8420613533</v>
      </c>
      <c r="G1276" s="1" t="str">
        <f>"9788420613536"</f>
        <v>9788420613536</v>
      </c>
      <c r="H1276" s="1">
        <v>0.0</v>
      </c>
      <c r="I1276" s="1">
        <v>3.92</v>
      </c>
      <c r="J1276" s="1" t="s">
        <v>2848</v>
      </c>
      <c r="K1276" s="1" t="s">
        <v>44</v>
      </c>
      <c r="L1276" s="1">
        <v>138.0</v>
      </c>
      <c r="M1276" s="1">
        <v>1983.0</v>
      </c>
      <c r="N1276" s="1">
        <v>1935.0</v>
      </c>
      <c r="P1276" s="2">
        <v>44814.0</v>
      </c>
      <c r="Q1276" s="1" t="s">
        <v>1235</v>
      </c>
      <c r="R1276" s="1" t="s">
        <v>5723</v>
      </c>
      <c r="S1276" s="1" t="s">
        <v>32</v>
      </c>
      <c r="W1276" s="1">
        <v>0.0</v>
      </c>
      <c r="X1276" s="1">
        <v>1.0</v>
      </c>
    </row>
    <row r="1277" spans="1:24" ht="15.75" customHeight="1">
      <c r="A1277" s="1">
        <v>2223330.0</v>
      </c>
      <c r="B1277" s="1" t="s">
        <v>5724</v>
      </c>
      <c r="C1277" s="1" t="s">
        <v>159</v>
      </c>
      <c r="D1277" s="1" t="s">
        <v>5703</v>
      </c>
      <c r="F1277" s="1" t="str">
        <f>"8420633127"</f>
        <v>8420633127</v>
      </c>
      <c r="G1277" s="1" t="str">
        <f>"9788420633121"</f>
        <v>9788420633121</v>
      </c>
      <c r="H1277" s="1">
        <v>0.0</v>
      </c>
      <c r="I1277" s="1">
        <v>4.42</v>
      </c>
      <c r="J1277" s="1" t="s">
        <v>5725</v>
      </c>
      <c r="K1277" s="1" t="s">
        <v>44</v>
      </c>
      <c r="L1277" s="1">
        <v>218.0</v>
      </c>
      <c r="M1277" s="1">
        <v>2004.0</v>
      </c>
      <c r="N1277" s="1">
        <v>1944.0</v>
      </c>
      <c r="P1277" s="2">
        <v>44814.0</v>
      </c>
      <c r="Q1277" s="1" t="s">
        <v>1235</v>
      </c>
      <c r="R1277" s="1" t="s">
        <v>5726</v>
      </c>
      <c r="S1277" s="1" t="s">
        <v>32</v>
      </c>
      <c r="W1277" s="1">
        <v>0.0</v>
      </c>
      <c r="X1277" s="1">
        <v>1.0</v>
      </c>
    </row>
    <row r="1278" spans="1:24" ht="15.75" customHeight="1">
      <c r="A1278" s="1">
        <v>16566.0</v>
      </c>
      <c r="B1278" s="1" t="s">
        <v>5727</v>
      </c>
      <c r="C1278" s="1" t="s">
        <v>159</v>
      </c>
      <c r="D1278" s="1" t="s">
        <v>5703</v>
      </c>
      <c r="E1278" s="1" t="s">
        <v>5728</v>
      </c>
      <c r="F1278" s="1" t="str">
        <f>"0140290117"</f>
        <v>0140290117</v>
      </c>
      <c r="G1278" s="1" t="str">
        <f>"9780140290110"</f>
        <v>9780140290110</v>
      </c>
      <c r="H1278" s="1">
        <v>0.0</v>
      </c>
      <c r="I1278" s="1">
        <v>4.44</v>
      </c>
      <c r="J1278" s="1" t="s">
        <v>1023</v>
      </c>
      <c r="K1278" s="1" t="s">
        <v>44</v>
      </c>
      <c r="L1278" s="1">
        <v>560.0</v>
      </c>
      <c r="M1278" s="1">
        <v>2000.0</v>
      </c>
      <c r="N1278" s="1">
        <v>1999.0</v>
      </c>
      <c r="P1278" s="2">
        <v>44814.0</v>
      </c>
      <c r="Q1278" s="1" t="s">
        <v>1235</v>
      </c>
      <c r="R1278" s="1" t="s">
        <v>5729</v>
      </c>
      <c r="S1278" s="1" t="s">
        <v>32</v>
      </c>
      <c r="W1278" s="1">
        <v>0.0</v>
      </c>
      <c r="X1278" s="1">
        <v>1.0</v>
      </c>
    </row>
    <row r="1279" spans="1:24" ht="15.75" customHeight="1">
      <c r="A1279" s="1">
        <v>2901087.0</v>
      </c>
      <c r="B1279" s="1" t="s">
        <v>5730</v>
      </c>
      <c r="C1279" s="1" t="s">
        <v>159</v>
      </c>
      <c r="D1279" s="1" t="s">
        <v>5703</v>
      </c>
      <c r="F1279" s="1" t="str">
        <f>"9507311084"</f>
        <v>9507311084</v>
      </c>
      <c r="G1279" s="1" t="str">
        <f>"9789507311086"</f>
        <v>9789507311086</v>
      </c>
      <c r="H1279" s="1">
        <v>0.0</v>
      </c>
      <c r="I1279" s="1">
        <v>3.61</v>
      </c>
      <c r="J1279" s="1" t="s">
        <v>5731</v>
      </c>
      <c r="K1279" s="1" t="s">
        <v>44</v>
      </c>
      <c r="L1279" s="1">
        <v>152.0</v>
      </c>
      <c r="M1279" s="1">
        <v>1994.0</v>
      </c>
      <c r="N1279" s="1">
        <v>1928.0</v>
      </c>
      <c r="P1279" s="2">
        <v>44814.0</v>
      </c>
      <c r="Q1279" s="1" t="s">
        <v>1235</v>
      </c>
      <c r="R1279" s="1" t="s">
        <v>5732</v>
      </c>
      <c r="S1279" s="1" t="s">
        <v>32</v>
      </c>
      <c r="W1279" s="1">
        <v>0.0</v>
      </c>
      <c r="X1279" s="1">
        <v>1.0</v>
      </c>
    </row>
    <row r="1280" spans="1:24" ht="15.75" customHeight="1">
      <c r="A1280" s="1">
        <v>526929.0</v>
      </c>
      <c r="B1280" s="1" t="s">
        <v>5733</v>
      </c>
      <c r="C1280" s="1" t="s">
        <v>159</v>
      </c>
      <c r="D1280" s="1" t="s">
        <v>5703</v>
      </c>
      <c r="E1280" s="1" t="s">
        <v>5734</v>
      </c>
      <c r="F1280" s="1" t="str">
        <f>"0394172701"</f>
        <v>0394172701</v>
      </c>
      <c r="G1280" s="1" t="str">
        <f>"9780394172705"</f>
        <v>9780394172705</v>
      </c>
      <c r="H1280" s="1">
        <v>0.0</v>
      </c>
      <c r="I1280" s="1">
        <v>4.36</v>
      </c>
      <c r="J1280" s="1" t="s">
        <v>5735</v>
      </c>
      <c r="K1280" s="1" t="s">
        <v>44</v>
      </c>
      <c r="L1280" s="1">
        <v>210.0</v>
      </c>
      <c r="M1280" s="1">
        <v>1967.0</v>
      </c>
      <c r="N1280" s="1">
        <v>1961.0</v>
      </c>
      <c r="P1280" s="2">
        <v>44814.0</v>
      </c>
      <c r="Q1280" s="1" t="s">
        <v>1235</v>
      </c>
      <c r="R1280" s="1" t="s">
        <v>5736</v>
      </c>
      <c r="S1280" s="1" t="s">
        <v>32</v>
      </c>
      <c r="W1280" s="1">
        <v>0.0</v>
      </c>
      <c r="X1280" s="1">
        <v>1.0</v>
      </c>
    </row>
    <row r="1281" spans="1:24" ht="15.75" customHeight="1">
      <c r="A1281" s="1">
        <v>17961.0</v>
      </c>
      <c r="B1281" s="1" t="s">
        <v>5737</v>
      </c>
      <c r="C1281" s="1" t="s">
        <v>159</v>
      </c>
      <c r="D1281" s="1" t="s">
        <v>5703</v>
      </c>
      <c r="E1281" s="1" t="s">
        <v>5738</v>
      </c>
      <c r="F1281" s="1" t="str">
        <f>"0140286802"</f>
        <v>0140286802</v>
      </c>
      <c r="G1281" s="1" t="str">
        <f>"9780140286809"</f>
        <v>9780140286809</v>
      </c>
      <c r="H1281" s="1">
        <v>0.0</v>
      </c>
      <c r="I1281" s="1">
        <v>4.57</v>
      </c>
      <c r="J1281" s="1" t="s">
        <v>1023</v>
      </c>
      <c r="K1281" s="1" t="s">
        <v>44</v>
      </c>
      <c r="L1281" s="1">
        <v>565.0</v>
      </c>
      <c r="M1281" s="1">
        <v>1999.0</v>
      </c>
      <c r="N1281" s="1">
        <v>1998.0</v>
      </c>
      <c r="P1281" s="2">
        <v>44814.0</v>
      </c>
      <c r="Q1281" s="1" t="s">
        <v>1235</v>
      </c>
      <c r="R1281" s="1" t="s">
        <v>5739</v>
      </c>
      <c r="S1281" s="1" t="s">
        <v>32</v>
      </c>
      <c r="W1281" s="1">
        <v>0.0</v>
      </c>
      <c r="X1281" s="1">
        <v>1.0</v>
      </c>
    </row>
    <row r="1282" spans="1:24" ht="15.75" customHeight="1">
      <c r="A1282" s="96">
        <v>146422.0</v>
      </c>
      <c r="B1282" s="96" t="s">
        <v>5740</v>
      </c>
      <c r="C1282" s="96" t="s">
        <v>159</v>
      </c>
      <c r="D1282" s="96" t="s">
        <v>5703</v>
      </c>
      <c r="E1282" s="96" t="s">
        <v>5741</v>
      </c>
      <c r="F1282" s="96" t="str">
        <f t="shared" si="96" ref="F1282:G1282">""</f>
        <v/>
      </c>
      <c r="G1282" s="96" t="str">
        <f t="shared" si="96"/>
        <v/>
      </c>
      <c r="H1282" s="96">
        <v>0.0</v>
      </c>
      <c r="I1282" s="96">
        <v>4.11</v>
      </c>
      <c r="J1282" s="96" t="s">
        <v>1063</v>
      </c>
      <c r="K1282" s="96" t="s">
        <v>44</v>
      </c>
      <c r="L1282" s="96">
        <v>159.0</v>
      </c>
      <c r="M1282" s="96">
        <v>2001.0</v>
      </c>
      <c r="N1282" s="96">
        <v>1975.0</v>
      </c>
      <c r="O1282" s="97"/>
      <c r="P1282" s="98">
        <v>45147.0</v>
      </c>
      <c r="Q1282" s="99" t="s">
        <v>569</v>
      </c>
      <c r="R1282" s="96" t="s">
        <v>5742</v>
      </c>
      <c r="S1282" s="96" t="s">
        <v>32</v>
      </c>
      <c r="T1282" s="97"/>
      <c r="U1282" s="97"/>
      <c r="V1282" s="97"/>
      <c r="W1282" s="96">
        <v>0.0</v>
      </c>
      <c r="X1282" s="96">
        <v>0.0</v>
      </c>
    </row>
    <row r="1283" spans="1:24" ht="15.75" customHeight="1">
      <c r="A1283" s="96">
        <v>1.6173838E7</v>
      </c>
      <c r="B1283" s="96" t="s">
        <v>5743</v>
      </c>
      <c r="C1283" s="96" t="s">
        <v>159</v>
      </c>
      <c r="D1283" s="96" t="s">
        <v>5703</v>
      </c>
      <c r="E1283" s="96" t="s">
        <v>5744</v>
      </c>
      <c r="F1283" s="96" t="str">
        <f>"0811218759"</f>
        <v>0811218759</v>
      </c>
      <c r="G1283" s="96" t="str">
        <f>"9780811218757"</f>
        <v>9780811218757</v>
      </c>
      <c r="H1283" s="96">
        <v>0.0</v>
      </c>
      <c r="I1283" s="96">
        <v>4.42</v>
      </c>
      <c r="J1283" s="96" t="s">
        <v>419</v>
      </c>
      <c r="K1283" s="96" t="s">
        <v>37</v>
      </c>
      <c r="L1283" s="96">
        <v>306.0</v>
      </c>
      <c r="M1283" s="96">
        <v>2013.0</v>
      </c>
      <c r="N1283" s="96">
        <v>2000.0</v>
      </c>
      <c r="O1283" s="97"/>
      <c r="P1283" s="98">
        <v>45126.0</v>
      </c>
      <c r="Q1283" s="99" t="s">
        <v>569</v>
      </c>
      <c r="R1283" s="96" t="s">
        <v>5745</v>
      </c>
      <c r="S1283" s="96" t="s">
        <v>32</v>
      </c>
      <c r="T1283" s="97"/>
      <c r="U1283" s="97"/>
      <c r="V1283" s="97"/>
      <c r="W1283" s="96">
        <v>0.0</v>
      </c>
      <c r="X1283" s="96">
        <v>0.0</v>
      </c>
    </row>
    <row r="1284" spans="1:24" ht="15.75" customHeight="1">
      <c r="A1284" s="96">
        <v>7694071.0</v>
      </c>
      <c r="B1284" s="96" t="s">
        <v>5746</v>
      </c>
      <c r="C1284" s="96" t="s">
        <v>159</v>
      </c>
      <c r="D1284" s="96" t="s">
        <v>5703</v>
      </c>
      <c r="E1284" s="96" t="s">
        <v>5747</v>
      </c>
      <c r="F1284" s="96" t="str">
        <f>"0143105736"</f>
        <v>0143105736</v>
      </c>
      <c r="G1284" s="96" t="str">
        <f>"9780143105732"</f>
        <v>9780143105732</v>
      </c>
      <c r="H1284" s="96">
        <v>0.0</v>
      </c>
      <c r="I1284" s="96">
        <v>3.64</v>
      </c>
      <c r="J1284" s="96" t="s">
        <v>1661</v>
      </c>
      <c r="K1284" s="96" t="s">
        <v>44</v>
      </c>
      <c r="L1284" s="96">
        <v>192.0</v>
      </c>
      <c r="M1284" s="96">
        <v>2010.0</v>
      </c>
      <c r="N1284" s="96">
        <v>2010.0</v>
      </c>
      <c r="O1284" s="97"/>
      <c r="P1284" s="98">
        <v>42162.0</v>
      </c>
      <c r="Q1284" s="99" t="s">
        <v>569</v>
      </c>
      <c r="R1284" s="96" t="s">
        <v>5748</v>
      </c>
      <c r="S1284" s="96" t="s">
        <v>32</v>
      </c>
      <c r="T1284" s="97"/>
      <c r="U1284" s="97"/>
      <c r="V1284" s="97"/>
      <c r="W1284" s="96">
        <v>0.0</v>
      </c>
      <c r="X1284" s="96">
        <v>0.0</v>
      </c>
    </row>
    <row r="1285" spans="1:24" ht="15.75" customHeight="1">
      <c r="A1285" s="96">
        <v>787971.0</v>
      </c>
      <c r="B1285" s="96" t="s">
        <v>5749</v>
      </c>
      <c r="C1285" s="96" t="s">
        <v>159</v>
      </c>
      <c r="D1285" s="96" t="s">
        <v>5703</v>
      </c>
      <c r="E1285" s="97"/>
      <c r="F1285" s="96" t="str">
        <f t="shared" si="97" ref="F1285:G1285">""</f>
        <v/>
      </c>
      <c r="G1285" s="96" t="str">
        <f t="shared" si="97"/>
        <v/>
      </c>
      <c r="H1285" s="96">
        <v>0.0</v>
      </c>
      <c r="I1285" s="96">
        <v>4.2</v>
      </c>
      <c r="J1285" s="96" t="s">
        <v>5750</v>
      </c>
      <c r="K1285" s="97"/>
      <c r="L1285" s="97"/>
      <c r="M1285" s="96">
        <v>1998.0</v>
      </c>
      <c r="N1285" s="96">
        <v>1988.0</v>
      </c>
      <c r="O1285" s="97"/>
      <c r="P1285" s="98">
        <v>44206.0</v>
      </c>
      <c r="Q1285" s="99" t="s">
        <v>569</v>
      </c>
      <c r="R1285" s="96" t="s">
        <v>5751</v>
      </c>
      <c r="S1285" s="96" t="s">
        <v>32</v>
      </c>
      <c r="T1285" s="97"/>
      <c r="U1285" s="97"/>
      <c r="V1285" s="97"/>
      <c r="W1285" s="96">
        <v>0.0</v>
      </c>
      <c r="X1285" s="96">
        <v>0.0</v>
      </c>
    </row>
    <row r="1286" spans="1:24" ht="15.75" customHeight="1">
      <c r="A1286" s="1">
        <v>210257.0</v>
      </c>
      <c r="B1286" s="1" t="s">
        <v>5752</v>
      </c>
      <c r="C1286" s="1" t="s">
        <v>5753</v>
      </c>
      <c r="D1286" s="1" t="s">
        <v>5754</v>
      </c>
      <c r="E1286" s="1" t="s">
        <v>5755</v>
      </c>
      <c r="F1286" s="1" t="str">
        <f>"0140447679"</f>
        <v>0140447679</v>
      </c>
      <c r="G1286" s="1" t="str">
        <f>"9780140447675"</f>
        <v>9780140447675</v>
      </c>
      <c r="H1286" s="1">
        <v>0.0</v>
      </c>
      <c r="I1286" s="1">
        <v>3.96</v>
      </c>
      <c r="J1286" s="1" t="s">
        <v>1023</v>
      </c>
      <c r="K1286" s="1" t="s">
        <v>44</v>
      </c>
      <c r="L1286" s="1">
        <v>320.0</v>
      </c>
      <c r="M1286" s="1">
        <v>2002.0</v>
      </c>
      <c r="N1286" s="1">
        <v>1891.0</v>
      </c>
      <c r="P1286" s="2">
        <v>42603.0</v>
      </c>
      <c r="Q1286" s="1" t="s">
        <v>32</v>
      </c>
      <c r="R1286" s="1" t="s">
        <v>5756</v>
      </c>
      <c r="S1286" s="1" t="s">
        <v>32</v>
      </c>
      <c r="W1286" s="1">
        <v>0.0</v>
      </c>
      <c r="X1286" s="1">
        <v>0.0</v>
      </c>
    </row>
    <row r="1287" spans="1:24" ht="15.75" customHeight="1">
      <c r="A1287" s="1">
        <v>4.0224302E7</v>
      </c>
      <c r="B1287" s="1" t="s">
        <v>5757</v>
      </c>
      <c r="C1287" s="1" t="s">
        <v>5758</v>
      </c>
      <c r="D1287" s="1" t="s">
        <v>5759</v>
      </c>
      <c r="F1287" s="1" t="str">
        <f>"841741858X"</f>
        <v>841741858X</v>
      </c>
      <c r="G1287" s="1" t="str">
        <f>"9788417418588"</f>
        <v>9788417418588</v>
      </c>
      <c r="H1287" s="1">
        <v>0.0</v>
      </c>
      <c r="I1287" s="1">
        <v>4.15</v>
      </c>
      <c r="J1287" s="1" t="s">
        <v>5760</v>
      </c>
      <c r="K1287" s="1" t="s">
        <v>29</v>
      </c>
      <c r="L1287" s="1">
        <v>226.0</v>
      </c>
      <c r="M1287" s="1">
        <v>2018.0</v>
      </c>
      <c r="P1287" s="2">
        <v>43976.0</v>
      </c>
      <c r="Q1287" s="1" t="s">
        <v>32</v>
      </c>
      <c r="R1287" s="1" t="s">
        <v>5761</v>
      </c>
      <c r="S1287" s="1" t="s">
        <v>32</v>
      </c>
      <c r="W1287" s="1">
        <v>0.0</v>
      </c>
      <c r="X1287" s="1">
        <v>0.0</v>
      </c>
    </row>
    <row r="1288" spans="1:24" ht="15.75" customHeight="1">
      <c r="A1288" s="1">
        <v>3.4629308E7</v>
      </c>
      <c r="B1288" s="1" t="s">
        <v>5762</v>
      </c>
      <c r="C1288" s="1" t="s">
        <v>5763</v>
      </c>
      <c r="D1288" s="1" t="s">
        <v>5764</v>
      </c>
      <c r="F1288" s="1" t="str">
        <f t="shared" si="98" ref="F1288:G1288">""</f>
        <v/>
      </c>
      <c r="G1288" s="1" t="str">
        <f t="shared" si="98"/>
        <v/>
      </c>
      <c r="H1288" s="1">
        <v>0.0</v>
      </c>
      <c r="I1288" s="1">
        <v>3.87</v>
      </c>
      <c r="J1288" s="1" t="s">
        <v>5765</v>
      </c>
      <c r="L1288" s="1">
        <v>140.0</v>
      </c>
      <c r="M1288" s="1">
        <v>1966.0</v>
      </c>
      <c r="N1288" s="1">
        <v>1965.0</v>
      </c>
      <c r="P1288" s="2">
        <v>44814.0</v>
      </c>
      <c r="Q1288" s="1" t="s">
        <v>5766</v>
      </c>
      <c r="R1288" s="1" t="s">
        <v>5767</v>
      </c>
      <c r="S1288" s="1" t="s">
        <v>32</v>
      </c>
      <c r="W1288" s="1">
        <v>0.0</v>
      </c>
      <c r="X1288" s="1">
        <v>1.0</v>
      </c>
    </row>
    <row r="1289" spans="1:24" ht="15.75" customHeight="1">
      <c r="A1289" s="1">
        <v>382975.0</v>
      </c>
      <c r="B1289" s="1" t="s">
        <v>5768</v>
      </c>
      <c r="C1289" s="1" t="s">
        <v>5763</v>
      </c>
      <c r="D1289" s="1" t="s">
        <v>5764</v>
      </c>
      <c r="E1289" s="1" t="s">
        <v>5769</v>
      </c>
      <c r="F1289" s="1" t="str">
        <f>"1567920462"</f>
        <v>1567920462</v>
      </c>
      <c r="G1289" s="1" t="str">
        <f>"9781567920468"</f>
        <v>9781567920468</v>
      </c>
      <c r="H1289" s="1">
        <v>0.0</v>
      </c>
      <c r="I1289" s="1">
        <v>4.18</v>
      </c>
      <c r="J1289" s="1" t="s">
        <v>5770</v>
      </c>
      <c r="K1289" s="1" t="s">
        <v>44</v>
      </c>
      <c r="L1289" s="1">
        <v>438.0</v>
      </c>
      <c r="M1289" s="1">
        <v>2003.0</v>
      </c>
      <c r="N1289" s="1">
        <v>1970.0</v>
      </c>
      <c r="P1289" s="2">
        <v>44005.0</v>
      </c>
      <c r="Q1289" s="1" t="s">
        <v>32</v>
      </c>
      <c r="R1289" s="1" t="s">
        <v>5771</v>
      </c>
      <c r="S1289" s="1" t="s">
        <v>32</v>
      </c>
      <c r="W1289" s="1">
        <v>0.0</v>
      </c>
      <c r="X1289" s="1">
        <v>0.0</v>
      </c>
    </row>
    <row r="1290" spans="1:24" ht="15.75" customHeight="1">
      <c r="A1290" s="1">
        <v>6664343.0</v>
      </c>
      <c r="B1290" s="1" t="s">
        <v>5772</v>
      </c>
      <c r="C1290" s="1" t="s">
        <v>5773</v>
      </c>
      <c r="D1290" s="1" t="s">
        <v>5774</v>
      </c>
      <c r="F1290" s="1" t="str">
        <f>"0814757286"</f>
        <v>0814757286</v>
      </c>
      <c r="G1290" s="1" t="str">
        <f>"9780814757284"</f>
        <v>9780814757284</v>
      </c>
      <c r="H1290" s="1">
        <v>0.0</v>
      </c>
      <c r="I1290" s="1">
        <v>4.28</v>
      </c>
      <c r="J1290" s="1" t="s">
        <v>1719</v>
      </c>
      <c r="K1290" s="1" t="s">
        <v>44</v>
      </c>
      <c r="L1290" s="1">
        <v>244.0</v>
      </c>
      <c r="M1290" s="1">
        <v>2009.0</v>
      </c>
      <c r="N1290" s="1">
        <v>2009.0</v>
      </c>
      <c r="P1290" s="2">
        <v>43877.0</v>
      </c>
      <c r="Q1290" s="1" t="s">
        <v>32</v>
      </c>
      <c r="R1290" s="1" t="s">
        <v>5775</v>
      </c>
      <c r="S1290" s="1" t="s">
        <v>32</v>
      </c>
      <c r="W1290" s="1">
        <v>0.0</v>
      </c>
      <c r="X1290" s="1">
        <v>0.0</v>
      </c>
    </row>
    <row r="1291" spans="1:24" ht="15.75" customHeight="1">
      <c r="A1291" s="1">
        <v>3.5606238E7</v>
      </c>
      <c r="B1291" s="1" t="s">
        <v>5776</v>
      </c>
      <c r="C1291" s="1" t="s">
        <v>5777</v>
      </c>
      <c r="D1291" s="1" t="s">
        <v>5778</v>
      </c>
      <c r="E1291" s="1" t="s">
        <v>5777</v>
      </c>
      <c r="F1291" s="1" t="str">
        <f>"0822371103"</f>
        <v>0822371103</v>
      </c>
      <c r="G1291" s="1" t="str">
        <f>"9780822371106"</f>
        <v>9780822371106</v>
      </c>
      <c r="H1291" s="1">
        <v>0.0</v>
      </c>
      <c r="I1291" s="1">
        <v>3.73</v>
      </c>
      <c r="J1291" s="1" t="s">
        <v>1341</v>
      </c>
      <c r="K1291" s="1" t="s">
        <v>44</v>
      </c>
      <c r="L1291" s="1">
        <v>240.0</v>
      </c>
      <c r="M1291" s="1">
        <v>2018.0</v>
      </c>
      <c r="N1291" s="1">
        <v>1924.0</v>
      </c>
      <c r="P1291" s="2">
        <v>45145.0</v>
      </c>
      <c r="Q1291" s="1" t="s">
        <v>145</v>
      </c>
      <c r="R1291" s="1" t="s">
        <v>5779</v>
      </c>
      <c r="S1291" s="1" t="s">
        <v>32</v>
      </c>
      <c r="W1291" s="1">
        <v>0.0</v>
      </c>
      <c r="X1291" s="1">
        <v>0.0</v>
      </c>
    </row>
    <row r="1292" spans="1:24" ht="15.75" customHeight="1">
      <c r="A1292" s="1">
        <v>1064310.0</v>
      </c>
      <c r="B1292" s="1" t="s">
        <v>5780</v>
      </c>
      <c r="C1292" s="1" t="s">
        <v>5781</v>
      </c>
      <c r="D1292" s="1" t="s">
        <v>5782</v>
      </c>
      <c r="F1292" s="1" t="str">
        <f>"9875504785"</f>
        <v>9875504785</v>
      </c>
      <c r="G1292" s="1" t="str">
        <f>"9789875504783"</f>
        <v>9789875504783</v>
      </c>
      <c r="H1292" s="1">
        <v>0.0</v>
      </c>
      <c r="I1292" s="1">
        <v>3.93</v>
      </c>
      <c r="J1292" s="1" t="s">
        <v>5783</v>
      </c>
      <c r="K1292" s="1" t="s">
        <v>44</v>
      </c>
      <c r="L1292" s="1">
        <v>256.0</v>
      </c>
      <c r="M1292" s="1">
        <v>2004.0</v>
      </c>
      <c r="N1292" s="1">
        <v>1913.0</v>
      </c>
      <c r="P1292" s="2">
        <v>45147.0</v>
      </c>
      <c r="Q1292" s="1" t="s">
        <v>32</v>
      </c>
      <c r="R1292" s="1" t="s">
        <v>5784</v>
      </c>
      <c r="S1292" s="1" t="s">
        <v>32</v>
      </c>
      <c r="W1292" s="1">
        <v>0.0</v>
      </c>
      <c r="X1292" s="1">
        <v>0.0</v>
      </c>
    </row>
    <row r="1293" spans="1:24" ht="15.75" customHeight="1">
      <c r="A1293" s="1">
        <v>3281454.0</v>
      </c>
      <c r="B1293" s="1" t="s">
        <v>5785</v>
      </c>
      <c r="C1293" s="1" t="s">
        <v>5786</v>
      </c>
      <c r="D1293" s="1" t="s">
        <v>5787</v>
      </c>
      <c r="E1293" s="1" t="s">
        <v>5788</v>
      </c>
      <c r="F1293" s="1" t="str">
        <f>"9586553469"</f>
        <v>9586553469</v>
      </c>
      <c r="G1293" s="1" t="str">
        <f>"9789586553469"</f>
        <v>9789586553469</v>
      </c>
      <c r="H1293" s="1">
        <v>0.0</v>
      </c>
      <c r="I1293" s="1">
        <v>4.2</v>
      </c>
      <c r="J1293" s="1" t="s">
        <v>5789</v>
      </c>
      <c r="N1293" s="1">
        <v>1976.0</v>
      </c>
      <c r="P1293" s="2">
        <v>43976.0</v>
      </c>
      <c r="Q1293" s="1" t="s">
        <v>32</v>
      </c>
      <c r="R1293" s="1" t="s">
        <v>5790</v>
      </c>
      <c r="S1293" s="1" t="s">
        <v>32</v>
      </c>
      <c r="W1293" s="1">
        <v>0.0</v>
      </c>
      <c r="X1293" s="1">
        <v>0.0</v>
      </c>
    </row>
    <row r="1294" spans="1:24" ht="15.75" customHeight="1">
      <c r="A1294" s="1">
        <v>2818194.0</v>
      </c>
      <c r="B1294" s="1" t="s">
        <v>5791</v>
      </c>
      <c r="C1294" s="1" t="s">
        <v>5786</v>
      </c>
      <c r="D1294" s="1" t="s">
        <v>5787</v>
      </c>
      <c r="F1294" s="1" t="str">
        <f>"9505572247"</f>
        <v>9505572247</v>
      </c>
      <c r="G1294" s="1" t="str">
        <f>"9789505572243"</f>
        <v>9789505572243</v>
      </c>
      <c r="H1294" s="1">
        <v>0.0</v>
      </c>
      <c r="I1294" s="1">
        <v>3.4</v>
      </c>
      <c r="J1294" s="1" t="s">
        <v>5792</v>
      </c>
      <c r="K1294" s="1" t="s">
        <v>44</v>
      </c>
      <c r="L1294" s="1">
        <v>208.0</v>
      </c>
      <c r="M1294" s="1">
        <v>1996.0</v>
      </c>
      <c r="N1294" s="1">
        <v>1965.0</v>
      </c>
      <c r="P1294" s="2">
        <v>43957.0</v>
      </c>
      <c r="Q1294" s="1" t="s">
        <v>32</v>
      </c>
      <c r="R1294" s="1" t="s">
        <v>5793</v>
      </c>
      <c r="S1294" s="1" t="s">
        <v>32</v>
      </c>
      <c r="W1294" s="1">
        <v>0.0</v>
      </c>
      <c r="X1294" s="1">
        <v>0.0</v>
      </c>
    </row>
    <row r="1295" spans="1:24" ht="15.75" customHeight="1">
      <c r="A1295" s="1">
        <v>3570004.0</v>
      </c>
      <c r="B1295" s="1" t="s">
        <v>5794</v>
      </c>
      <c r="C1295" s="1" t="s">
        <v>5795</v>
      </c>
      <c r="D1295" s="1" t="s">
        <v>5796</v>
      </c>
      <c r="F1295" s="1" t="str">
        <f>"9871081669"</f>
        <v>9871081669</v>
      </c>
      <c r="G1295" s="1" t="str">
        <f>"9789871081660"</f>
        <v>9789871081660</v>
      </c>
      <c r="H1295" s="1">
        <v>0.0</v>
      </c>
      <c r="I1295" s="1">
        <v>3.25</v>
      </c>
      <c r="J1295" s="1" t="s">
        <v>5797</v>
      </c>
      <c r="K1295" s="1" t="s">
        <v>44</v>
      </c>
      <c r="L1295" s="1">
        <v>128.0</v>
      </c>
      <c r="M1295" s="1">
        <v>2005.0</v>
      </c>
      <c r="N1295" s="1">
        <v>2005.0</v>
      </c>
      <c r="P1295" s="3">
        <v>45271.0</v>
      </c>
      <c r="Q1295" s="1" t="s">
        <v>2129</v>
      </c>
      <c r="R1295" s="1" t="s">
        <v>5798</v>
      </c>
      <c r="S1295" s="1" t="s">
        <v>32</v>
      </c>
      <c r="W1295" s="1">
        <v>0.0</v>
      </c>
      <c r="X1295" s="1">
        <v>0.0</v>
      </c>
    </row>
    <row r="1296" spans="1:24" ht="15.75" customHeight="1">
      <c r="A1296" s="1">
        <v>778458.0</v>
      </c>
      <c r="B1296" s="1" t="s">
        <v>5799</v>
      </c>
      <c r="C1296" s="1" t="s">
        <v>5800</v>
      </c>
      <c r="D1296" s="1" t="s">
        <v>5801</v>
      </c>
      <c r="E1296" s="1" t="s">
        <v>5802</v>
      </c>
      <c r="F1296" s="1" t="str">
        <f>"0393001229"</f>
        <v>0393001229</v>
      </c>
      <c r="G1296" s="1" t="str">
        <f>"9780393001228"</f>
        <v>9780393001228</v>
      </c>
      <c r="H1296" s="1">
        <v>0.0</v>
      </c>
      <c r="I1296" s="1">
        <v>4.04</v>
      </c>
      <c r="J1296" s="1" t="s">
        <v>248</v>
      </c>
      <c r="K1296" s="1" t="s">
        <v>44</v>
      </c>
      <c r="L1296" s="1">
        <v>269.0</v>
      </c>
      <c r="M1296" s="1">
        <v>1962.0</v>
      </c>
      <c r="N1296" s="1">
        <v>1941.0</v>
      </c>
      <c r="P1296" s="2">
        <v>44455.0</v>
      </c>
      <c r="Q1296" s="1" t="s">
        <v>38</v>
      </c>
      <c r="R1296" s="1" t="s">
        <v>5803</v>
      </c>
      <c r="S1296" s="1" t="s">
        <v>32</v>
      </c>
      <c r="W1296" s="1">
        <v>0.0</v>
      </c>
      <c r="X1296" s="1">
        <v>0.0</v>
      </c>
    </row>
    <row r="1297" spans="1:24" ht="15.75" customHeight="1">
      <c r="A1297" s="1">
        <v>282447.0</v>
      </c>
      <c r="B1297" s="1" t="s">
        <v>5804</v>
      </c>
      <c r="C1297" s="1" t="s">
        <v>5800</v>
      </c>
      <c r="D1297" s="1" t="s">
        <v>5801</v>
      </c>
      <c r="F1297" s="1" t="str">
        <f>"0393310957"</f>
        <v>0393310957</v>
      </c>
      <c r="G1297" s="1" t="str">
        <f>"9780393310955"</f>
        <v>9780393310955</v>
      </c>
      <c r="H1297" s="1">
        <v>0.0</v>
      </c>
      <c r="I1297" s="1">
        <v>4.03</v>
      </c>
      <c r="J1297" s="1" t="s">
        <v>248</v>
      </c>
      <c r="K1297" s="1" t="s">
        <v>44</v>
      </c>
      <c r="L1297" s="1">
        <v>192.0</v>
      </c>
      <c r="M1297" s="1">
        <v>1994.0</v>
      </c>
      <c r="N1297" s="1">
        <v>1930.0</v>
      </c>
      <c r="P1297" s="2">
        <v>45170.0</v>
      </c>
      <c r="Q1297" s="1" t="s">
        <v>32</v>
      </c>
      <c r="R1297" s="1" t="s">
        <v>5805</v>
      </c>
      <c r="S1297" s="1" t="s">
        <v>32</v>
      </c>
      <c r="W1297" s="1">
        <v>0.0</v>
      </c>
      <c r="X1297" s="1">
        <v>0.0</v>
      </c>
    </row>
    <row r="1298" spans="1:24" ht="15.75" customHeight="1">
      <c r="A1298" s="1">
        <v>1.3284053E7</v>
      </c>
      <c r="B1298" s="1" t="s">
        <v>5806</v>
      </c>
      <c r="C1298" s="1" t="s">
        <v>5807</v>
      </c>
      <c r="D1298" s="1" t="s">
        <v>5808</v>
      </c>
      <c r="E1298" s="1" t="s">
        <v>5809</v>
      </c>
      <c r="F1298" s="1" t="str">
        <f>"1844677125"</f>
        <v>1844677125</v>
      </c>
      <c r="G1298" s="1" t="str">
        <f>"9781844677122"</f>
        <v>9781844677122</v>
      </c>
      <c r="H1298" s="1">
        <v>0.0</v>
      </c>
      <c r="I1298" s="1">
        <v>3.51</v>
      </c>
      <c r="J1298" s="1" t="s">
        <v>720</v>
      </c>
      <c r="K1298" s="1" t="s">
        <v>44</v>
      </c>
      <c r="L1298" s="1">
        <v>240.0</v>
      </c>
      <c r="M1298" s="1">
        <v>2012.0</v>
      </c>
      <c r="N1298" s="1">
        <v>1992.0</v>
      </c>
      <c r="P1298" s="2">
        <v>44814.0</v>
      </c>
      <c r="Q1298" s="1" t="s">
        <v>5810</v>
      </c>
      <c r="R1298" s="1" t="s">
        <v>5811</v>
      </c>
      <c r="S1298" s="1" t="s">
        <v>32</v>
      </c>
      <c r="W1298" s="1">
        <v>0.0</v>
      </c>
      <c r="X1298" s="1">
        <v>1.0</v>
      </c>
    </row>
    <row r="1299" spans="1:24" ht="15.75" customHeight="1">
      <c r="A1299" s="1">
        <v>1.3318584E7</v>
      </c>
      <c r="B1299" s="1" t="s">
        <v>5812</v>
      </c>
      <c r="C1299" s="1" t="s">
        <v>5813</v>
      </c>
      <c r="D1299" s="1" t="s">
        <v>5814</v>
      </c>
      <c r="F1299" s="1" t="str">
        <f>"0547840179"</f>
        <v>0547840179</v>
      </c>
      <c r="G1299" s="1" t="str">
        <f>"9780547840178"</f>
        <v>9780547840178</v>
      </c>
      <c r="H1299" s="1">
        <v>0.0</v>
      </c>
      <c r="I1299" s="1">
        <v>3.97</v>
      </c>
      <c r="J1299" s="1" t="s">
        <v>468</v>
      </c>
      <c r="K1299" s="1" t="s">
        <v>44</v>
      </c>
      <c r="L1299" s="1">
        <v>176.0</v>
      </c>
      <c r="M1299" s="1">
        <v>2012.0</v>
      </c>
      <c r="N1299" s="1">
        <v>2009.0</v>
      </c>
      <c r="P1299" s="2">
        <v>42375.0</v>
      </c>
      <c r="Q1299" s="1" t="s">
        <v>818</v>
      </c>
      <c r="R1299" s="1" t="s">
        <v>5815</v>
      </c>
      <c r="S1299" s="1" t="s">
        <v>32</v>
      </c>
      <c r="W1299" s="1">
        <v>0.0</v>
      </c>
      <c r="X1299" s="1">
        <v>1.0</v>
      </c>
    </row>
    <row r="1300" spans="1:24" ht="15.75" customHeight="1">
      <c r="A1300" s="1">
        <v>111113.0</v>
      </c>
      <c r="B1300" s="1" t="s">
        <v>5816</v>
      </c>
      <c r="C1300" s="1" t="s">
        <v>5817</v>
      </c>
      <c r="D1300" s="1" t="s">
        <v>5818</v>
      </c>
      <c r="E1300" s="1" t="s">
        <v>5819</v>
      </c>
      <c r="F1300" s="1" t="str">
        <f>"0300115954"</f>
        <v>0300115954</v>
      </c>
      <c r="G1300" s="1" t="str">
        <f>"9780300115956"</f>
        <v>9780300115956</v>
      </c>
      <c r="H1300" s="1">
        <v>0.0</v>
      </c>
      <c r="I1300" s="1">
        <v>4.06</v>
      </c>
      <c r="J1300" s="1" t="s">
        <v>962</v>
      </c>
      <c r="K1300" s="1" t="s">
        <v>44</v>
      </c>
      <c r="L1300" s="1">
        <v>160.0</v>
      </c>
      <c r="M1300" s="1">
        <v>2006.0</v>
      </c>
      <c r="N1300" s="1">
        <v>1971.0</v>
      </c>
      <c r="P1300" s="2">
        <v>43964.0</v>
      </c>
      <c r="Q1300" s="1" t="s">
        <v>32</v>
      </c>
      <c r="R1300" s="1" t="s">
        <v>5820</v>
      </c>
      <c r="S1300" s="1" t="s">
        <v>32</v>
      </c>
      <c r="W1300" s="1">
        <v>0.0</v>
      </c>
      <c r="X1300" s="1">
        <v>0.0</v>
      </c>
    </row>
    <row r="1301" spans="1:24" ht="15.75" customHeight="1">
      <c r="A1301" s="1">
        <v>4.5492241E7</v>
      </c>
      <c r="B1301" s="1" t="s">
        <v>5821</v>
      </c>
      <c r="C1301" s="1" t="s">
        <v>5822</v>
      </c>
      <c r="D1301" s="1" t="s">
        <v>5823</v>
      </c>
      <c r="E1301" s="1" t="s">
        <v>5824</v>
      </c>
      <c r="F1301" s="1" t="str">
        <f>"8491991174"</f>
        <v>8491991174</v>
      </c>
      <c r="G1301" s="1" t="str">
        <f>"9788491991175"</f>
        <v>9788491991175</v>
      </c>
      <c r="H1301" s="1">
        <v>0.0</v>
      </c>
      <c r="I1301" s="1">
        <v>4.24</v>
      </c>
      <c r="J1301" s="1" t="s">
        <v>5825</v>
      </c>
      <c r="K1301" s="1" t="s">
        <v>29</v>
      </c>
      <c r="L1301" s="1">
        <v>434.0</v>
      </c>
      <c r="M1301" s="1">
        <v>2019.0</v>
      </c>
      <c r="N1301" s="1">
        <v>2019.0</v>
      </c>
      <c r="P1301" s="2">
        <v>44167.0</v>
      </c>
      <c r="Q1301" s="1" t="s">
        <v>32</v>
      </c>
      <c r="R1301" s="1" t="s">
        <v>5826</v>
      </c>
      <c r="S1301" s="1" t="s">
        <v>32</v>
      </c>
      <c r="W1301" s="1">
        <v>0.0</v>
      </c>
      <c r="X1301" s="1">
        <v>0.0</v>
      </c>
    </row>
    <row r="1302" spans="1:24" ht="15.75" customHeight="1">
      <c r="A1302" s="1">
        <v>1.22755052E8</v>
      </c>
      <c r="B1302" s="1" t="s">
        <v>5827</v>
      </c>
      <c r="C1302" s="1" t="s">
        <v>5828</v>
      </c>
      <c r="D1302" s="1" t="s">
        <v>5829</v>
      </c>
      <c r="E1302" s="1" t="s">
        <v>5830</v>
      </c>
      <c r="F1302" s="1" t="str">
        <f>"191374440X"</f>
        <v>191374440X</v>
      </c>
      <c r="G1302" s="1" t="str">
        <f>"9781913744403"</f>
        <v>9781913744403</v>
      </c>
      <c r="H1302" s="1">
        <v>0.0</v>
      </c>
      <c r="I1302" s="1">
        <v>3.78</v>
      </c>
      <c r="J1302" s="1" t="s">
        <v>5831</v>
      </c>
      <c r="K1302" s="1" t="s">
        <v>44</v>
      </c>
      <c r="L1302" s="1">
        <v>50.0</v>
      </c>
      <c r="M1302" s="1">
        <v>2023.0</v>
      </c>
      <c r="N1302" s="1">
        <v>2021.0</v>
      </c>
      <c r="P1302" s="2">
        <v>45239.0</v>
      </c>
      <c r="Q1302" s="1" t="s">
        <v>145</v>
      </c>
      <c r="R1302" s="1" t="s">
        <v>5832</v>
      </c>
      <c r="S1302" s="1" t="s">
        <v>32</v>
      </c>
      <c r="W1302" s="1">
        <v>0.0</v>
      </c>
      <c r="X1302" s="1">
        <v>0.0</v>
      </c>
    </row>
    <row r="1303" spans="1:24" ht="15.75" customHeight="1">
      <c r="A1303" s="1">
        <v>3.1194442E7</v>
      </c>
      <c r="B1303" s="1" t="s">
        <v>5833</v>
      </c>
      <c r="C1303" s="1" t="s">
        <v>5834</v>
      </c>
      <c r="D1303" s="1" t="s">
        <v>5835</v>
      </c>
      <c r="F1303" s="1" t="str">
        <f>"8423351203"</f>
        <v>8423351203</v>
      </c>
      <c r="G1303" s="1" t="str">
        <f>"9788423351206"</f>
        <v>9788423351206</v>
      </c>
      <c r="H1303" s="1">
        <v>0.0</v>
      </c>
      <c r="I1303" s="1">
        <v>3.74</v>
      </c>
      <c r="J1303" s="1" t="s">
        <v>5836</v>
      </c>
      <c r="K1303" s="1" t="s">
        <v>29</v>
      </c>
      <c r="L1303" s="1">
        <v>201.0</v>
      </c>
      <c r="M1303" s="1">
        <v>2016.0</v>
      </c>
      <c r="N1303" s="1">
        <v>1991.0</v>
      </c>
      <c r="P1303" s="2">
        <v>43976.0</v>
      </c>
      <c r="Q1303" s="1" t="s">
        <v>32</v>
      </c>
      <c r="R1303" s="1" t="s">
        <v>5837</v>
      </c>
      <c r="S1303" s="1" t="s">
        <v>32</v>
      </c>
      <c r="W1303" s="1">
        <v>0.0</v>
      </c>
      <c r="X1303" s="1">
        <v>0.0</v>
      </c>
    </row>
    <row r="1304" spans="1:24" ht="15.75" customHeight="1">
      <c r="A1304" s="1">
        <v>1.7693047E7</v>
      </c>
      <c r="B1304" s="1" t="s">
        <v>5838</v>
      </c>
      <c r="C1304" s="1" t="s">
        <v>5839</v>
      </c>
      <c r="D1304" s="1" t="s">
        <v>5840</v>
      </c>
      <c r="F1304" s="1" t="str">
        <f>"0988443104"</f>
        <v>0988443104</v>
      </c>
      <c r="G1304" s="1" t="str">
        <f>"9780988443105"</f>
        <v>9780988443105</v>
      </c>
      <c r="H1304" s="1">
        <v>0.0</v>
      </c>
      <c r="I1304" s="1">
        <v>4.16</v>
      </c>
      <c r="J1304" s="1" t="s">
        <v>5841</v>
      </c>
      <c r="K1304" s="1" t="s">
        <v>29</v>
      </c>
      <c r="L1304" s="1">
        <v>242.0</v>
      </c>
      <c r="M1304" s="1">
        <v>2012.0</v>
      </c>
      <c r="N1304" s="1">
        <v>2012.0</v>
      </c>
      <c r="P1304" s="2">
        <v>45173.0</v>
      </c>
      <c r="Q1304" s="1" t="s">
        <v>32</v>
      </c>
      <c r="R1304" s="1" t="s">
        <v>5842</v>
      </c>
      <c r="S1304" s="1" t="s">
        <v>32</v>
      </c>
      <c r="W1304" s="1">
        <v>0.0</v>
      </c>
      <c r="X1304" s="1">
        <v>0.0</v>
      </c>
    </row>
    <row r="1305" spans="1:24" ht="15.75" customHeight="1">
      <c r="A1305" s="1">
        <v>1350615.0</v>
      </c>
      <c r="B1305" s="1" t="s">
        <v>5843</v>
      </c>
      <c r="C1305" s="1" t="s">
        <v>5844</v>
      </c>
      <c r="D1305" s="1" t="s">
        <v>5845</v>
      </c>
      <c r="F1305" s="1" t="str">
        <f>"0394522974"</f>
        <v>0394522974</v>
      </c>
      <c r="G1305" s="1" t="str">
        <f>"9780394522975"</f>
        <v>9780394522975</v>
      </c>
      <c r="H1305" s="1">
        <v>0.0</v>
      </c>
      <c r="I1305" s="1">
        <v>4.08</v>
      </c>
      <c r="J1305" s="1" t="s">
        <v>1189</v>
      </c>
      <c r="K1305" s="1" t="s">
        <v>37</v>
      </c>
      <c r="L1305" s="1">
        <v>594.0</v>
      </c>
      <c r="M1305" s="1">
        <v>1983.0</v>
      </c>
      <c r="N1305" s="1">
        <v>1983.0</v>
      </c>
      <c r="P1305" s="3">
        <v>45214.0</v>
      </c>
      <c r="Q1305" s="1" t="s">
        <v>5846</v>
      </c>
      <c r="R1305" s="1" t="s">
        <v>5847</v>
      </c>
      <c r="S1305" s="1" t="s">
        <v>32</v>
      </c>
      <c r="W1305" s="1">
        <v>0.0</v>
      </c>
      <c r="X1305" s="1">
        <v>0.0</v>
      </c>
    </row>
    <row r="1306" spans="1:24" ht="15.75" customHeight="1">
      <c r="A1306" s="1">
        <v>5035817.0</v>
      </c>
      <c r="B1306" s="1" t="s">
        <v>5848</v>
      </c>
      <c r="C1306" s="1" t="s">
        <v>5849</v>
      </c>
      <c r="D1306" s="1" t="s">
        <v>5850</v>
      </c>
      <c r="F1306" s="1" t="str">
        <f>"1413484239"</f>
        <v>1413484239</v>
      </c>
      <c r="G1306" s="1" t="str">
        <f>"9781413484236"</f>
        <v>9781413484236</v>
      </c>
      <c r="H1306" s="1">
        <v>0.0</v>
      </c>
      <c r="I1306" s="1">
        <v>5.0</v>
      </c>
      <c r="J1306" s="1" t="s">
        <v>5851</v>
      </c>
      <c r="K1306" s="1" t="s">
        <v>37</v>
      </c>
      <c r="L1306" s="1">
        <v>268.0</v>
      </c>
      <c r="M1306" s="1">
        <v>2005.0</v>
      </c>
      <c r="N1306" s="1">
        <v>2005.0</v>
      </c>
      <c r="P1306" s="2">
        <v>45145.0</v>
      </c>
      <c r="Q1306" s="1" t="s">
        <v>32</v>
      </c>
      <c r="R1306" s="1" t="s">
        <v>5852</v>
      </c>
      <c r="S1306" s="1" t="s">
        <v>32</v>
      </c>
      <c r="W1306" s="1">
        <v>0.0</v>
      </c>
      <c r="X1306" s="1">
        <v>0.0</v>
      </c>
    </row>
    <row r="1307" spans="1:24" ht="15.75" customHeight="1">
      <c r="A1307" s="1">
        <v>588138.0</v>
      </c>
      <c r="B1307" s="1" t="s">
        <v>5853</v>
      </c>
      <c r="C1307" s="1" t="s">
        <v>5854</v>
      </c>
      <c r="D1307" s="1" t="s">
        <v>5855</v>
      </c>
      <c r="F1307" s="1" t="str">
        <f>"0691017840"</f>
        <v>0691017840</v>
      </c>
      <c r="G1307" s="1" t="str">
        <f>"9780691017846"</f>
        <v>9780691017846</v>
      </c>
      <c r="H1307" s="1">
        <v>0.0</v>
      </c>
      <c r="I1307" s="1">
        <v>4.14</v>
      </c>
      <c r="J1307" s="1" t="s">
        <v>1011</v>
      </c>
      <c r="K1307" s="1" t="s">
        <v>44</v>
      </c>
      <c r="L1307" s="1">
        <v>416.0</v>
      </c>
      <c r="M1307" s="1">
        <v>1972.0</v>
      </c>
      <c r="N1307" s="1">
        <v>1949.0</v>
      </c>
      <c r="P1307" s="2">
        <v>45059.0</v>
      </c>
      <c r="Q1307" s="1" t="s">
        <v>935</v>
      </c>
      <c r="R1307" s="1" t="s">
        <v>5856</v>
      </c>
      <c r="S1307" s="1" t="s">
        <v>32</v>
      </c>
      <c r="W1307" s="1">
        <v>0.0</v>
      </c>
      <c r="X1307" s="1">
        <v>0.0</v>
      </c>
    </row>
    <row r="1308" spans="1:24" ht="15.75" customHeight="1">
      <c r="A1308" s="13">
        <v>1.22800766E8</v>
      </c>
      <c r="B1308" s="13" t="s">
        <v>5857</v>
      </c>
      <c r="C1308" s="13" t="s">
        <v>5854</v>
      </c>
      <c r="D1308" s="13" t="s">
        <v>5855</v>
      </c>
      <c r="E1308" s="14"/>
      <c r="F1308" s="13" t="str">
        <f>"1608688895"</f>
        <v>1608688895</v>
      </c>
      <c r="G1308" s="13" t="str">
        <f>"9781608688890"</f>
        <v>9781608688890</v>
      </c>
      <c r="H1308" s="13">
        <v>0.0</v>
      </c>
      <c r="I1308" s="13">
        <v>0.0</v>
      </c>
      <c r="J1308" s="13" t="s">
        <v>5858</v>
      </c>
      <c r="K1308" s="13" t="s">
        <v>44</v>
      </c>
      <c r="L1308" s="13">
        <v>264.0</v>
      </c>
      <c r="M1308" s="13">
        <v>2023.0</v>
      </c>
      <c r="N1308" s="14"/>
      <c r="O1308" s="14"/>
      <c r="P1308" s="15">
        <v>45180.0</v>
      </c>
      <c r="Q1308" s="24" t="s">
        <v>871</v>
      </c>
      <c r="R1308" s="13" t="s">
        <v>5859</v>
      </c>
      <c r="S1308" s="13" t="s">
        <v>32</v>
      </c>
      <c r="T1308" s="14"/>
      <c r="U1308" s="14"/>
      <c r="V1308" s="14"/>
      <c r="W1308" s="13">
        <v>0.0</v>
      </c>
      <c r="X1308" s="13">
        <v>0.0</v>
      </c>
    </row>
    <row r="1309" spans="1:24" ht="15.75" customHeight="1">
      <c r="A1309" s="13">
        <v>787565.0</v>
      </c>
      <c r="B1309" s="13" t="s">
        <v>5860</v>
      </c>
      <c r="C1309" s="13" t="s">
        <v>5854</v>
      </c>
      <c r="D1309" s="13" t="s">
        <v>5855</v>
      </c>
      <c r="E1309" s="14"/>
      <c r="F1309" s="13" t="str">
        <f>"0691018391"</f>
        <v>0691018391</v>
      </c>
      <c r="G1309" s="13" t="str">
        <f>"9780691018393"</f>
        <v>9780691018393</v>
      </c>
      <c r="H1309" s="13">
        <v>0.0</v>
      </c>
      <c r="I1309" s="13">
        <v>4.39</v>
      </c>
      <c r="J1309" s="13" t="s">
        <v>1011</v>
      </c>
      <c r="K1309" s="13" t="s">
        <v>44</v>
      </c>
      <c r="L1309" s="13">
        <v>564.0</v>
      </c>
      <c r="M1309" s="13">
        <v>1981.0</v>
      </c>
      <c r="N1309" s="13">
        <v>1974.0</v>
      </c>
      <c r="O1309" s="14"/>
      <c r="P1309" s="15">
        <v>45112.0</v>
      </c>
      <c r="Q1309" s="24" t="s">
        <v>871</v>
      </c>
      <c r="R1309" s="13" t="s">
        <v>5861</v>
      </c>
      <c r="S1309" s="13" t="s">
        <v>32</v>
      </c>
      <c r="T1309" s="14"/>
      <c r="U1309" s="14"/>
      <c r="V1309" s="14"/>
      <c r="W1309" s="13">
        <v>0.0</v>
      </c>
      <c r="X1309" s="13">
        <v>0.0</v>
      </c>
    </row>
    <row r="1310" spans="1:24" ht="15.75" customHeight="1">
      <c r="A1310" s="1">
        <v>3410737.0</v>
      </c>
      <c r="B1310" s="1" t="s">
        <v>5862</v>
      </c>
      <c r="C1310" s="1" t="s">
        <v>5863</v>
      </c>
      <c r="D1310" s="1" t="s">
        <v>5864</v>
      </c>
      <c r="F1310" s="1" t="str">
        <f>"0877288194"</f>
        <v>0877288194</v>
      </c>
      <c r="G1310" s="1" t="str">
        <f>"9780877288190"</f>
        <v>9780877288190</v>
      </c>
      <c r="H1310" s="1">
        <v>0.0</v>
      </c>
      <c r="I1310" s="1">
        <v>0.0</v>
      </c>
      <c r="J1310" s="1" t="s">
        <v>405</v>
      </c>
      <c r="K1310" s="1" t="s">
        <v>44</v>
      </c>
      <c r="L1310" s="1">
        <v>128.0</v>
      </c>
      <c r="M1310" s="1">
        <v>1994.0</v>
      </c>
      <c r="N1310" s="1">
        <v>1994.0</v>
      </c>
      <c r="P1310" s="3">
        <v>44908.0</v>
      </c>
      <c r="Q1310" s="1" t="s">
        <v>491</v>
      </c>
      <c r="R1310" s="1" t="s">
        <v>5865</v>
      </c>
      <c r="S1310" s="1" t="s">
        <v>32</v>
      </c>
      <c r="W1310" s="1">
        <v>0.0</v>
      </c>
      <c r="X1310" s="1">
        <v>0.0</v>
      </c>
    </row>
    <row r="1311" spans="1:24" ht="15.75" customHeight="1">
      <c r="A1311" s="1">
        <v>3206523.0</v>
      </c>
      <c r="B1311" s="1" t="s">
        <v>5866</v>
      </c>
      <c r="C1311" s="1" t="s">
        <v>5867</v>
      </c>
      <c r="D1311" s="1" t="s">
        <v>5868</v>
      </c>
      <c r="F1311" s="1" t="str">
        <f>"0195300343"</f>
        <v>0195300343</v>
      </c>
      <c r="G1311" s="1" t="str">
        <f>"9780195300345"</f>
        <v>9780195300345</v>
      </c>
      <c r="H1311" s="1">
        <v>0.0</v>
      </c>
      <c r="I1311" s="1">
        <v>3.68</v>
      </c>
      <c r="J1311" s="1" t="s">
        <v>990</v>
      </c>
      <c r="K1311" s="1" t="s">
        <v>37</v>
      </c>
      <c r="L1311" s="1">
        <v>144.0</v>
      </c>
      <c r="M1311" s="1">
        <v>2005.0</v>
      </c>
      <c r="N1311" s="1">
        <v>2005.0</v>
      </c>
      <c r="P1311" s="2">
        <v>45153.0</v>
      </c>
      <c r="Q1311" s="1" t="s">
        <v>32</v>
      </c>
      <c r="R1311" s="1" t="s">
        <v>5869</v>
      </c>
      <c r="S1311" s="1" t="s">
        <v>32</v>
      </c>
      <c r="W1311" s="1">
        <v>0.0</v>
      </c>
      <c r="X1311" s="1">
        <v>0.0</v>
      </c>
    </row>
    <row r="1312" spans="1:24" ht="15.75" customHeight="1">
      <c r="A1312" s="1">
        <v>974419.0</v>
      </c>
      <c r="B1312" s="1" t="s">
        <v>5870</v>
      </c>
      <c r="C1312" s="1" t="s">
        <v>5871</v>
      </c>
      <c r="D1312" s="1" t="s">
        <v>5872</v>
      </c>
      <c r="F1312" s="1" t="str">
        <f>"014101038X"</f>
        <v>014101038X</v>
      </c>
      <c r="G1312" s="1" t="str">
        <f>"9780141010380"</f>
        <v>9780141010380</v>
      </c>
      <c r="H1312" s="1">
        <v>0.0</v>
      </c>
      <c r="I1312" s="1">
        <v>3.87</v>
      </c>
      <c r="J1312" s="1" t="s">
        <v>4860</v>
      </c>
      <c r="K1312" s="1" t="s">
        <v>44</v>
      </c>
      <c r="L1312" s="1">
        <v>288.0</v>
      </c>
      <c r="M1312" s="1">
        <v>2003.0</v>
      </c>
      <c r="N1312" s="1">
        <v>2002.0</v>
      </c>
      <c r="P1312" s="2">
        <v>45114.0</v>
      </c>
      <c r="Q1312" s="1" t="s">
        <v>5873</v>
      </c>
      <c r="R1312" s="1" t="s">
        <v>5874</v>
      </c>
      <c r="S1312" s="1" t="s">
        <v>32</v>
      </c>
      <c r="W1312" s="1">
        <v>0.0</v>
      </c>
      <c r="X1312" s="1">
        <v>1.0</v>
      </c>
    </row>
    <row r="1313" spans="1:24" ht="15.75" customHeight="1">
      <c r="A1313" s="1">
        <v>5047676.0</v>
      </c>
      <c r="B1313" s="1" t="s">
        <v>5875</v>
      </c>
      <c r="C1313" s="1" t="s">
        <v>5876</v>
      </c>
      <c r="D1313" s="1" t="s">
        <v>5877</v>
      </c>
      <c r="F1313" s="1" t="str">
        <f>"0520040910"</f>
        <v>0520040910</v>
      </c>
      <c r="G1313" s="1" t="str">
        <f>"9780520040915"</f>
        <v>9780520040915</v>
      </c>
      <c r="H1313" s="1">
        <v>0.0</v>
      </c>
      <c r="I1313" s="1">
        <v>3.8</v>
      </c>
      <c r="J1313" s="1" t="s">
        <v>5878</v>
      </c>
      <c r="K1313" s="1" t="s">
        <v>44</v>
      </c>
      <c r="L1313" s="1">
        <v>637.0</v>
      </c>
      <c r="M1313" s="1">
        <v>1980.0</v>
      </c>
      <c r="N1313" s="1">
        <v>1959.0</v>
      </c>
      <c r="P1313" s="2">
        <v>45115.0</v>
      </c>
      <c r="Q1313" s="1" t="s">
        <v>32</v>
      </c>
      <c r="R1313" s="1" t="s">
        <v>5879</v>
      </c>
      <c r="S1313" s="1" t="s">
        <v>32</v>
      </c>
      <c r="W1313" s="1">
        <v>0.0</v>
      </c>
      <c r="X1313" s="1">
        <v>0.0</v>
      </c>
    </row>
    <row r="1314" spans="1:24" ht="15.75" customHeight="1">
      <c r="A1314" s="1">
        <v>1.6772927E7</v>
      </c>
      <c r="B1314" s="1" t="s">
        <v>5880</v>
      </c>
      <c r="C1314" s="1" t="s">
        <v>5881</v>
      </c>
      <c r="D1314" s="1" t="s">
        <v>5882</v>
      </c>
      <c r="F1314" s="1" t="str">
        <f>"128041913X"</f>
        <v>128041913X</v>
      </c>
      <c r="G1314" s="1" t="str">
        <f>"9781280419133"</f>
        <v>9781280419133</v>
      </c>
      <c r="H1314" s="1">
        <v>0.0</v>
      </c>
      <c r="I1314" s="1">
        <v>4.5</v>
      </c>
      <c r="J1314" s="1" t="s">
        <v>388</v>
      </c>
      <c r="K1314" s="1" t="s">
        <v>420</v>
      </c>
      <c r="L1314" s="1">
        <v>333.0</v>
      </c>
      <c r="M1314" s="1">
        <v>2001.0</v>
      </c>
      <c r="N1314" s="1">
        <v>1997.0</v>
      </c>
      <c r="P1314" s="3">
        <v>45273.0</v>
      </c>
      <c r="Q1314" s="1" t="s">
        <v>479</v>
      </c>
      <c r="R1314" s="1" t="s">
        <v>5883</v>
      </c>
      <c r="S1314" s="1" t="s">
        <v>32</v>
      </c>
      <c r="W1314" s="1">
        <v>0.0</v>
      </c>
      <c r="X1314" s="1">
        <v>0.0</v>
      </c>
    </row>
    <row r="1315" spans="1:24" ht="15.75" customHeight="1">
      <c r="A1315" s="1">
        <v>9995541.0</v>
      </c>
      <c r="B1315" s="1" t="s">
        <v>5884</v>
      </c>
      <c r="C1315" s="1" t="s">
        <v>5885</v>
      </c>
      <c r="D1315" s="1" t="s">
        <v>5886</v>
      </c>
      <c r="F1315" s="1" t="str">
        <f>"1451626657"</f>
        <v>1451626657</v>
      </c>
      <c r="G1315" s="1" t="str">
        <f>"9781451626650"</f>
        <v>9781451626650</v>
      </c>
      <c r="H1315" s="1">
        <v>0.0</v>
      </c>
      <c r="I1315" s="1">
        <v>3.99</v>
      </c>
      <c r="J1315" s="1" t="s">
        <v>622</v>
      </c>
      <c r="K1315" s="1" t="s">
        <v>44</v>
      </c>
      <c r="L1315" s="1">
        <v>524.0</v>
      </c>
      <c r="M1315" s="1">
        <v>2011.0</v>
      </c>
      <c r="N1315" s="1">
        <v>1961.0</v>
      </c>
      <c r="P1315" s="2">
        <v>42134.0</v>
      </c>
      <c r="Q1315" s="1" t="s">
        <v>818</v>
      </c>
      <c r="R1315" s="1" t="s">
        <v>5887</v>
      </c>
      <c r="S1315" s="1" t="s">
        <v>32</v>
      </c>
      <c r="W1315" s="1">
        <v>0.0</v>
      </c>
      <c r="X1315" s="1">
        <v>1.0</v>
      </c>
    </row>
    <row r="1316" spans="1:24" ht="15.75" customHeight="1">
      <c r="A1316" s="1">
        <v>2808188.0</v>
      </c>
      <c r="B1316" s="1" t="s">
        <v>5888</v>
      </c>
      <c r="C1316" s="1" t="s">
        <v>5889</v>
      </c>
      <c r="D1316" s="1" t="s">
        <v>5890</v>
      </c>
      <c r="F1316" s="1" t="str">
        <f>"0385084803"</f>
        <v>0385084803</v>
      </c>
      <c r="G1316" s="1" t="str">
        <f>"9780385084802"</f>
        <v>9780385084802</v>
      </c>
      <c r="H1316" s="1">
        <v>0.0</v>
      </c>
      <c r="I1316" s="1">
        <v>3.69</v>
      </c>
      <c r="J1316" s="1" t="s">
        <v>1325</v>
      </c>
      <c r="K1316" s="1" t="s">
        <v>1225</v>
      </c>
      <c r="L1316" s="1">
        <v>555.0</v>
      </c>
      <c r="M1316" s="1">
        <v>1967.0</v>
      </c>
      <c r="N1316" s="1">
        <v>1967.0</v>
      </c>
      <c r="P1316" s="2">
        <v>45113.0</v>
      </c>
      <c r="Q1316" s="1" t="s">
        <v>32</v>
      </c>
      <c r="R1316" s="1" t="s">
        <v>5891</v>
      </c>
      <c r="S1316" s="1" t="s">
        <v>32</v>
      </c>
      <c r="W1316" s="1">
        <v>0.0</v>
      </c>
      <c r="X1316" s="1">
        <v>0.0</v>
      </c>
    </row>
    <row r="1317" spans="1:24" ht="15.75" customHeight="1">
      <c r="A1317" s="1">
        <v>5.1704141E7</v>
      </c>
      <c r="B1317" s="1" t="s">
        <v>5892</v>
      </c>
      <c r="C1317" s="1" t="s">
        <v>5893</v>
      </c>
      <c r="D1317" s="1" t="s">
        <v>5894</v>
      </c>
      <c r="F1317" s="1" t="str">
        <f>"0143135473"</f>
        <v>0143135473</v>
      </c>
      <c r="G1317" s="1" t="str">
        <f>"9780143135470"</f>
        <v>9780143135470</v>
      </c>
      <c r="H1317" s="1">
        <v>0.0</v>
      </c>
      <c r="I1317" s="1">
        <v>3.48</v>
      </c>
      <c r="J1317" s="1" t="s">
        <v>1023</v>
      </c>
      <c r="K1317" s="1" t="s">
        <v>44</v>
      </c>
      <c r="L1317" s="1">
        <v>336.0</v>
      </c>
      <c r="M1317" s="1">
        <v>2020.0</v>
      </c>
      <c r="N1317" s="1">
        <v>2020.0</v>
      </c>
      <c r="P1317" s="2">
        <v>45114.0</v>
      </c>
      <c r="Q1317" s="1" t="s">
        <v>32</v>
      </c>
      <c r="R1317" s="1" t="s">
        <v>5895</v>
      </c>
      <c r="S1317" s="1" t="s">
        <v>32</v>
      </c>
      <c r="W1317" s="1">
        <v>0.0</v>
      </c>
      <c r="X1317" s="1">
        <v>0.0</v>
      </c>
    </row>
    <row r="1318" spans="1:24" ht="15.75" customHeight="1">
      <c r="A1318" s="1">
        <v>888888.0</v>
      </c>
      <c r="B1318" s="1" t="s">
        <v>5896</v>
      </c>
      <c r="C1318" s="1" t="s">
        <v>5897</v>
      </c>
      <c r="D1318" s="1" t="s">
        <v>5898</v>
      </c>
      <c r="F1318" s="1" t="str">
        <f>"1564780236"</f>
        <v>1564780236</v>
      </c>
      <c r="G1318" s="1" t="str">
        <f>"9781564780232"</f>
        <v>9781564780232</v>
      </c>
      <c r="H1318" s="1">
        <v>0.0</v>
      </c>
      <c r="I1318" s="1">
        <v>4.1</v>
      </c>
      <c r="J1318" s="1" t="s">
        <v>2337</v>
      </c>
      <c r="K1318" s="1" t="s">
        <v>44</v>
      </c>
      <c r="L1318" s="1">
        <v>1192.0</v>
      </c>
      <c r="M1318" s="1">
        <v>1993.0</v>
      </c>
      <c r="N1318" s="1">
        <v>1987.0</v>
      </c>
      <c r="P1318" s="2">
        <v>45003.0</v>
      </c>
      <c r="Q1318" s="1" t="s">
        <v>633</v>
      </c>
      <c r="R1318" s="1" t="s">
        <v>5899</v>
      </c>
      <c r="S1318" s="1" t="s">
        <v>32</v>
      </c>
      <c r="W1318" s="1">
        <v>0.0</v>
      </c>
      <c r="X1318" s="1">
        <v>0.0</v>
      </c>
    </row>
    <row r="1319" spans="1:24" ht="15.75" customHeight="1">
      <c r="A1319" s="1">
        <v>8967259.0</v>
      </c>
      <c r="B1319" s="1" t="s">
        <v>5900</v>
      </c>
      <c r="C1319" s="1" t="s">
        <v>5897</v>
      </c>
      <c r="D1319" s="1" t="s">
        <v>5898</v>
      </c>
      <c r="F1319" s="1" t="str">
        <f>"1564786021"</f>
        <v>1564786021</v>
      </c>
      <c r="G1319" s="1" t="str">
        <f>"9781564786029"</f>
        <v>9781564786029</v>
      </c>
      <c r="H1319" s="1">
        <v>0.0</v>
      </c>
      <c r="I1319" s="1">
        <v>3.74</v>
      </c>
      <c r="J1319" s="1" t="s">
        <v>2337</v>
      </c>
      <c r="K1319" s="1" t="s">
        <v>44</v>
      </c>
      <c r="L1319" s="1">
        <v>293.0</v>
      </c>
      <c r="M1319" s="1">
        <v>2011.0</v>
      </c>
      <c r="N1319" s="1">
        <v>2011.0</v>
      </c>
      <c r="P1319" s="2">
        <v>41763.0</v>
      </c>
      <c r="Q1319" s="1" t="s">
        <v>127</v>
      </c>
      <c r="R1319" s="1" t="s">
        <v>5901</v>
      </c>
      <c r="S1319" s="1" t="s">
        <v>32</v>
      </c>
      <c r="W1319" s="1">
        <v>0.0</v>
      </c>
      <c r="X1319" s="1">
        <v>0.0</v>
      </c>
    </row>
    <row r="1320" spans="1:24" ht="15.75" customHeight="1">
      <c r="A1320" s="1">
        <v>2.0262498E7</v>
      </c>
      <c r="B1320" s="1" t="s">
        <v>5902</v>
      </c>
      <c r="C1320" s="1" t="s">
        <v>5903</v>
      </c>
      <c r="D1320" s="1" t="s">
        <v>5904</v>
      </c>
      <c r="F1320" s="1" t="str">
        <f>"0307378233"</f>
        <v>0307378233</v>
      </c>
      <c r="G1320" s="1" t="str">
        <f>"9780307378231"</f>
        <v>9780307378231</v>
      </c>
      <c r="H1320" s="1">
        <v>0.0</v>
      </c>
      <c r="I1320" s="1">
        <v>3.15</v>
      </c>
      <c r="J1320" s="1" t="s">
        <v>772</v>
      </c>
      <c r="K1320" s="1" t="s">
        <v>37</v>
      </c>
      <c r="L1320" s="1">
        <v>241.0</v>
      </c>
      <c r="M1320" s="1">
        <v>2014.0</v>
      </c>
      <c r="N1320" s="1">
        <v>2014.0</v>
      </c>
      <c r="P1320" s="2">
        <v>42372.0</v>
      </c>
      <c r="Q1320" s="1" t="s">
        <v>32</v>
      </c>
      <c r="R1320" s="1" t="s">
        <v>5905</v>
      </c>
      <c r="S1320" s="1" t="s">
        <v>32</v>
      </c>
      <c r="W1320" s="1">
        <v>0.0</v>
      </c>
      <c r="X1320" s="1">
        <v>0.0</v>
      </c>
    </row>
    <row r="1321" spans="1:24" ht="15.75" customHeight="1">
      <c r="A1321" s="1">
        <v>1107872.0</v>
      </c>
      <c r="B1321" s="1" t="s">
        <v>5906</v>
      </c>
      <c r="C1321" s="1" t="s">
        <v>5907</v>
      </c>
      <c r="D1321" s="1" t="s">
        <v>5908</v>
      </c>
      <c r="F1321" s="1" t="str">
        <f>"0452258855"</f>
        <v>0452258855</v>
      </c>
      <c r="G1321" s="1" t="str">
        <f>"9780452258853"</f>
        <v>9780452258853</v>
      </c>
      <c r="H1321" s="1">
        <v>0.0</v>
      </c>
      <c r="I1321" s="1">
        <v>4.0</v>
      </c>
      <c r="J1321" s="1" t="s">
        <v>3748</v>
      </c>
      <c r="K1321" s="1" t="s">
        <v>44</v>
      </c>
      <c r="L1321" s="1">
        <v>344.0</v>
      </c>
      <c r="M1321" s="1">
        <v>1986.0</v>
      </c>
      <c r="N1321" s="1">
        <v>1979.0</v>
      </c>
      <c r="P1321" s="2">
        <v>44254.0</v>
      </c>
      <c r="Q1321" s="1" t="s">
        <v>218</v>
      </c>
      <c r="R1321" s="1" t="s">
        <v>5909</v>
      </c>
      <c r="S1321" s="1" t="s">
        <v>32</v>
      </c>
      <c r="W1321" s="1">
        <v>0.0</v>
      </c>
      <c r="X1321" s="1">
        <v>0.0</v>
      </c>
    </row>
    <row r="1322" spans="1:24" ht="15.75" customHeight="1">
      <c r="A1322" s="1">
        <v>1.173314E7</v>
      </c>
      <c r="B1322" s="1" t="s">
        <v>5910</v>
      </c>
      <c r="C1322" s="1" t="s">
        <v>5911</v>
      </c>
      <c r="D1322" s="1" t="s">
        <v>5912</v>
      </c>
      <c r="F1322" s="1" t="str">
        <f>"1934414557"</f>
        <v>1934414557</v>
      </c>
      <c r="G1322" s="1" t="str">
        <f>"9781934414552"</f>
        <v>9781934414552</v>
      </c>
      <c r="H1322" s="1">
        <v>0.0</v>
      </c>
      <c r="I1322" s="1">
        <v>4.31</v>
      </c>
      <c r="J1322" s="1" t="s">
        <v>1078</v>
      </c>
      <c r="K1322" s="1" t="s">
        <v>44</v>
      </c>
      <c r="L1322" s="1">
        <v>125.0</v>
      </c>
      <c r="M1322" s="1">
        <v>2011.0</v>
      </c>
      <c r="N1322" s="1">
        <v>2011.0</v>
      </c>
      <c r="P1322" s="2">
        <v>45113.0</v>
      </c>
      <c r="Q1322" s="1" t="s">
        <v>449</v>
      </c>
      <c r="R1322" s="1" t="s">
        <v>5913</v>
      </c>
      <c r="S1322" s="1" t="s">
        <v>32</v>
      </c>
      <c r="W1322" s="1">
        <v>0.0</v>
      </c>
      <c r="X1322" s="1">
        <v>1.0</v>
      </c>
    </row>
    <row r="1323" spans="1:24" ht="15.75" customHeight="1">
      <c r="A1323" s="1">
        <v>3.4927404E7</v>
      </c>
      <c r="B1323" s="1" t="s">
        <v>5914</v>
      </c>
      <c r="C1323" s="1" t="s">
        <v>5915</v>
      </c>
      <c r="D1323" s="1" t="s">
        <v>5916</v>
      </c>
      <c r="F1323" s="1" t="str">
        <f>"0134685997"</f>
        <v>0134685997</v>
      </c>
      <c r="G1323" s="1" t="str">
        <f>"9780134685991"</f>
        <v>9780134685991</v>
      </c>
      <c r="H1323" s="1">
        <v>0.0</v>
      </c>
      <c r="I1323" s="1">
        <v>4.51</v>
      </c>
      <c r="J1323" s="1" t="s">
        <v>747</v>
      </c>
      <c r="K1323" s="1" t="s">
        <v>44</v>
      </c>
      <c r="L1323" s="1">
        <v>412.0</v>
      </c>
      <c r="M1323" s="1">
        <v>2017.0</v>
      </c>
      <c r="N1323" s="1">
        <v>2001.0</v>
      </c>
      <c r="P1323" s="2">
        <v>44814.0</v>
      </c>
      <c r="Q1323" s="1" t="s">
        <v>115</v>
      </c>
      <c r="R1323" s="1" t="s">
        <v>5917</v>
      </c>
      <c r="S1323" s="1" t="s">
        <v>32</v>
      </c>
      <c r="W1323" s="1">
        <v>0.0</v>
      </c>
      <c r="X1323" s="1">
        <v>1.0</v>
      </c>
    </row>
    <row r="1324" spans="1:24" ht="15.75" customHeight="1">
      <c r="A1324" s="1">
        <v>1.8453074E7</v>
      </c>
      <c r="B1324" s="1" t="s">
        <v>5918</v>
      </c>
      <c r="C1324" s="1" t="s">
        <v>5919</v>
      </c>
      <c r="D1324" s="1" t="s">
        <v>5920</v>
      </c>
      <c r="F1324" s="1" t="str">
        <f>"0316033979"</f>
        <v>0316033979</v>
      </c>
      <c r="G1324" s="1" t="str">
        <f>"9780316033978"</f>
        <v>9780316033978</v>
      </c>
      <c r="H1324" s="1">
        <v>0.0</v>
      </c>
      <c r="I1324" s="1">
        <v>3.08</v>
      </c>
      <c r="J1324" s="1" t="s">
        <v>1963</v>
      </c>
      <c r="K1324" s="1" t="s">
        <v>37</v>
      </c>
      <c r="L1324" s="1">
        <v>352.0</v>
      </c>
      <c r="M1324" s="1">
        <v>2014.0</v>
      </c>
      <c r="N1324" s="1">
        <v>2014.0</v>
      </c>
      <c r="P1324" s="2">
        <v>41844.0</v>
      </c>
      <c r="Q1324" s="1" t="s">
        <v>502</v>
      </c>
      <c r="R1324" s="1" t="s">
        <v>5921</v>
      </c>
      <c r="S1324" s="1" t="s">
        <v>32</v>
      </c>
      <c r="W1324" s="1">
        <v>0.0</v>
      </c>
      <c r="X1324" s="1">
        <v>0.0</v>
      </c>
    </row>
    <row r="1325" spans="1:24" ht="15.75" customHeight="1">
      <c r="A1325" s="1">
        <v>7955660.0</v>
      </c>
      <c r="B1325" s="1" t="s">
        <v>5922</v>
      </c>
      <c r="C1325" s="1" t="s">
        <v>5923</v>
      </c>
      <c r="D1325" s="1" t="s">
        <v>5924</v>
      </c>
      <c r="F1325" s="1" t="str">
        <f>"1587299046"</f>
        <v>1587299046</v>
      </c>
      <c r="G1325" s="1" t="str">
        <f>"9781587299049"</f>
        <v>9781587299049</v>
      </c>
      <c r="H1325" s="1">
        <v>0.0</v>
      </c>
      <c r="I1325" s="1">
        <v>4.26</v>
      </c>
      <c r="J1325" s="1" t="s">
        <v>2666</v>
      </c>
      <c r="K1325" s="1" t="s">
        <v>44</v>
      </c>
      <c r="L1325" s="1">
        <v>321.0</v>
      </c>
      <c r="M1325" s="1">
        <v>2010.0</v>
      </c>
      <c r="N1325" s="1">
        <v>2010.0</v>
      </c>
      <c r="P1325" s="2">
        <v>44252.0</v>
      </c>
      <c r="Q1325" s="1" t="s">
        <v>32</v>
      </c>
      <c r="R1325" s="1" t="s">
        <v>5925</v>
      </c>
      <c r="S1325" s="1" t="s">
        <v>32</v>
      </c>
      <c r="W1325" s="1">
        <v>0.0</v>
      </c>
      <c r="X1325" s="1">
        <v>0.0</v>
      </c>
    </row>
    <row r="1326" spans="1:24" ht="15.75" customHeight="1">
      <c r="A1326" s="1">
        <v>2.4453883E7</v>
      </c>
      <c r="B1326" s="1" t="s">
        <v>5926</v>
      </c>
      <c r="C1326" s="1" t="s">
        <v>5923</v>
      </c>
      <c r="D1326" s="1" t="s">
        <v>5924</v>
      </c>
      <c r="F1326" s="1" t="str">
        <f>"0472052535"</f>
        <v>0472052535</v>
      </c>
      <c r="G1326" s="1" t="str">
        <f>"9780472052530"</f>
        <v>9780472052530</v>
      </c>
      <c r="H1326" s="1">
        <v>0.0</v>
      </c>
      <c r="I1326" s="1">
        <v>4.17</v>
      </c>
      <c r="J1326" s="1" t="s">
        <v>5052</v>
      </c>
      <c r="K1326" s="1" t="s">
        <v>44</v>
      </c>
      <c r="L1326" s="1">
        <v>240.0</v>
      </c>
      <c r="M1326" s="1">
        <v>2015.0</v>
      </c>
      <c r="N1326" s="1">
        <v>2015.0</v>
      </c>
      <c r="P1326" s="3">
        <v>44194.0</v>
      </c>
      <c r="Q1326" s="1" t="s">
        <v>32</v>
      </c>
      <c r="R1326" s="1" t="s">
        <v>5927</v>
      </c>
      <c r="S1326" s="1" t="s">
        <v>32</v>
      </c>
      <c r="W1326" s="1">
        <v>0.0</v>
      </c>
      <c r="X1326" s="1">
        <v>0.0</v>
      </c>
    </row>
    <row r="1327" spans="1:24" ht="15.75" customHeight="1">
      <c r="A1327" s="1">
        <v>15962.0</v>
      </c>
      <c r="B1327" s="1" t="s">
        <v>5928</v>
      </c>
      <c r="C1327" s="1" t="s">
        <v>5929</v>
      </c>
      <c r="D1327" s="1" t="s">
        <v>5930</v>
      </c>
      <c r="F1327" s="1" t="str">
        <f>"0452265819"</f>
        <v>0452265819</v>
      </c>
      <c r="G1327" s="1" t="str">
        <f>"9780452265813"</f>
        <v>9780452265813</v>
      </c>
      <c r="H1327" s="1">
        <v>0.0</v>
      </c>
      <c r="I1327" s="1">
        <v>3.89</v>
      </c>
      <c r="J1327" s="1" t="s">
        <v>3748</v>
      </c>
      <c r="K1327" s="1" t="s">
        <v>44</v>
      </c>
      <c r="L1327" s="1">
        <v>416.0</v>
      </c>
      <c r="M1327" s="1">
        <v>1991.0</v>
      </c>
      <c r="N1327" s="1">
        <v>1990.0</v>
      </c>
      <c r="P1327" s="2">
        <v>45135.0</v>
      </c>
      <c r="Q1327" s="1" t="s">
        <v>32</v>
      </c>
      <c r="R1327" s="1" t="s">
        <v>5931</v>
      </c>
      <c r="S1327" s="1" t="s">
        <v>32</v>
      </c>
      <c r="W1327" s="1">
        <v>0.0</v>
      </c>
      <c r="X1327" s="1">
        <v>0.0</v>
      </c>
    </row>
    <row r="1328" spans="1:24" ht="15.75" customHeight="1">
      <c r="A1328" s="1">
        <v>1053395.0</v>
      </c>
      <c r="B1328" s="1" t="s">
        <v>5932</v>
      </c>
      <c r="C1328" s="1" t="s">
        <v>5933</v>
      </c>
      <c r="D1328" s="1" t="s">
        <v>5934</v>
      </c>
      <c r="F1328" s="1" t="str">
        <f>"8466320393"</f>
        <v>8466320393</v>
      </c>
      <c r="G1328" s="1" t="str">
        <f>"9788466320399"</f>
        <v>9788466320399</v>
      </c>
      <c r="H1328" s="1">
        <v>0.0</v>
      </c>
      <c r="I1328" s="1">
        <v>3.75</v>
      </c>
      <c r="J1328" s="1" t="s">
        <v>5935</v>
      </c>
      <c r="K1328" s="1" t="s">
        <v>44</v>
      </c>
      <c r="L1328" s="1">
        <v>96.0</v>
      </c>
      <c r="M1328" s="1">
        <v>2007.0</v>
      </c>
      <c r="N1328" s="1">
        <v>1939.0</v>
      </c>
      <c r="P1328" s="2">
        <v>43969.0</v>
      </c>
      <c r="Q1328" s="1" t="s">
        <v>32</v>
      </c>
      <c r="R1328" s="1" t="s">
        <v>5936</v>
      </c>
      <c r="S1328" s="1" t="s">
        <v>32</v>
      </c>
      <c r="W1328" s="1">
        <v>0.0</v>
      </c>
      <c r="X1328" s="1">
        <v>0.0</v>
      </c>
    </row>
    <row r="1329" spans="1:24" ht="15.75" customHeight="1">
      <c r="A1329" s="1">
        <v>833885.0</v>
      </c>
      <c r="B1329" s="1" t="s">
        <v>5937</v>
      </c>
      <c r="C1329" s="1" t="s">
        <v>5938</v>
      </c>
      <c r="D1329" s="1" t="s">
        <v>5939</v>
      </c>
      <c r="F1329" s="1" t="str">
        <f>"0802220835"</f>
        <v>0802220835</v>
      </c>
      <c r="G1329" s="1" t="str">
        <f>"9780802220837"</f>
        <v>9780802220837</v>
      </c>
      <c r="H1329" s="1">
        <v>0.0</v>
      </c>
      <c r="I1329" s="1">
        <v>4.15</v>
      </c>
      <c r="J1329" s="1" t="s">
        <v>5940</v>
      </c>
      <c r="K1329" s="1" t="s">
        <v>37</v>
      </c>
      <c r="L1329" s="1">
        <v>419.0</v>
      </c>
      <c r="M1329" s="1">
        <v>1971.0</v>
      </c>
      <c r="N1329" s="1">
        <v>1958.0</v>
      </c>
      <c r="P1329" s="2">
        <v>43934.0</v>
      </c>
      <c r="Q1329" s="1" t="s">
        <v>606</v>
      </c>
      <c r="R1329" s="1" t="s">
        <v>5941</v>
      </c>
      <c r="S1329" s="1" t="s">
        <v>32</v>
      </c>
      <c r="W1329" s="1">
        <v>0.0</v>
      </c>
      <c r="X1329" s="1">
        <v>1.0</v>
      </c>
    </row>
    <row r="1330" spans="1:24" ht="15.75" customHeight="1">
      <c r="A1330" s="1">
        <v>4.8659515E7</v>
      </c>
      <c r="B1330" s="1" t="s">
        <v>5942</v>
      </c>
      <c r="C1330" s="1" t="s">
        <v>5938</v>
      </c>
      <c r="D1330" s="1" t="s">
        <v>5939</v>
      </c>
      <c r="F1330" s="1" t="str">
        <f>"8494972553"</f>
        <v>8494972553</v>
      </c>
      <c r="G1330" s="1" t="str">
        <f>"9788494972553"</f>
        <v>9788494972553</v>
      </c>
      <c r="H1330" s="1">
        <v>0.0</v>
      </c>
      <c r="I1330" s="1">
        <v>3.6</v>
      </c>
      <c r="J1330" s="1" t="s">
        <v>5943</v>
      </c>
      <c r="K1330" s="1" t="s">
        <v>44</v>
      </c>
      <c r="L1330" s="1">
        <v>88.0</v>
      </c>
      <c r="M1330" s="1">
        <v>2019.0</v>
      </c>
      <c r="P1330" s="2">
        <v>44960.0</v>
      </c>
      <c r="Q1330" s="1" t="s">
        <v>32</v>
      </c>
      <c r="R1330" s="1" t="s">
        <v>5944</v>
      </c>
      <c r="S1330" s="1" t="s">
        <v>32</v>
      </c>
      <c r="W1330" s="1">
        <v>0.0</v>
      </c>
      <c r="X1330" s="1">
        <v>0.0</v>
      </c>
    </row>
    <row r="1331" spans="1:24" ht="15.75" customHeight="1">
      <c r="A1331" s="1">
        <v>2.1407766E7</v>
      </c>
      <c r="B1331" s="1" t="s">
        <v>5945</v>
      </c>
      <c r="C1331" s="1" t="s">
        <v>5938</v>
      </c>
      <c r="D1331" s="1" t="s">
        <v>5939</v>
      </c>
      <c r="F1331" s="1" t="str">
        <f>"8476580207"</f>
        <v>8476580207</v>
      </c>
      <c r="G1331" s="1" t="str">
        <f>"9788476580202"</f>
        <v>9788476580202</v>
      </c>
      <c r="H1331" s="1">
        <v>0.0</v>
      </c>
      <c r="I1331" s="1">
        <v>3.83</v>
      </c>
      <c r="J1331" s="1" t="s">
        <v>5946</v>
      </c>
      <c r="K1331" s="1" t="s">
        <v>44</v>
      </c>
      <c r="L1331" s="1">
        <v>128.0</v>
      </c>
      <c r="M1331" s="1">
        <v>1986.0</v>
      </c>
      <c r="N1331" s="1">
        <v>1986.0</v>
      </c>
      <c r="P1331" s="2">
        <v>43976.0</v>
      </c>
      <c r="Q1331" s="1" t="s">
        <v>32</v>
      </c>
      <c r="R1331" s="1" t="s">
        <v>5947</v>
      </c>
      <c r="S1331" s="1" t="s">
        <v>32</v>
      </c>
      <c r="W1331" s="1">
        <v>0.0</v>
      </c>
      <c r="X1331" s="1">
        <v>0.0</v>
      </c>
    </row>
    <row r="1332" spans="1:24" ht="15.75" customHeight="1">
      <c r="A1332" s="1">
        <v>615039.0</v>
      </c>
      <c r="B1332" s="1" t="s">
        <v>5948</v>
      </c>
      <c r="C1332" s="1" t="s">
        <v>5949</v>
      </c>
      <c r="D1332" s="1" t="s">
        <v>5950</v>
      </c>
      <c r="F1332" s="1" t="str">
        <f>"0521451469"</f>
        <v>0521451469</v>
      </c>
      <c r="G1332" s="1" t="str">
        <f>"9780521451468"</f>
        <v>9780521451468</v>
      </c>
      <c r="H1332" s="1">
        <v>0.0</v>
      </c>
      <c r="I1332" s="1">
        <v>3.96</v>
      </c>
      <c r="J1332" s="1" t="s">
        <v>388</v>
      </c>
      <c r="K1332" s="1" t="s">
        <v>37</v>
      </c>
      <c r="L1332" s="1">
        <v>352.0</v>
      </c>
      <c r="M1332" s="1">
        <v>1995.0</v>
      </c>
      <c r="N1332" s="1">
        <v>1995.0</v>
      </c>
      <c r="P1332" s="3">
        <v>45271.0</v>
      </c>
      <c r="Q1332" s="1" t="s">
        <v>479</v>
      </c>
      <c r="R1332" s="1" t="s">
        <v>5951</v>
      </c>
      <c r="S1332" s="1" t="s">
        <v>32</v>
      </c>
      <c r="W1332" s="1">
        <v>0.0</v>
      </c>
      <c r="X1332" s="1">
        <v>0.0</v>
      </c>
    </row>
    <row r="1333" spans="1:24" ht="15.75" customHeight="1">
      <c r="A1333" s="1">
        <v>1.6171259E7</v>
      </c>
      <c r="B1333" s="1" t="s">
        <v>5952</v>
      </c>
      <c r="C1333" s="1" t="s">
        <v>5953</v>
      </c>
      <c r="D1333" s="1" t="s">
        <v>5954</v>
      </c>
      <c r="E1333" s="1" t="s">
        <v>5955</v>
      </c>
      <c r="F1333" s="1" t="str">
        <f>"1594487480"</f>
        <v>1594487480</v>
      </c>
      <c r="G1333" s="1" t="str">
        <f>"9781594487484"</f>
        <v>9781594487484</v>
      </c>
      <c r="H1333" s="1">
        <v>0.0</v>
      </c>
      <c r="I1333" s="1">
        <v>3.83</v>
      </c>
      <c r="J1333" s="1" t="s">
        <v>2218</v>
      </c>
      <c r="K1333" s="1" t="s">
        <v>37</v>
      </c>
      <c r="L1333" s="1">
        <v>302.0</v>
      </c>
      <c r="M1333" s="1">
        <v>2014.0</v>
      </c>
      <c r="N1333" s="1">
        <v>2011.0</v>
      </c>
      <c r="P1333" s="2">
        <v>45235.0</v>
      </c>
      <c r="Q1333" s="1" t="s">
        <v>32</v>
      </c>
      <c r="R1333" s="1" t="s">
        <v>5956</v>
      </c>
      <c r="S1333" s="1" t="s">
        <v>32</v>
      </c>
      <c r="W1333" s="1">
        <v>0.0</v>
      </c>
      <c r="X1333" s="1">
        <v>0.0</v>
      </c>
    </row>
    <row r="1334" spans="1:24" ht="15.75" customHeight="1">
      <c r="A1334" s="1">
        <v>1.5712878E7</v>
      </c>
      <c r="B1334" s="1" t="s">
        <v>5957</v>
      </c>
      <c r="C1334" s="1" t="s">
        <v>5958</v>
      </c>
      <c r="D1334" s="1" t="s">
        <v>5959</v>
      </c>
      <c r="E1334" s="1" t="s">
        <v>5769</v>
      </c>
      <c r="F1334" s="1" t="str">
        <f>"1934824682"</f>
        <v>1934824682</v>
      </c>
      <c r="G1334" s="1" t="str">
        <f>"9781934824689"</f>
        <v>9781934824689</v>
      </c>
      <c r="H1334" s="1">
        <v>0.0</v>
      </c>
      <c r="I1334" s="1">
        <v>3.93</v>
      </c>
      <c r="J1334" s="1" t="s">
        <v>706</v>
      </c>
      <c r="K1334" s="1" t="s">
        <v>44</v>
      </c>
      <c r="L1334" s="1">
        <v>208.0</v>
      </c>
      <c r="M1334" s="1">
        <v>2012.0</v>
      </c>
      <c r="N1334" s="1">
        <v>2012.0</v>
      </c>
      <c r="P1334" s="2">
        <v>44252.0</v>
      </c>
      <c r="Q1334" s="1" t="s">
        <v>32</v>
      </c>
      <c r="R1334" s="1" t="s">
        <v>5960</v>
      </c>
      <c r="S1334" s="1" t="s">
        <v>32</v>
      </c>
      <c r="W1334" s="1">
        <v>0.0</v>
      </c>
      <c r="X1334" s="1">
        <v>0.0</v>
      </c>
    </row>
    <row r="1335" spans="1:24" ht="15.75" customHeight="1">
      <c r="A1335" s="1">
        <v>1.0957388E7</v>
      </c>
      <c r="B1335" s="1" t="s">
        <v>5961</v>
      </c>
      <c r="C1335" s="1" t="s">
        <v>5962</v>
      </c>
      <c r="D1335" s="1" t="s">
        <v>5963</v>
      </c>
      <c r="E1335" s="1" t="s">
        <v>5964</v>
      </c>
      <c r="F1335" s="1" t="str">
        <f>"1564786358"</f>
        <v>1564786358</v>
      </c>
      <c r="G1335" s="1" t="str">
        <f>"9781564786357"</f>
        <v>9781564786357</v>
      </c>
      <c r="H1335" s="1">
        <v>0.0</v>
      </c>
      <c r="I1335" s="1">
        <v>3.33</v>
      </c>
      <c r="J1335" s="1" t="s">
        <v>2337</v>
      </c>
      <c r="K1335" s="1" t="s">
        <v>44</v>
      </c>
      <c r="L1335" s="1">
        <v>160.0</v>
      </c>
      <c r="M1335" s="1">
        <v>2011.0</v>
      </c>
      <c r="P1335" s="2">
        <v>45101.0</v>
      </c>
      <c r="Q1335" s="1" t="s">
        <v>32</v>
      </c>
      <c r="R1335" s="1" t="s">
        <v>5965</v>
      </c>
      <c r="S1335" s="1" t="s">
        <v>32</v>
      </c>
      <c r="W1335" s="1">
        <v>0.0</v>
      </c>
      <c r="X1335" s="1">
        <v>0.0</v>
      </c>
    </row>
    <row r="1336" spans="1:24" ht="15.75" customHeight="1">
      <c r="A1336" s="1">
        <v>1.2390139E7</v>
      </c>
      <c r="B1336" s="1" t="s">
        <v>5966</v>
      </c>
      <c r="C1336" s="1" t="s">
        <v>5967</v>
      </c>
      <c r="D1336" s="1" t="s">
        <v>5968</v>
      </c>
      <c r="F1336" s="1" t="str">
        <f>"6077646083"</f>
        <v>6077646083</v>
      </c>
      <c r="G1336" s="1" t="str">
        <f>"9786077646082"</f>
        <v>9786077646082</v>
      </c>
      <c r="H1336" s="1">
        <v>0.0</v>
      </c>
      <c r="I1336" s="1">
        <v>4.06</v>
      </c>
      <c r="J1336" s="1" t="s">
        <v>5969</v>
      </c>
      <c r="K1336" s="1" t="s">
        <v>44</v>
      </c>
      <c r="L1336" s="1">
        <v>48.0</v>
      </c>
      <c r="M1336" s="1">
        <v>2009.0</v>
      </c>
      <c r="P1336" s="2">
        <v>45115.0</v>
      </c>
      <c r="Q1336" s="1" t="s">
        <v>32</v>
      </c>
      <c r="R1336" s="1" t="s">
        <v>5970</v>
      </c>
      <c r="S1336" s="1" t="s">
        <v>32</v>
      </c>
      <c r="W1336" s="1">
        <v>0.0</v>
      </c>
      <c r="X1336" s="1">
        <v>0.0</v>
      </c>
    </row>
    <row r="1337" spans="1:24" ht="15.75" customHeight="1">
      <c r="A1337" s="1">
        <v>1153141.0</v>
      </c>
      <c r="B1337" s="1" t="s">
        <v>5971</v>
      </c>
      <c r="C1337" s="1" t="s">
        <v>5967</v>
      </c>
      <c r="D1337" s="1" t="s">
        <v>5968</v>
      </c>
      <c r="F1337" s="1" t="str">
        <f>"9682700701"</f>
        <v>9682700701</v>
      </c>
      <c r="G1337" s="1" t="str">
        <f>"9789682700705"</f>
        <v>9789682700705</v>
      </c>
      <c r="H1337" s="1">
        <v>0.0</v>
      </c>
      <c r="I1337" s="1">
        <v>4.03</v>
      </c>
      <c r="J1337" s="1" t="s">
        <v>5972</v>
      </c>
      <c r="K1337" s="1" t="s">
        <v>44</v>
      </c>
      <c r="L1337" s="1">
        <v>163.0</v>
      </c>
      <c r="M1337" s="1">
        <v>1971.0</v>
      </c>
      <c r="N1337" s="1">
        <v>1952.0</v>
      </c>
      <c r="P1337" s="2">
        <v>44252.0</v>
      </c>
      <c r="Q1337" s="1" t="s">
        <v>32</v>
      </c>
      <c r="R1337" s="1" t="s">
        <v>5973</v>
      </c>
      <c r="S1337" s="1" t="s">
        <v>32</v>
      </c>
      <c r="W1337" s="1">
        <v>0.0</v>
      </c>
      <c r="X1337" s="1">
        <v>0.0</v>
      </c>
    </row>
    <row r="1338" spans="1:24" ht="15.75" customHeight="1">
      <c r="A1338" s="1">
        <v>2.9851672E7</v>
      </c>
      <c r="B1338" s="1" t="s">
        <v>5974</v>
      </c>
      <c r="C1338" s="1" t="s">
        <v>5975</v>
      </c>
      <c r="D1338" s="1" t="s">
        <v>5976</v>
      </c>
      <c r="F1338" s="1" t="str">
        <f>"8432229148"</f>
        <v>8432229148</v>
      </c>
      <c r="G1338" s="1" t="str">
        <f>"9788432229145"</f>
        <v>9788432229145</v>
      </c>
      <c r="H1338" s="1">
        <v>0.0</v>
      </c>
      <c r="I1338" s="1">
        <v>3.77</v>
      </c>
      <c r="J1338" s="1" t="s">
        <v>5977</v>
      </c>
      <c r="K1338" s="1" t="s">
        <v>29</v>
      </c>
      <c r="L1338" s="1">
        <v>206.0</v>
      </c>
      <c r="M1338" s="1">
        <v>2016.0</v>
      </c>
      <c r="N1338" s="1">
        <v>2016.0</v>
      </c>
      <c r="P1338" s="2">
        <v>42542.0</v>
      </c>
      <c r="Q1338" s="1" t="s">
        <v>32</v>
      </c>
      <c r="R1338" s="1" t="s">
        <v>5978</v>
      </c>
      <c r="S1338" s="1" t="s">
        <v>32</v>
      </c>
      <c r="W1338" s="1">
        <v>0.0</v>
      </c>
      <c r="X1338" s="1">
        <v>0.0</v>
      </c>
    </row>
    <row r="1339" spans="1:24" ht="15.75" customHeight="1">
      <c r="A1339" s="1">
        <v>8757106.0</v>
      </c>
      <c r="B1339" s="1" t="s">
        <v>5979</v>
      </c>
      <c r="C1339" s="1" t="s">
        <v>5980</v>
      </c>
      <c r="D1339" s="1" t="s">
        <v>5981</v>
      </c>
      <c r="F1339" s="1" t="str">
        <f>"6077720682"</f>
        <v>6077720682</v>
      </c>
      <c r="G1339" s="1" t="str">
        <f>"9786077720683"</f>
        <v>9786077720683</v>
      </c>
      <c r="H1339" s="1">
        <v>0.0</v>
      </c>
      <c r="I1339" s="1">
        <v>3.77</v>
      </c>
      <c r="J1339" s="1" t="s">
        <v>275</v>
      </c>
      <c r="K1339" s="1" t="s">
        <v>44</v>
      </c>
      <c r="L1339" s="1">
        <v>104.0</v>
      </c>
      <c r="M1339" s="1">
        <v>2010.0</v>
      </c>
      <c r="N1339" s="1">
        <v>2010.0</v>
      </c>
      <c r="P1339" s="2">
        <v>43984.0</v>
      </c>
      <c r="Q1339" s="1" t="s">
        <v>32</v>
      </c>
      <c r="R1339" s="1" t="s">
        <v>5982</v>
      </c>
      <c r="S1339" s="1" t="s">
        <v>32</v>
      </c>
      <c r="W1339" s="1">
        <v>0.0</v>
      </c>
      <c r="X1339" s="1">
        <v>0.0</v>
      </c>
    </row>
    <row r="1340" spans="1:24" ht="15.75" customHeight="1">
      <c r="A1340" s="1">
        <v>3.3258947E7</v>
      </c>
      <c r="B1340" s="1" t="s">
        <v>5983</v>
      </c>
      <c r="C1340" s="1" t="s">
        <v>5984</v>
      </c>
      <c r="D1340" s="1" t="s">
        <v>5985</v>
      </c>
      <c r="F1340" s="1" t="str">
        <f>"9871882564"</f>
        <v>9871882564</v>
      </c>
      <c r="G1340" s="1" t="str">
        <f>"9789871882564"</f>
        <v>9789871882564</v>
      </c>
      <c r="H1340" s="1">
        <v>0.0</v>
      </c>
      <c r="I1340" s="1">
        <v>4.29</v>
      </c>
      <c r="J1340" s="1" t="s">
        <v>5986</v>
      </c>
      <c r="K1340" s="1" t="s">
        <v>44</v>
      </c>
      <c r="L1340" s="1">
        <v>174.0</v>
      </c>
      <c r="M1340" s="1">
        <v>2016.0</v>
      </c>
      <c r="N1340" s="1">
        <v>2016.0</v>
      </c>
      <c r="P1340" s="2">
        <v>43963.0</v>
      </c>
      <c r="Q1340" s="1" t="s">
        <v>32</v>
      </c>
      <c r="R1340" s="1" t="s">
        <v>5987</v>
      </c>
      <c r="S1340" s="1" t="s">
        <v>32</v>
      </c>
      <c r="W1340" s="1">
        <v>0.0</v>
      </c>
      <c r="X1340" s="1">
        <v>0.0</v>
      </c>
    </row>
    <row r="1341" spans="1:24" ht="15.75" customHeight="1">
      <c r="A1341" s="1">
        <v>7916776.0</v>
      </c>
      <c r="B1341" s="1" t="s">
        <v>5988</v>
      </c>
      <c r="C1341" s="1" t="s">
        <v>5989</v>
      </c>
      <c r="D1341" s="1" t="s">
        <v>5990</v>
      </c>
      <c r="E1341" s="1" t="s">
        <v>5991</v>
      </c>
      <c r="F1341" s="1" t="str">
        <f>"9879395174"</f>
        <v>9879395174</v>
      </c>
      <c r="G1341" s="1" t="str">
        <f>"9789879395172"</f>
        <v>9789879395172</v>
      </c>
      <c r="H1341" s="1">
        <v>0.0</v>
      </c>
      <c r="I1341" s="1">
        <v>0.0</v>
      </c>
      <c r="J1341" s="1" t="s">
        <v>5992</v>
      </c>
      <c r="K1341" s="1" t="s">
        <v>37</v>
      </c>
      <c r="L1341" s="1">
        <v>136.0</v>
      </c>
      <c r="M1341" s="1">
        <v>2015.0</v>
      </c>
      <c r="N1341" s="1">
        <v>2004.0</v>
      </c>
      <c r="P1341" s="2">
        <v>44065.0</v>
      </c>
      <c r="Q1341" s="1" t="s">
        <v>5993</v>
      </c>
      <c r="R1341" s="1" t="s">
        <v>5994</v>
      </c>
      <c r="S1341" s="1" t="s">
        <v>32</v>
      </c>
      <c r="W1341" s="1">
        <v>0.0</v>
      </c>
      <c r="X1341" s="1">
        <v>0.0</v>
      </c>
    </row>
    <row r="1342" spans="1:24" ht="15.75" customHeight="1">
      <c r="A1342" s="1">
        <v>199594.0</v>
      </c>
      <c r="B1342" s="1" t="s">
        <v>5995</v>
      </c>
      <c r="C1342" s="1" t="s">
        <v>5996</v>
      </c>
      <c r="D1342" s="1" t="s">
        <v>5997</v>
      </c>
      <c r="F1342" s="1" t="str">
        <f>"0521400740"</f>
        <v>0521400740</v>
      </c>
      <c r="G1342" s="1" t="str">
        <f>"9780521400749"</f>
        <v>9780521400749</v>
      </c>
      <c r="H1342" s="1">
        <v>0.0</v>
      </c>
      <c r="I1342" s="1">
        <v>4.16</v>
      </c>
      <c r="J1342" s="1" t="s">
        <v>388</v>
      </c>
      <c r="K1342" s="1" t="s">
        <v>37</v>
      </c>
      <c r="L1342" s="1">
        <v>483.0</v>
      </c>
      <c r="M1342" s="1">
        <v>1992.0</v>
      </c>
      <c r="N1342" s="1">
        <v>1975.0</v>
      </c>
      <c r="P1342" s="2">
        <v>43926.0</v>
      </c>
      <c r="Q1342" s="1" t="s">
        <v>32</v>
      </c>
      <c r="R1342" s="1" t="s">
        <v>5998</v>
      </c>
      <c r="S1342" s="1" t="s">
        <v>32</v>
      </c>
      <c r="W1342" s="1">
        <v>0.0</v>
      </c>
      <c r="X1342" s="1">
        <v>0.0</v>
      </c>
    </row>
    <row r="1343" spans="1:24" ht="15.75" customHeight="1">
      <c r="A1343" s="1">
        <v>2.5489317E7</v>
      </c>
      <c r="B1343" s="1" t="s">
        <v>5999</v>
      </c>
      <c r="C1343" s="1" t="s">
        <v>6000</v>
      </c>
      <c r="D1343" s="1" t="s">
        <v>6001</v>
      </c>
      <c r="F1343" s="1" t="str">
        <f>"1784782475"</f>
        <v>1784782475</v>
      </c>
      <c r="G1343" s="1" t="str">
        <f>"9781784782474"</f>
        <v>9781784782474</v>
      </c>
      <c r="H1343" s="1">
        <v>0.0</v>
      </c>
      <c r="I1343" s="1">
        <v>4.18</v>
      </c>
      <c r="J1343" s="1" t="s">
        <v>367</v>
      </c>
      <c r="K1343" s="1" t="s">
        <v>44</v>
      </c>
      <c r="L1343" s="1">
        <v>193.0</v>
      </c>
      <c r="M1343" s="1">
        <v>2016.0</v>
      </c>
      <c r="N1343" s="1">
        <v>2009.0</v>
      </c>
      <c r="P1343" s="2">
        <v>42864.0</v>
      </c>
      <c r="Q1343" s="1" t="s">
        <v>6002</v>
      </c>
      <c r="R1343" s="1" t="s">
        <v>6003</v>
      </c>
      <c r="S1343" s="1" t="s">
        <v>32</v>
      </c>
      <c r="W1343" s="1">
        <v>0.0</v>
      </c>
      <c r="X1343" s="1">
        <v>1.0</v>
      </c>
    </row>
    <row r="1344" spans="1:24" ht="15.75" customHeight="1">
      <c r="A1344" s="21">
        <v>85767.0</v>
      </c>
      <c r="B1344" s="21" t="s">
        <v>6004</v>
      </c>
      <c r="C1344" s="21" t="s">
        <v>6000</v>
      </c>
      <c r="D1344" s="21" t="s">
        <v>6001</v>
      </c>
      <c r="E1344" s="22"/>
      <c r="F1344" s="21" t="str">
        <f>"0415389550"</f>
        <v>0415389550</v>
      </c>
      <c r="G1344" s="21" t="str">
        <f>"9780415389556"</f>
        <v>9780415389556</v>
      </c>
      <c r="H1344" s="21">
        <v>0.0</v>
      </c>
      <c r="I1344" s="21">
        <v>4.05</v>
      </c>
      <c r="J1344" s="21" t="s">
        <v>280</v>
      </c>
      <c r="K1344" s="21" t="s">
        <v>44</v>
      </c>
      <c r="L1344" s="21">
        <v>236.0</v>
      </c>
      <c r="M1344" s="21">
        <v>2006.0</v>
      </c>
      <c r="N1344" s="21">
        <v>1989.0</v>
      </c>
      <c r="O1344" s="22"/>
      <c r="P1344" s="23">
        <v>45169.0</v>
      </c>
      <c r="Q1344" s="24" t="s">
        <v>871</v>
      </c>
      <c r="R1344" s="21" t="s">
        <v>6005</v>
      </c>
      <c r="S1344" s="21" t="s">
        <v>32</v>
      </c>
      <c r="T1344" s="22"/>
      <c r="U1344" s="22"/>
      <c r="V1344" s="22"/>
      <c r="W1344" s="21">
        <v>0.0</v>
      </c>
      <c r="X1344" s="21">
        <v>0.0</v>
      </c>
    </row>
    <row r="1345" spans="1:24" ht="15.75" customHeight="1">
      <c r="A1345" s="21">
        <v>181549.0</v>
      </c>
      <c r="B1345" s="21" t="s">
        <v>6006</v>
      </c>
      <c r="C1345" s="21" t="s">
        <v>6000</v>
      </c>
      <c r="D1345" s="21" t="s">
        <v>6001</v>
      </c>
      <c r="E1345" s="22"/>
      <c r="F1345" s="21" t="str">
        <f>"0415903661"</f>
        <v>0415903661</v>
      </c>
      <c r="G1345" s="21" t="str">
        <f>"9780415903660"</f>
        <v>9780415903660</v>
      </c>
      <c r="H1345" s="21">
        <v>0.0</v>
      </c>
      <c r="I1345" s="21">
        <v>4.11</v>
      </c>
      <c r="J1345" s="21" t="s">
        <v>280</v>
      </c>
      <c r="K1345" s="21" t="s">
        <v>44</v>
      </c>
      <c r="L1345" s="21">
        <v>304.0</v>
      </c>
      <c r="M1345" s="21">
        <v>1993.0</v>
      </c>
      <c r="N1345" s="21">
        <v>1993.0</v>
      </c>
      <c r="O1345" s="22"/>
      <c r="P1345" s="23">
        <v>45169.0</v>
      </c>
      <c r="Q1345" s="24" t="s">
        <v>871</v>
      </c>
      <c r="R1345" s="21" t="s">
        <v>6007</v>
      </c>
      <c r="S1345" s="21" t="s">
        <v>32</v>
      </c>
      <c r="T1345" s="22"/>
      <c r="U1345" s="22"/>
      <c r="V1345" s="22"/>
      <c r="W1345" s="21">
        <v>0.0</v>
      </c>
      <c r="X1345" s="21">
        <v>0.0</v>
      </c>
    </row>
    <row r="1346" spans="1:24" ht="15.75" customHeight="1">
      <c r="A1346" s="1">
        <v>3.9999461E7</v>
      </c>
      <c r="B1346" s="1" t="s">
        <v>6008</v>
      </c>
      <c r="C1346" s="1" t="s">
        <v>6009</v>
      </c>
      <c r="D1346" s="1" t="s">
        <v>6010</v>
      </c>
      <c r="F1346" s="1" t="str">
        <f>"0385542844"</f>
        <v>0385542844</v>
      </c>
      <c r="G1346" s="1" t="str">
        <f>"9780385542845"</f>
        <v>9780385542845</v>
      </c>
      <c r="H1346" s="1">
        <v>0.0</v>
      </c>
      <c r="I1346" s="1">
        <v>4.12</v>
      </c>
      <c r="J1346" s="1" t="s">
        <v>4138</v>
      </c>
      <c r="K1346" s="1" t="s">
        <v>37</v>
      </c>
      <c r="L1346" s="1">
        <v>243.0</v>
      </c>
      <c r="M1346" s="1">
        <v>2019.0</v>
      </c>
      <c r="N1346" s="1">
        <v>2019.0</v>
      </c>
      <c r="P1346" s="2">
        <v>45153.0</v>
      </c>
      <c r="Q1346" s="1" t="s">
        <v>32</v>
      </c>
      <c r="R1346" s="1" t="s">
        <v>6011</v>
      </c>
      <c r="S1346" s="1" t="s">
        <v>32</v>
      </c>
      <c r="W1346" s="1">
        <v>0.0</v>
      </c>
      <c r="X1346" s="1">
        <v>0.0</v>
      </c>
    </row>
    <row r="1347" spans="1:24" ht="15.75" customHeight="1">
      <c r="A1347" s="1">
        <v>5.137895E7</v>
      </c>
      <c r="B1347" s="1" t="s">
        <v>6012</v>
      </c>
      <c r="C1347" s="1" t="s">
        <v>6013</v>
      </c>
      <c r="D1347" s="1" t="s">
        <v>6014</v>
      </c>
      <c r="E1347" s="1" t="s">
        <v>6015</v>
      </c>
      <c r="F1347" s="1" t="str">
        <f>"1529400791"</f>
        <v>1529400791</v>
      </c>
      <c r="G1347" s="1" t="str">
        <f>"9781529400793"</f>
        <v>9781529400793</v>
      </c>
      <c r="H1347" s="1">
        <v>0.0</v>
      </c>
      <c r="I1347" s="1">
        <v>3.36</v>
      </c>
      <c r="J1347" s="1" t="s">
        <v>5619</v>
      </c>
      <c r="K1347" s="1" t="s">
        <v>37</v>
      </c>
      <c r="L1347" s="1">
        <v>256.0</v>
      </c>
      <c r="M1347" s="1">
        <v>2020.0</v>
      </c>
      <c r="N1347" s="1">
        <v>2018.0</v>
      </c>
      <c r="P1347" s="2">
        <v>44508.0</v>
      </c>
      <c r="Q1347" s="1" t="s">
        <v>32</v>
      </c>
      <c r="R1347" s="1" t="s">
        <v>6016</v>
      </c>
      <c r="S1347" s="1" t="s">
        <v>32</v>
      </c>
      <c r="W1347" s="1">
        <v>0.0</v>
      </c>
      <c r="X1347" s="1">
        <v>0.0</v>
      </c>
    </row>
    <row r="1348" spans="1:24" ht="15.75" customHeight="1">
      <c r="A1348" s="1">
        <v>5.5766187E7</v>
      </c>
      <c r="B1348" s="1" t="s">
        <v>6017</v>
      </c>
      <c r="C1348" s="1" t="s">
        <v>6018</v>
      </c>
      <c r="D1348" s="1" t="s">
        <v>6019</v>
      </c>
      <c r="F1348" s="1" t="str">
        <f>"1999922379"</f>
        <v>1999922379</v>
      </c>
      <c r="G1348" s="1" t="str">
        <f>"9781999922375"</f>
        <v>9781999922375</v>
      </c>
      <c r="H1348" s="1">
        <v>0.0</v>
      </c>
      <c r="I1348" s="1">
        <v>4.31</v>
      </c>
      <c r="J1348" s="1" t="s">
        <v>6020</v>
      </c>
      <c r="K1348" s="1" t="s">
        <v>44</v>
      </c>
      <c r="L1348" s="1">
        <v>128.0</v>
      </c>
      <c r="M1348" s="1">
        <v>2020.0</v>
      </c>
      <c r="N1348" s="1">
        <v>2020.0</v>
      </c>
      <c r="P1348" s="2">
        <v>45153.0</v>
      </c>
      <c r="Q1348" s="1" t="s">
        <v>32</v>
      </c>
      <c r="R1348" s="1" t="s">
        <v>6021</v>
      </c>
      <c r="S1348" s="1" t="s">
        <v>32</v>
      </c>
      <c r="W1348" s="1">
        <v>0.0</v>
      </c>
      <c r="X1348" s="1">
        <v>0.0</v>
      </c>
    </row>
    <row r="1349" spans="1:24" ht="15.75" customHeight="1">
      <c r="A1349" s="1">
        <v>153274.0</v>
      </c>
      <c r="B1349" s="1" t="s">
        <v>6022</v>
      </c>
      <c r="C1349" s="1" t="s">
        <v>6023</v>
      </c>
      <c r="D1349" s="1" t="s">
        <v>6024</v>
      </c>
      <c r="E1349" s="1" t="s">
        <v>6025</v>
      </c>
      <c r="F1349" s="1" t="str">
        <f>"0231067070"</f>
        <v>0231067070</v>
      </c>
      <c r="G1349" s="1" t="str">
        <f>"9780231067072"</f>
        <v>9780231067072</v>
      </c>
      <c r="H1349" s="1">
        <v>0.0</v>
      </c>
      <c r="I1349" s="1">
        <v>4.03</v>
      </c>
      <c r="J1349" s="1" t="s">
        <v>2055</v>
      </c>
      <c r="K1349" s="1" t="s">
        <v>44</v>
      </c>
      <c r="L1349" s="1">
        <v>300.0</v>
      </c>
      <c r="M1349" s="1">
        <v>1992.0</v>
      </c>
      <c r="N1349" s="1">
        <v>1987.0</v>
      </c>
      <c r="P1349" s="2">
        <v>45171.0</v>
      </c>
      <c r="Q1349" s="1" t="s">
        <v>249</v>
      </c>
      <c r="R1349" s="1" t="s">
        <v>6026</v>
      </c>
      <c r="S1349" s="1" t="s">
        <v>32</v>
      </c>
      <c r="W1349" s="1">
        <v>0.0</v>
      </c>
      <c r="X1349" s="1">
        <v>0.0</v>
      </c>
    </row>
    <row r="1350" spans="1:24" ht="15.75" customHeight="1">
      <c r="A1350" s="1">
        <v>4.0316154E7</v>
      </c>
      <c r="B1350" s="1" t="s">
        <v>6027</v>
      </c>
      <c r="C1350" s="1" t="s">
        <v>6028</v>
      </c>
      <c r="D1350" s="1" t="s">
        <v>6029</v>
      </c>
      <c r="F1350" s="1" t="str">
        <f>"9877690055"</f>
        <v>9877690055</v>
      </c>
      <c r="G1350" s="1" t="str">
        <f>"9789877690057"</f>
        <v>9789877690057</v>
      </c>
      <c r="H1350" s="1">
        <v>0.0</v>
      </c>
      <c r="I1350" s="1">
        <v>3.81</v>
      </c>
      <c r="J1350" s="1" t="s">
        <v>2148</v>
      </c>
      <c r="K1350" s="1" t="s">
        <v>44</v>
      </c>
      <c r="L1350" s="1">
        <v>176.0</v>
      </c>
      <c r="M1350" s="1">
        <v>2018.0</v>
      </c>
      <c r="N1350" s="1">
        <v>2018.0</v>
      </c>
      <c r="P1350" s="2">
        <v>43976.0</v>
      </c>
      <c r="Q1350" s="1" t="s">
        <v>32</v>
      </c>
      <c r="R1350" s="1" t="s">
        <v>6030</v>
      </c>
      <c r="S1350" s="1" t="s">
        <v>32</v>
      </c>
      <c r="W1350" s="1">
        <v>0.0</v>
      </c>
      <c r="X1350" s="1">
        <v>0.0</v>
      </c>
    </row>
    <row r="1351" spans="1:24" ht="15.75" customHeight="1">
      <c r="A1351" s="1">
        <v>4.2068288E7</v>
      </c>
      <c r="B1351" s="1" t="s">
        <v>6031</v>
      </c>
      <c r="C1351" s="1" t="s">
        <v>6032</v>
      </c>
      <c r="D1351" s="1" t="s">
        <v>6033</v>
      </c>
      <c r="F1351" s="1" t="str">
        <f>"1783782285"</f>
        <v>1783782285</v>
      </c>
      <c r="G1351" s="1" t="str">
        <f>"9781783782284"</f>
        <v>9781783782284</v>
      </c>
      <c r="H1351" s="1">
        <v>0.0</v>
      </c>
      <c r="I1351" s="1">
        <v>3.7</v>
      </c>
      <c r="J1351" s="1" t="s">
        <v>6034</v>
      </c>
      <c r="K1351" s="1" t="s">
        <v>37</v>
      </c>
      <c r="L1351" s="1">
        <v>432.0</v>
      </c>
      <c r="M1351" s="1">
        <v>2018.0</v>
      </c>
      <c r="N1351" s="1">
        <v>2018.0</v>
      </c>
      <c r="P1351" s="2">
        <v>44242.0</v>
      </c>
      <c r="Q1351" s="1" t="s">
        <v>38</v>
      </c>
      <c r="R1351" s="1" t="s">
        <v>6035</v>
      </c>
      <c r="S1351" s="1" t="s">
        <v>32</v>
      </c>
      <c r="W1351" s="1">
        <v>0.0</v>
      </c>
      <c r="X1351" s="1">
        <v>0.0</v>
      </c>
    </row>
    <row r="1352" spans="1:24" ht="15.75" customHeight="1">
      <c r="A1352" s="1">
        <v>1.0746542E7</v>
      </c>
      <c r="B1352" s="1" t="s">
        <v>6036</v>
      </c>
      <c r="C1352" s="1" t="s">
        <v>6037</v>
      </c>
      <c r="D1352" s="1" t="s">
        <v>6038</v>
      </c>
      <c r="F1352" s="1" t="str">
        <f>"0224094157"</f>
        <v>0224094157</v>
      </c>
      <c r="G1352" s="1" t="str">
        <f>"9780224094153"</f>
        <v>9780224094153</v>
      </c>
      <c r="H1352" s="1">
        <v>0.0</v>
      </c>
      <c r="I1352" s="1">
        <v>3.74</v>
      </c>
      <c r="J1352" s="1" t="s">
        <v>1912</v>
      </c>
      <c r="K1352" s="1" t="s">
        <v>37</v>
      </c>
      <c r="L1352" s="1">
        <v>150.0</v>
      </c>
      <c r="M1352" s="1">
        <v>2011.0</v>
      </c>
      <c r="N1352" s="1">
        <v>2011.0</v>
      </c>
      <c r="P1352" s="2">
        <v>45111.0</v>
      </c>
      <c r="Q1352" s="1" t="s">
        <v>261</v>
      </c>
      <c r="R1352" s="1" t="s">
        <v>6039</v>
      </c>
      <c r="S1352" s="1" t="s">
        <v>32</v>
      </c>
      <c r="W1352" s="1">
        <v>0.0</v>
      </c>
      <c r="X1352" s="1">
        <v>0.0</v>
      </c>
    </row>
    <row r="1353" spans="1:24" ht="15.75" customHeight="1">
      <c r="A1353" s="1">
        <v>2.6828302E7</v>
      </c>
      <c r="B1353" s="1" t="s">
        <v>6040</v>
      </c>
      <c r="C1353" s="1" t="s">
        <v>6041</v>
      </c>
      <c r="D1353" s="1" t="s">
        <v>6042</v>
      </c>
      <c r="F1353" s="1" t="str">
        <f>"6073134150"</f>
        <v>6073134150</v>
      </c>
      <c r="G1353" s="1" t="str">
        <f>"9786073134156"</f>
        <v>9786073134156</v>
      </c>
      <c r="H1353" s="1">
        <v>0.0</v>
      </c>
      <c r="I1353" s="1">
        <v>3.88</v>
      </c>
      <c r="J1353" s="1" t="s">
        <v>6043</v>
      </c>
      <c r="K1353" s="1" t="s">
        <v>29</v>
      </c>
      <c r="L1353" s="1">
        <v>303.0</v>
      </c>
      <c r="M1353" s="1">
        <v>2015.0</v>
      </c>
      <c r="N1353" s="1">
        <v>2015.0</v>
      </c>
      <c r="P1353" s="2">
        <v>44097.0</v>
      </c>
      <c r="Q1353" s="1" t="s">
        <v>32</v>
      </c>
      <c r="R1353" s="1" t="s">
        <v>6044</v>
      </c>
      <c r="S1353" s="1" t="s">
        <v>32</v>
      </c>
      <c r="W1353" s="1">
        <v>0.0</v>
      </c>
      <c r="X1353" s="1">
        <v>0.0</v>
      </c>
    </row>
    <row r="1354" spans="1:24" ht="15.75" customHeight="1">
      <c r="A1354" s="1">
        <v>22478.0</v>
      </c>
      <c r="B1354" s="1" t="s">
        <v>6045</v>
      </c>
      <c r="C1354" s="1" t="s">
        <v>6046</v>
      </c>
      <c r="D1354" s="1" t="s">
        <v>6047</v>
      </c>
      <c r="F1354" s="1" t="str">
        <f>"0618057072"</f>
        <v>0618057072</v>
      </c>
      <c r="G1354" s="1" t="str">
        <f>"9780618057078"</f>
        <v>9780618057078</v>
      </c>
      <c r="H1354" s="1">
        <v>0.0</v>
      </c>
      <c r="I1354" s="1">
        <v>4.26</v>
      </c>
      <c r="J1354" s="1" t="s">
        <v>468</v>
      </c>
      <c r="K1354" s="1" t="s">
        <v>44</v>
      </c>
      <c r="L1354" s="1">
        <v>491.0</v>
      </c>
      <c r="M1354" s="1">
        <v>2000.0</v>
      </c>
      <c r="N1354" s="1">
        <v>1976.0</v>
      </c>
      <c r="P1354" s="3">
        <v>44153.0</v>
      </c>
      <c r="Q1354" s="1" t="s">
        <v>32</v>
      </c>
      <c r="R1354" s="1" t="s">
        <v>6048</v>
      </c>
      <c r="S1354" s="1" t="s">
        <v>32</v>
      </c>
      <c r="W1354" s="1">
        <v>0.0</v>
      </c>
      <c r="X1354" s="1">
        <v>0.0</v>
      </c>
    </row>
    <row r="1355" spans="1:24" ht="15.75" customHeight="1">
      <c r="A1355" s="1">
        <v>1601408.0</v>
      </c>
      <c r="B1355" s="1" t="s">
        <v>6049</v>
      </c>
      <c r="C1355" s="1" t="s">
        <v>6050</v>
      </c>
      <c r="D1355" s="1" t="s">
        <v>6051</v>
      </c>
      <c r="E1355" s="1" t="s">
        <v>6052</v>
      </c>
      <c r="F1355" s="1" t="str">
        <f>"0486217396"</f>
        <v>0486217396</v>
      </c>
      <c r="G1355" s="1" t="str">
        <f>"9780486217390"</f>
        <v>9780486217390</v>
      </c>
      <c r="H1355" s="1">
        <v>0.0</v>
      </c>
      <c r="I1355" s="1">
        <v>3.95</v>
      </c>
      <c r="J1355" s="1" t="s">
        <v>910</v>
      </c>
      <c r="K1355" s="1" t="s">
        <v>44</v>
      </c>
      <c r="L1355" s="1">
        <v>544.0</v>
      </c>
      <c r="M1355" s="1">
        <v>1967.0</v>
      </c>
      <c r="N1355" s="1">
        <v>1941.0</v>
      </c>
      <c r="P1355" s="2">
        <v>44464.0</v>
      </c>
      <c r="Q1355" s="1" t="s">
        <v>38</v>
      </c>
      <c r="R1355" s="1" t="s">
        <v>6053</v>
      </c>
      <c r="S1355" s="1" t="s">
        <v>32</v>
      </c>
      <c r="W1355" s="1">
        <v>0.0</v>
      </c>
      <c r="X1355" s="1">
        <v>0.0</v>
      </c>
    </row>
    <row r="1356" spans="1:24" ht="15.75" customHeight="1">
      <c r="A1356" s="1">
        <v>1.2078712E7</v>
      </c>
      <c r="B1356" s="1" t="s">
        <v>6054</v>
      </c>
      <c r="C1356" s="1" t="s">
        <v>6055</v>
      </c>
      <c r="D1356" s="1" t="s">
        <v>6056</v>
      </c>
      <c r="F1356" s="1" t="str">
        <f>"9681678753"</f>
        <v>9681678753</v>
      </c>
      <c r="G1356" s="1" t="str">
        <f>"9789681678753"</f>
        <v>9789681678753</v>
      </c>
      <c r="H1356" s="1">
        <v>0.0</v>
      </c>
      <c r="I1356" s="1">
        <v>3.89</v>
      </c>
      <c r="J1356" s="1" t="s">
        <v>6057</v>
      </c>
      <c r="K1356" s="1" t="s">
        <v>44</v>
      </c>
      <c r="L1356" s="1">
        <v>449.0</v>
      </c>
      <c r="M1356" s="1">
        <v>2007.0</v>
      </c>
      <c r="N1356" s="1">
        <v>1984.0</v>
      </c>
      <c r="P1356" s="2">
        <v>45129.0</v>
      </c>
      <c r="Q1356" s="1" t="s">
        <v>145</v>
      </c>
      <c r="R1356" s="1" t="s">
        <v>6058</v>
      </c>
      <c r="S1356" s="1" t="s">
        <v>32</v>
      </c>
      <c r="W1356" s="1">
        <v>0.0</v>
      </c>
      <c r="X1356" s="1">
        <v>0.0</v>
      </c>
    </row>
    <row r="1357" spans="1:24" ht="15.75" customHeight="1">
      <c r="A1357" s="1">
        <v>1.8357637E7</v>
      </c>
      <c r="B1357" s="1" t="s">
        <v>6059</v>
      </c>
      <c r="C1357" s="1" t="s">
        <v>6060</v>
      </c>
      <c r="D1357" s="1" t="s">
        <v>6061</v>
      </c>
      <c r="F1357" s="1" t="str">
        <f>"1780996667"</f>
        <v>1780996667</v>
      </c>
      <c r="G1357" s="1" t="str">
        <f>"9781780996660"</f>
        <v>9781780996660</v>
      </c>
      <c r="H1357" s="1">
        <v>0.0</v>
      </c>
      <c r="I1357" s="1">
        <v>2.86</v>
      </c>
      <c r="J1357" s="1" t="s">
        <v>777</v>
      </c>
      <c r="K1357" s="1" t="s">
        <v>44</v>
      </c>
      <c r="L1357" s="1">
        <v>193.0</v>
      </c>
      <c r="M1357" s="1">
        <v>2013.0</v>
      </c>
      <c r="N1357" s="1">
        <v>2012.0</v>
      </c>
      <c r="P1357" s="2">
        <v>43101.0</v>
      </c>
      <c r="Q1357" s="1" t="s">
        <v>32</v>
      </c>
      <c r="R1357" s="1" t="s">
        <v>6062</v>
      </c>
      <c r="S1357" s="1" t="s">
        <v>32</v>
      </c>
      <c r="W1357" s="1">
        <v>0.0</v>
      </c>
      <c r="X1357" s="1">
        <v>0.0</v>
      </c>
    </row>
    <row r="1358" spans="1:24" ht="15.75" customHeight="1">
      <c r="A1358" s="1">
        <v>1115957.0</v>
      </c>
      <c r="B1358" s="1" t="s">
        <v>6063</v>
      </c>
      <c r="C1358" s="1" t="s">
        <v>6064</v>
      </c>
      <c r="D1358" s="1" t="s">
        <v>6065</v>
      </c>
      <c r="F1358" s="1" t="str">
        <f>"8432230138"</f>
        <v>8432230138</v>
      </c>
      <c r="G1358" s="1" t="str">
        <f>"9788432230134"</f>
        <v>9788432230134</v>
      </c>
      <c r="H1358" s="1">
        <v>0.0</v>
      </c>
      <c r="I1358" s="1">
        <v>4.27</v>
      </c>
      <c r="J1358" s="1" t="s">
        <v>5977</v>
      </c>
      <c r="K1358" s="1" t="s">
        <v>44</v>
      </c>
      <c r="L1358" s="1">
        <v>295.0</v>
      </c>
      <c r="M1358" s="1">
        <v>1983.0</v>
      </c>
      <c r="N1358" s="1">
        <v>1966.0</v>
      </c>
      <c r="P1358" s="2">
        <v>45114.0</v>
      </c>
      <c r="Q1358" s="1" t="s">
        <v>383</v>
      </c>
      <c r="R1358" s="1" t="s">
        <v>6066</v>
      </c>
      <c r="S1358" s="1" t="s">
        <v>32</v>
      </c>
      <c r="W1358" s="1">
        <v>0.0</v>
      </c>
      <c r="X1358" s="1">
        <v>1.0</v>
      </c>
    </row>
    <row r="1359" spans="1:24" ht="15.75" customHeight="1">
      <c r="A1359" s="1">
        <v>3.0337119E7</v>
      </c>
      <c r="B1359" s="1" t="s">
        <v>6067</v>
      </c>
      <c r="C1359" s="1" t="s">
        <v>6064</v>
      </c>
      <c r="D1359" s="1" t="s">
        <v>6065</v>
      </c>
      <c r="F1359" s="1" t="str">
        <f>"8466331913"</f>
        <v>8466331913</v>
      </c>
      <c r="G1359" s="1" t="str">
        <f>"9788466331913"</f>
        <v>9788466331913</v>
      </c>
      <c r="H1359" s="1">
        <v>0.0</v>
      </c>
      <c r="I1359" s="1">
        <v>4.59</v>
      </c>
      <c r="J1359" s="1" t="s">
        <v>6068</v>
      </c>
      <c r="K1359" s="1" t="s">
        <v>44</v>
      </c>
      <c r="L1359" s="1">
        <v>928.0</v>
      </c>
      <c r="M1359" s="1">
        <v>2016.0</v>
      </c>
      <c r="N1359" s="1">
        <v>1996.0</v>
      </c>
      <c r="P1359" s="2">
        <v>45113.0</v>
      </c>
      <c r="Q1359" s="1" t="s">
        <v>383</v>
      </c>
      <c r="R1359" s="1" t="s">
        <v>6069</v>
      </c>
      <c r="S1359" s="1" t="s">
        <v>32</v>
      </c>
      <c r="W1359" s="1">
        <v>0.0</v>
      </c>
      <c r="X1359" s="1">
        <v>1.0</v>
      </c>
    </row>
    <row r="1360" spans="1:24" ht="15.75" customHeight="1">
      <c r="A1360" s="1">
        <v>1.9976421E7</v>
      </c>
      <c r="B1360" s="1" t="s">
        <v>6070</v>
      </c>
      <c r="C1360" s="1" t="s">
        <v>6064</v>
      </c>
      <c r="D1360" s="1" t="s">
        <v>6065</v>
      </c>
      <c r="E1360" s="1" t="s">
        <v>3629</v>
      </c>
      <c r="F1360" s="1" t="str">
        <f t="shared" si="99" ref="F1360:G1360">""</f>
        <v/>
      </c>
      <c r="G1360" s="1" t="str">
        <f t="shared" si="99"/>
        <v/>
      </c>
      <c r="H1360" s="1">
        <v>0.0</v>
      </c>
      <c r="I1360" s="1">
        <v>4.21</v>
      </c>
      <c r="J1360" s="1" t="s">
        <v>772</v>
      </c>
      <c r="K1360" s="1" t="s">
        <v>44</v>
      </c>
      <c r="L1360" s="1">
        <v>576.0</v>
      </c>
      <c r="M1360" s="1">
        <v>1987.0</v>
      </c>
      <c r="N1360" s="1">
        <v>1963.0</v>
      </c>
      <c r="P1360" s="2">
        <v>44416.0</v>
      </c>
      <c r="Q1360" s="1" t="s">
        <v>818</v>
      </c>
      <c r="R1360" s="1" t="s">
        <v>6071</v>
      </c>
      <c r="S1360" s="1" t="s">
        <v>32</v>
      </c>
      <c r="W1360" s="1">
        <v>0.0</v>
      </c>
      <c r="X1360" s="1">
        <v>1.0</v>
      </c>
    </row>
    <row r="1361" spans="1:24" ht="15.75" customHeight="1">
      <c r="A1361" s="1">
        <v>54017.0</v>
      </c>
      <c r="B1361" s="1" t="s">
        <v>6072</v>
      </c>
      <c r="C1361" s="1" t="s">
        <v>6064</v>
      </c>
      <c r="D1361" s="1" t="s">
        <v>6065</v>
      </c>
      <c r="F1361" s="1" t="str">
        <f>"9500702029"</f>
        <v>9500702029</v>
      </c>
      <c r="G1361" s="1" t="str">
        <f>"9789500702027"</f>
        <v>9789500702027</v>
      </c>
      <c r="H1361" s="1">
        <v>0.0</v>
      </c>
      <c r="I1361" s="1">
        <v>4.3</v>
      </c>
      <c r="J1361" s="1" t="s">
        <v>6073</v>
      </c>
      <c r="K1361" s="1" t="s">
        <v>44</v>
      </c>
      <c r="L1361" s="1">
        <v>200.0</v>
      </c>
      <c r="M1361" s="1">
        <v>1966.0</v>
      </c>
      <c r="N1361" s="1">
        <v>1966.0</v>
      </c>
      <c r="P1361" s="2">
        <v>44814.0</v>
      </c>
      <c r="Q1361" s="1" t="s">
        <v>383</v>
      </c>
      <c r="R1361" s="1" t="s">
        <v>6074</v>
      </c>
      <c r="S1361" s="1" t="s">
        <v>32</v>
      </c>
      <c r="W1361" s="1">
        <v>0.0</v>
      </c>
      <c r="X1361" s="1">
        <v>1.0</v>
      </c>
    </row>
    <row r="1362" spans="1:24" ht="15.75" customHeight="1">
      <c r="A1362" s="1">
        <v>53411.0</v>
      </c>
      <c r="B1362" s="1" t="s">
        <v>6075</v>
      </c>
      <c r="C1362" s="1" t="s">
        <v>6064</v>
      </c>
      <c r="D1362" s="1" t="s">
        <v>6065</v>
      </c>
      <c r="E1362" s="1" t="s">
        <v>6076</v>
      </c>
      <c r="F1362" s="1" t="str">
        <f>"9681903110"</f>
        <v>9681903110</v>
      </c>
      <c r="G1362" s="1" t="str">
        <f>"9789681903114"</f>
        <v>9789681903114</v>
      </c>
      <c r="H1362" s="1">
        <v>0.0</v>
      </c>
      <c r="I1362" s="1">
        <v>4.59</v>
      </c>
      <c r="J1362" s="1" t="s">
        <v>6077</v>
      </c>
      <c r="K1362" s="1" t="s">
        <v>44</v>
      </c>
      <c r="L1362" s="1">
        <v>604.0</v>
      </c>
      <c r="M1362" s="1">
        <v>2002.0</v>
      </c>
      <c r="N1362" s="1">
        <v>1996.0</v>
      </c>
      <c r="P1362" s="2">
        <v>44814.0</v>
      </c>
      <c r="Q1362" s="1" t="s">
        <v>32</v>
      </c>
      <c r="R1362" s="1" t="s">
        <v>6078</v>
      </c>
      <c r="S1362" s="1" t="s">
        <v>32</v>
      </c>
      <c r="W1362" s="1">
        <v>0.0</v>
      </c>
      <c r="X1362" s="1">
        <v>0.0</v>
      </c>
    </row>
    <row r="1363" spans="1:24" ht="15.75" customHeight="1">
      <c r="A1363" s="1">
        <v>179404.0</v>
      </c>
      <c r="B1363" s="1" t="s">
        <v>6079</v>
      </c>
      <c r="C1363" s="1" t="s">
        <v>6080</v>
      </c>
      <c r="D1363" s="1" t="s">
        <v>6081</v>
      </c>
      <c r="F1363" s="1" t="str">
        <f>"089281506X"</f>
        <v>089281506X</v>
      </c>
      <c r="G1363" s="1" t="str">
        <f>"9780892815067"</f>
        <v>9780892815067</v>
      </c>
      <c r="H1363" s="1">
        <v>0.0</v>
      </c>
      <c r="I1363" s="1">
        <v>4.01</v>
      </c>
      <c r="J1363" s="1" t="s">
        <v>6082</v>
      </c>
      <c r="K1363" s="1" t="s">
        <v>37</v>
      </c>
      <c r="L1363" s="1">
        <v>375.0</v>
      </c>
      <c r="M1363" s="1">
        <v>1995.0</v>
      </c>
      <c r="N1363" s="1">
        <v>1934.0</v>
      </c>
      <c r="P1363" s="3">
        <v>44118.0</v>
      </c>
      <c r="Q1363" s="1" t="s">
        <v>55</v>
      </c>
      <c r="R1363" s="1" t="s">
        <v>6083</v>
      </c>
      <c r="S1363" s="1" t="s">
        <v>32</v>
      </c>
      <c r="W1363" s="1">
        <v>0.0</v>
      </c>
      <c r="X1363" s="1">
        <v>0.0</v>
      </c>
    </row>
    <row r="1364" spans="1:24" ht="15.75" customHeight="1">
      <c r="A1364" s="1">
        <v>1920908.0</v>
      </c>
      <c r="B1364" s="1" t="s">
        <v>6084</v>
      </c>
      <c r="C1364" s="1" t="s">
        <v>6085</v>
      </c>
      <c r="D1364" s="1" t="s">
        <v>6086</v>
      </c>
      <c r="F1364" s="1" t="str">
        <f>"0385110251"</f>
        <v>0385110251</v>
      </c>
      <c r="G1364" s="1" t="str">
        <f>"9780385110259"</f>
        <v>9780385110259</v>
      </c>
      <c r="H1364" s="1">
        <v>0.0</v>
      </c>
      <c r="I1364" s="1">
        <v>3.88</v>
      </c>
      <c r="J1364" s="1" t="s">
        <v>6087</v>
      </c>
      <c r="K1364" s="1" t="s">
        <v>44</v>
      </c>
      <c r="L1364" s="1">
        <v>383.0</v>
      </c>
      <c r="M1364" s="1">
        <v>1976.0</v>
      </c>
      <c r="N1364" s="1">
        <v>1976.0</v>
      </c>
      <c r="P1364" s="2">
        <v>44814.0</v>
      </c>
      <c r="Q1364" s="1" t="s">
        <v>32</v>
      </c>
      <c r="R1364" s="1" t="s">
        <v>6088</v>
      </c>
      <c r="S1364" s="1" t="s">
        <v>32</v>
      </c>
      <c r="W1364" s="1">
        <v>0.0</v>
      </c>
      <c r="X1364" s="1">
        <v>0.0</v>
      </c>
    </row>
    <row r="1365" spans="1:24" ht="15.75" customHeight="1">
      <c r="A1365" s="1">
        <v>732225.0</v>
      </c>
      <c r="B1365" s="1" t="s">
        <v>6089</v>
      </c>
      <c r="C1365" s="1" t="s">
        <v>6090</v>
      </c>
      <c r="D1365" s="1" t="s">
        <v>6091</v>
      </c>
      <c r="F1365" s="1" t="str">
        <f>"0674362705"</f>
        <v>0674362705</v>
      </c>
      <c r="G1365" s="1" t="str">
        <f>"9780674362703"</f>
        <v>9780674362703</v>
      </c>
      <c r="H1365" s="1">
        <v>0.0</v>
      </c>
      <c r="I1365" s="1">
        <v>3.79</v>
      </c>
      <c r="J1365" s="1" t="s">
        <v>2273</v>
      </c>
      <c r="K1365" s="1" t="s">
        <v>44</v>
      </c>
      <c r="L1365" s="1">
        <v>256.0</v>
      </c>
      <c r="M1365" s="1">
        <v>1989.0</v>
      </c>
      <c r="N1365" s="1">
        <v>1977.0</v>
      </c>
      <c r="P1365" s="2">
        <v>45172.0</v>
      </c>
      <c r="Q1365" s="1" t="s">
        <v>32</v>
      </c>
      <c r="R1365" s="1" t="s">
        <v>6092</v>
      </c>
      <c r="S1365" s="1" t="s">
        <v>32</v>
      </c>
      <c r="W1365" s="1">
        <v>0.0</v>
      </c>
      <c r="X1365" s="1">
        <v>0.0</v>
      </c>
    </row>
    <row r="1366" spans="1:24" ht="15.75" customHeight="1">
      <c r="A1366" s="1">
        <v>3.0841115E7</v>
      </c>
      <c r="B1366" s="1" t="s">
        <v>6093</v>
      </c>
      <c r="C1366" s="1" t="s">
        <v>6094</v>
      </c>
      <c r="D1366" s="1" t="s">
        <v>6095</v>
      </c>
      <c r="F1366" s="1" t="str">
        <f>"1632868776"</f>
        <v>1632868776</v>
      </c>
      <c r="G1366" s="1" t="str">
        <f>"9781632868770"</f>
        <v>9781632868770</v>
      </c>
      <c r="H1366" s="1">
        <v>0.0</v>
      </c>
      <c r="I1366" s="1">
        <v>4.33</v>
      </c>
      <c r="J1366" s="1" t="s">
        <v>2489</v>
      </c>
      <c r="K1366" s="1" t="s">
        <v>44</v>
      </c>
      <c r="L1366" s="1">
        <v>80.0</v>
      </c>
      <c r="M1366" s="1">
        <v>2017.0</v>
      </c>
      <c r="N1366" s="1">
        <v>2016.0</v>
      </c>
      <c r="P1366" s="2">
        <v>43142.0</v>
      </c>
      <c r="Q1366" s="1" t="s">
        <v>32</v>
      </c>
      <c r="R1366" s="1" t="s">
        <v>6096</v>
      </c>
      <c r="S1366" s="1" t="s">
        <v>32</v>
      </c>
      <c r="W1366" s="1">
        <v>0.0</v>
      </c>
      <c r="X1366" s="1">
        <v>0.0</v>
      </c>
    </row>
    <row r="1367" spans="1:24" ht="15.75" customHeight="1">
      <c r="A1367" s="1">
        <v>9151556.0</v>
      </c>
      <c r="B1367" s="1" t="s">
        <v>6097</v>
      </c>
      <c r="C1367" s="1" t="s">
        <v>6098</v>
      </c>
      <c r="D1367" s="1" t="s">
        <v>6099</v>
      </c>
      <c r="E1367" s="1" t="s">
        <v>6100</v>
      </c>
      <c r="F1367" s="1" t="str">
        <f>"0571231624"</f>
        <v>0571231624</v>
      </c>
      <c r="G1367" s="1" t="str">
        <f>"9780571231621"</f>
        <v>9780571231621</v>
      </c>
      <c r="H1367" s="1">
        <v>0.0</v>
      </c>
      <c r="I1367" s="1">
        <v>4.21</v>
      </c>
      <c r="J1367" s="1" t="s">
        <v>454</v>
      </c>
      <c r="K1367" s="1" t="s">
        <v>44</v>
      </c>
      <c r="L1367" s="1">
        <v>240.0</v>
      </c>
      <c r="M1367" s="1">
        <v>2010.0</v>
      </c>
      <c r="N1367" s="1">
        <v>2010.0</v>
      </c>
      <c r="P1367" s="2">
        <v>45113.0</v>
      </c>
      <c r="Q1367" s="1" t="s">
        <v>788</v>
      </c>
      <c r="R1367" s="1" t="s">
        <v>6101</v>
      </c>
      <c r="S1367" s="1" t="s">
        <v>32</v>
      </c>
      <c r="W1367" s="1">
        <v>0.0</v>
      </c>
      <c r="X1367" s="1">
        <v>1.0</v>
      </c>
    </row>
    <row r="1368" spans="1:24" ht="15.75" customHeight="1">
      <c r="A1368" s="1">
        <v>3.6183745E7</v>
      </c>
      <c r="B1368" s="1" t="s">
        <v>6102</v>
      </c>
      <c r="C1368" s="1" t="s">
        <v>3463</v>
      </c>
      <c r="D1368" s="1" t="s">
        <v>6103</v>
      </c>
      <c r="F1368" s="1" t="str">
        <f>"1606712926"</f>
        <v>1606712926</v>
      </c>
      <c r="G1368" s="1" t="str">
        <f>"9781606712924"</f>
        <v>9781606712924</v>
      </c>
      <c r="H1368" s="1">
        <v>0.0</v>
      </c>
      <c r="I1368" s="1">
        <v>3.88</v>
      </c>
      <c r="J1368" s="1" t="s">
        <v>6104</v>
      </c>
      <c r="K1368" s="1" t="s">
        <v>37</v>
      </c>
      <c r="L1368" s="1">
        <v>0.0</v>
      </c>
      <c r="M1368" s="1">
        <v>1993.0</v>
      </c>
      <c r="N1368" s="1">
        <v>1993.0</v>
      </c>
      <c r="P1368" s="2">
        <v>45163.0</v>
      </c>
      <c r="Q1368" s="1" t="s">
        <v>788</v>
      </c>
      <c r="R1368" s="1" t="s">
        <v>6105</v>
      </c>
      <c r="S1368" s="1" t="s">
        <v>32</v>
      </c>
      <c r="V1368" s="1" t="s">
        <v>3620</v>
      </c>
      <c r="W1368" s="1">
        <v>0.0</v>
      </c>
      <c r="X1368" s="1">
        <v>1.0</v>
      </c>
    </row>
    <row r="1369" spans="1:24" ht="15.75" customHeight="1">
      <c r="A1369" s="1">
        <v>6339024.0</v>
      </c>
      <c r="B1369" s="1" t="s">
        <v>6106</v>
      </c>
      <c r="C1369" s="1" t="s">
        <v>6107</v>
      </c>
      <c r="D1369" s="1" t="s">
        <v>6108</v>
      </c>
      <c r="F1369" s="1" t="str">
        <f t="shared" si="100" ref="F1369:G1369">""</f>
        <v/>
      </c>
      <c r="G1369" s="1" t="str">
        <f t="shared" si="100"/>
        <v/>
      </c>
      <c r="H1369" s="1">
        <v>0.0</v>
      </c>
      <c r="I1369" s="1">
        <v>4.09</v>
      </c>
      <c r="J1369" s="1" t="s">
        <v>2372</v>
      </c>
      <c r="K1369" s="1" t="s">
        <v>37</v>
      </c>
      <c r="L1369" s="1">
        <v>149.0</v>
      </c>
      <c r="M1369" s="1">
        <v>1984.0</v>
      </c>
      <c r="N1369" s="1">
        <v>1984.0</v>
      </c>
      <c r="P1369" s="2">
        <v>45123.0</v>
      </c>
      <c r="Q1369" s="1" t="s">
        <v>32</v>
      </c>
      <c r="R1369" s="1" t="s">
        <v>6109</v>
      </c>
      <c r="S1369" s="1" t="s">
        <v>32</v>
      </c>
      <c r="W1369" s="1">
        <v>0.0</v>
      </c>
      <c r="X1369" s="1">
        <v>0.0</v>
      </c>
    </row>
    <row r="1370" spans="1:24" ht="15.75" customHeight="1">
      <c r="A1370" s="1">
        <v>4.2943693E7</v>
      </c>
      <c r="B1370" s="1" t="s">
        <v>6110</v>
      </c>
      <c r="C1370" s="1" t="s">
        <v>6111</v>
      </c>
      <c r="D1370" s="1" t="s">
        <v>6112</v>
      </c>
      <c r="F1370" s="1" t="str">
        <f>"1948340054"</f>
        <v>1948340054</v>
      </c>
      <c r="G1370" s="1" t="str">
        <f>"9781948340052"</f>
        <v>9781948340052</v>
      </c>
      <c r="H1370" s="1">
        <v>0.0</v>
      </c>
      <c r="I1370" s="1">
        <v>3.8</v>
      </c>
      <c r="J1370" s="1" t="s">
        <v>6113</v>
      </c>
      <c r="K1370" s="1" t="s">
        <v>44</v>
      </c>
      <c r="L1370" s="1">
        <v>280.0</v>
      </c>
      <c r="M1370" s="1">
        <v>2019.0</v>
      </c>
      <c r="N1370" s="1">
        <v>2019.0</v>
      </c>
      <c r="P1370" s="2">
        <v>45129.0</v>
      </c>
      <c r="Q1370" s="1" t="s">
        <v>711</v>
      </c>
      <c r="R1370" s="1" t="s">
        <v>6114</v>
      </c>
      <c r="S1370" s="1" t="s">
        <v>32</v>
      </c>
      <c r="W1370" s="1">
        <v>0.0</v>
      </c>
      <c r="X1370" s="1">
        <v>0.0</v>
      </c>
    </row>
    <row r="1371" spans="1:24" ht="15.75" customHeight="1">
      <c r="A1371" s="1">
        <v>364416.0</v>
      </c>
      <c r="B1371" s="1" t="s">
        <v>6115</v>
      </c>
      <c r="C1371" s="1" t="s">
        <v>6116</v>
      </c>
      <c r="D1371" s="1" t="s">
        <v>6117</v>
      </c>
      <c r="E1371" s="1" t="s">
        <v>6118</v>
      </c>
      <c r="F1371" s="1" t="str">
        <f>"0521853249"</f>
        <v>0521853249</v>
      </c>
      <c r="G1371" s="1" t="str">
        <f>"9780521853248"</f>
        <v>9780521853248</v>
      </c>
      <c r="H1371" s="1">
        <v>0.0</v>
      </c>
      <c r="I1371" s="1">
        <v>4.24</v>
      </c>
      <c r="J1371" s="1" t="s">
        <v>388</v>
      </c>
      <c r="K1371" s="1" t="s">
        <v>37</v>
      </c>
      <c r="L1371" s="1">
        <v>1284.0</v>
      </c>
      <c r="M1371" s="1">
        <v>2005.0</v>
      </c>
      <c r="N1371" s="1">
        <v>2005.0</v>
      </c>
      <c r="P1371" s="2">
        <v>45308.0</v>
      </c>
      <c r="Q1371" s="1" t="s">
        <v>30</v>
      </c>
      <c r="R1371" s="1" t="s">
        <v>6119</v>
      </c>
      <c r="S1371" s="1" t="s">
        <v>32</v>
      </c>
      <c r="W1371" s="1">
        <v>0.0</v>
      </c>
      <c r="X1371" s="1">
        <v>0.0</v>
      </c>
    </row>
    <row r="1372" spans="1:24" ht="15.75" customHeight="1">
      <c r="A1372" s="1">
        <v>1.3531832E7</v>
      </c>
      <c r="B1372" s="1" t="s">
        <v>6120</v>
      </c>
      <c r="C1372" s="1" t="s">
        <v>6121</v>
      </c>
      <c r="D1372" s="1" t="s">
        <v>6122</v>
      </c>
      <c r="F1372" s="1" t="str">
        <f>"0307957233"</f>
        <v>0307957233</v>
      </c>
      <c r="G1372" s="1" t="str">
        <f>"9780307957238"</f>
        <v>9780307957238</v>
      </c>
      <c r="H1372" s="1">
        <v>0.0</v>
      </c>
      <c r="I1372" s="1">
        <v>3.68</v>
      </c>
      <c r="J1372" s="1" t="s">
        <v>1397</v>
      </c>
      <c r="K1372" s="1" t="s">
        <v>37</v>
      </c>
      <c r="L1372" s="1">
        <v>243.0</v>
      </c>
      <c r="M1372" s="1">
        <v>2013.0</v>
      </c>
      <c r="N1372" s="1">
        <v>2013.0</v>
      </c>
      <c r="P1372" s="2">
        <v>41653.0</v>
      </c>
      <c r="Q1372" s="1" t="s">
        <v>32</v>
      </c>
      <c r="R1372" s="1" t="s">
        <v>6123</v>
      </c>
      <c r="S1372" s="1" t="s">
        <v>32</v>
      </c>
      <c r="W1372" s="1">
        <v>0.0</v>
      </c>
      <c r="X1372" s="1">
        <v>0.0</v>
      </c>
    </row>
    <row r="1373" spans="1:24" ht="15.75" customHeight="1">
      <c r="A1373" s="1">
        <v>2.6675955E7</v>
      </c>
      <c r="B1373" s="1" t="s">
        <v>6124</v>
      </c>
      <c r="C1373" s="1" t="s">
        <v>6125</v>
      </c>
      <c r="D1373" s="1" t="s">
        <v>6126</v>
      </c>
      <c r="E1373" s="1" t="s">
        <v>3206</v>
      </c>
      <c r="F1373" s="1" t="str">
        <f>"1298510864"</f>
        <v>1298510864</v>
      </c>
      <c r="G1373" s="1" t="str">
        <f>"9781298510860"</f>
        <v>9781298510860</v>
      </c>
      <c r="H1373" s="1">
        <v>0.0</v>
      </c>
      <c r="I1373" s="1">
        <v>4.09</v>
      </c>
      <c r="J1373" s="1" t="s">
        <v>6127</v>
      </c>
      <c r="K1373" s="1" t="s">
        <v>37</v>
      </c>
      <c r="L1373" s="1">
        <v>532.0</v>
      </c>
      <c r="M1373" s="1">
        <v>2015.0</v>
      </c>
      <c r="N1373" s="1">
        <v>1988.0</v>
      </c>
      <c r="P1373" s="2">
        <v>45181.0</v>
      </c>
      <c r="Q1373" s="1" t="s">
        <v>249</v>
      </c>
      <c r="R1373" s="1" t="s">
        <v>6128</v>
      </c>
      <c r="S1373" s="1" t="s">
        <v>32</v>
      </c>
      <c r="W1373" s="1">
        <v>0.0</v>
      </c>
      <c r="X1373" s="1">
        <v>0.0</v>
      </c>
    </row>
    <row r="1374" spans="1:24" ht="15.75" customHeight="1">
      <c r="A1374" s="1">
        <v>1081081.0</v>
      </c>
      <c r="B1374" s="1" t="s">
        <v>6129</v>
      </c>
      <c r="C1374" s="1" t="s">
        <v>6130</v>
      </c>
      <c r="D1374" s="1" t="s">
        <v>6131</v>
      </c>
      <c r="F1374" s="1" t="str">
        <f>"0882142240"</f>
        <v>0882142240</v>
      </c>
      <c r="G1374" s="1" t="str">
        <f>"9780882142241"</f>
        <v>9780882142241</v>
      </c>
      <c r="H1374" s="1">
        <v>0.0</v>
      </c>
      <c r="I1374" s="1">
        <v>4.31</v>
      </c>
      <c r="J1374" s="1" t="s">
        <v>3209</v>
      </c>
      <c r="K1374" s="1" t="s">
        <v>44</v>
      </c>
      <c r="L1374" s="1">
        <v>104.0</v>
      </c>
      <c r="M1374" s="1">
        <v>1998.0</v>
      </c>
      <c r="N1374" s="1">
        <v>1944.0</v>
      </c>
      <c r="P1374" s="2">
        <v>45114.0</v>
      </c>
      <c r="Q1374" s="1" t="s">
        <v>2810</v>
      </c>
      <c r="R1374" s="1" t="s">
        <v>6132</v>
      </c>
      <c r="S1374" s="1" t="s">
        <v>32</v>
      </c>
      <c r="W1374" s="1">
        <v>0.0</v>
      </c>
      <c r="X1374" s="1">
        <v>0.0</v>
      </c>
    </row>
    <row r="1375" spans="1:24" ht="15.75" customHeight="1">
      <c r="A1375" s="1">
        <v>1080876.0</v>
      </c>
      <c r="B1375" s="1" t="s">
        <v>6133</v>
      </c>
      <c r="C1375" s="1" t="s">
        <v>6130</v>
      </c>
      <c r="D1375" s="1" t="s">
        <v>6131</v>
      </c>
      <c r="E1375" s="1" t="s">
        <v>6134</v>
      </c>
      <c r="F1375" s="1" t="str">
        <f>"0500270481"</f>
        <v>0500270481</v>
      </c>
      <c r="G1375" s="1" t="str">
        <f>"9780500270486"</f>
        <v>9780500270486</v>
      </c>
      <c r="H1375" s="1">
        <v>0.0</v>
      </c>
      <c r="I1375" s="1">
        <v>4.11</v>
      </c>
      <c r="J1375" s="1" t="s">
        <v>192</v>
      </c>
      <c r="K1375" s="1" t="s">
        <v>44</v>
      </c>
      <c r="L1375" s="1">
        <v>304.0</v>
      </c>
      <c r="M1375" s="1">
        <v>1980.0</v>
      </c>
      <c r="N1375" s="1">
        <v>1951.0</v>
      </c>
      <c r="P1375" s="2">
        <v>45114.0</v>
      </c>
      <c r="Q1375" s="1" t="s">
        <v>935</v>
      </c>
      <c r="R1375" s="1" t="s">
        <v>6135</v>
      </c>
      <c r="S1375" s="1" t="s">
        <v>32</v>
      </c>
      <c r="W1375" s="1">
        <v>0.0</v>
      </c>
      <c r="X1375" s="1">
        <v>0.0</v>
      </c>
    </row>
    <row r="1376" spans="1:24" ht="15.75" customHeight="1">
      <c r="A1376" s="1">
        <v>1334499.0</v>
      </c>
      <c r="B1376" s="1" t="s">
        <v>6136</v>
      </c>
      <c r="C1376" s="1" t="s">
        <v>6130</v>
      </c>
      <c r="D1376" s="1" t="s">
        <v>6131</v>
      </c>
      <c r="E1376" s="1" t="s">
        <v>6137</v>
      </c>
      <c r="F1376" s="1" t="str">
        <f>"050027049X"</f>
        <v>050027049X</v>
      </c>
      <c r="G1376" s="1" t="str">
        <f>"9780500270493"</f>
        <v>9780500270493</v>
      </c>
      <c r="H1376" s="1">
        <v>0.0</v>
      </c>
      <c r="I1376" s="1">
        <v>4.0</v>
      </c>
      <c r="J1376" s="1" t="s">
        <v>192</v>
      </c>
      <c r="K1376" s="1" t="s">
        <v>44</v>
      </c>
      <c r="L1376" s="1">
        <v>440.0</v>
      </c>
      <c r="M1376" s="1">
        <v>2005.0</v>
      </c>
      <c r="N1376" s="1">
        <v>1958.0</v>
      </c>
      <c r="P1376" s="2">
        <v>45114.0</v>
      </c>
      <c r="Q1376" s="1" t="s">
        <v>2810</v>
      </c>
      <c r="R1376" s="1" t="s">
        <v>6138</v>
      </c>
      <c r="S1376" s="1" t="s">
        <v>32</v>
      </c>
      <c r="W1376" s="1">
        <v>0.0</v>
      </c>
      <c r="X1376" s="1">
        <v>0.0</v>
      </c>
    </row>
    <row r="1377" spans="1:24" ht="15.75" customHeight="1">
      <c r="A1377" s="1">
        <v>795929.0</v>
      </c>
      <c r="B1377" s="1" t="s">
        <v>6139</v>
      </c>
      <c r="C1377" s="1" t="s">
        <v>6140</v>
      </c>
      <c r="D1377" s="1" t="s">
        <v>6141</v>
      </c>
      <c r="E1377" s="1" t="s">
        <v>6142</v>
      </c>
      <c r="F1377" s="1" t="str">
        <f>"0717800539"</f>
        <v>0717800539</v>
      </c>
      <c r="G1377" s="1" t="str">
        <f>"9780717800537"</f>
        <v>9780717800537</v>
      </c>
      <c r="H1377" s="1">
        <v>0.0</v>
      </c>
      <c r="I1377" s="1">
        <v>4.15</v>
      </c>
      <c r="J1377" s="1" t="s">
        <v>6143</v>
      </c>
      <c r="K1377" s="1" t="s">
        <v>44</v>
      </c>
      <c r="L1377" s="1">
        <v>192.0</v>
      </c>
      <c r="M1377" s="1">
        <v>1980.0</v>
      </c>
      <c r="N1377" s="1">
        <v>1844.0</v>
      </c>
      <c r="P1377" s="2">
        <v>45129.0</v>
      </c>
      <c r="Q1377" s="1" t="s">
        <v>1207</v>
      </c>
      <c r="R1377" s="1" t="s">
        <v>6144</v>
      </c>
      <c r="S1377" s="1" t="s">
        <v>32</v>
      </c>
      <c r="W1377" s="1">
        <v>0.0</v>
      </c>
      <c r="X1377" s="1">
        <v>1.0</v>
      </c>
    </row>
    <row r="1378" spans="1:24" ht="15.75" customHeight="1">
      <c r="A1378" s="1">
        <v>2.6145543E7</v>
      </c>
      <c r="B1378" s="1" t="s">
        <v>6145</v>
      </c>
      <c r="C1378" s="1" t="s">
        <v>6146</v>
      </c>
      <c r="D1378" s="1" t="s">
        <v>6147</v>
      </c>
      <c r="E1378" s="1" t="s">
        <v>6148</v>
      </c>
      <c r="F1378" s="1" t="str">
        <f>"0374534144"</f>
        <v>0374534144</v>
      </c>
      <c r="G1378" s="1" t="str">
        <f>"9780374534141"</f>
        <v>9780374534141</v>
      </c>
      <c r="H1378" s="1">
        <v>0.0</v>
      </c>
      <c r="I1378" s="1">
        <v>4.09</v>
      </c>
      <c r="J1378" s="1" t="s">
        <v>438</v>
      </c>
      <c r="K1378" s="1" t="s">
        <v>44</v>
      </c>
      <c r="L1378" s="1">
        <v>442.0</v>
      </c>
      <c r="M1378" s="1">
        <v>2013.0</v>
      </c>
      <c r="N1378" s="1">
        <v>2009.0</v>
      </c>
      <c r="P1378" s="2">
        <v>44814.0</v>
      </c>
      <c r="Q1378" s="1" t="s">
        <v>818</v>
      </c>
      <c r="R1378" s="1" t="s">
        <v>6149</v>
      </c>
      <c r="S1378" s="1" t="s">
        <v>32</v>
      </c>
      <c r="W1378" s="1">
        <v>0.0</v>
      </c>
      <c r="X1378" s="1">
        <v>1.0</v>
      </c>
    </row>
    <row r="1379" spans="1:24" ht="15.75" customHeight="1">
      <c r="A1379" s="1">
        <v>6705926.0</v>
      </c>
      <c r="B1379" s="1" t="s">
        <v>6150</v>
      </c>
      <c r="C1379" s="1" t="s">
        <v>6146</v>
      </c>
      <c r="D1379" s="1" t="s">
        <v>6147</v>
      </c>
      <c r="E1379" s="1" t="s">
        <v>6151</v>
      </c>
      <c r="F1379" s="1" t="str">
        <f>"098003308X"</f>
        <v>098003308X</v>
      </c>
      <c r="G1379" s="1" t="str">
        <f>"9780980033083"</f>
        <v>9780980033083</v>
      </c>
      <c r="H1379" s="1">
        <v>0.0</v>
      </c>
      <c r="I1379" s="1">
        <v>4.06</v>
      </c>
      <c r="J1379" s="1" t="s">
        <v>6152</v>
      </c>
      <c r="K1379" s="1" t="s">
        <v>44</v>
      </c>
      <c r="L1379" s="1">
        <v>499.0</v>
      </c>
      <c r="M1379" s="1">
        <v>2009.0</v>
      </c>
      <c r="N1379" s="1">
        <v>2004.0</v>
      </c>
      <c r="P1379" s="2">
        <v>42382.0</v>
      </c>
      <c r="Q1379" s="1" t="s">
        <v>32</v>
      </c>
      <c r="R1379" s="1" t="s">
        <v>6153</v>
      </c>
      <c r="S1379" s="1" t="s">
        <v>32</v>
      </c>
      <c r="W1379" s="1">
        <v>0.0</v>
      </c>
      <c r="X1379" s="1">
        <v>0.0</v>
      </c>
    </row>
    <row r="1380" spans="1:24" ht="15.75" customHeight="1">
      <c r="A1380" s="1">
        <v>7.5293505E7</v>
      </c>
      <c r="B1380" s="1" t="s">
        <v>6154</v>
      </c>
      <c r="C1380" s="1" t="s">
        <v>6155</v>
      </c>
      <c r="D1380" s="1" t="s">
        <v>6156</v>
      </c>
      <c r="F1380" s="1" t="str">
        <f>"0593448561"</f>
        <v>0593448561</v>
      </c>
      <c r="G1380" s="1" t="str">
        <f>"9780593448564"</f>
        <v>9780593448564</v>
      </c>
      <c r="H1380" s="1">
        <v>0.0</v>
      </c>
      <c r="I1380" s="1">
        <v>4.16</v>
      </c>
      <c r="J1380" s="1" t="s">
        <v>1189</v>
      </c>
      <c r="K1380" s="1" t="s">
        <v>37</v>
      </c>
      <c r="L1380" s="1">
        <v>352.0</v>
      </c>
      <c r="M1380" s="1">
        <v>2023.0</v>
      </c>
      <c r="N1380" s="1">
        <v>2023.0</v>
      </c>
      <c r="P1380" s="2">
        <v>45095.0</v>
      </c>
      <c r="Q1380" s="1" t="s">
        <v>55</v>
      </c>
      <c r="R1380" s="1" t="s">
        <v>6157</v>
      </c>
      <c r="S1380" s="1" t="s">
        <v>32</v>
      </c>
      <c r="W1380" s="1">
        <v>0.0</v>
      </c>
      <c r="X1380" s="1">
        <v>0.0</v>
      </c>
    </row>
    <row r="1381" spans="1:24" ht="15.75" customHeight="1">
      <c r="A1381" s="1">
        <v>1.2651419E7</v>
      </c>
      <c r="B1381" s="1" t="s">
        <v>6158</v>
      </c>
      <c r="C1381" s="1" t="s">
        <v>6159</v>
      </c>
      <c r="D1381" s="1" t="s">
        <v>6160</v>
      </c>
      <c r="F1381" s="1" t="str">
        <f>"0807001651"</f>
        <v>0807001651</v>
      </c>
      <c r="G1381" s="1" t="str">
        <f>"9780807001653"</f>
        <v>9780807001653</v>
      </c>
      <c r="H1381" s="1">
        <v>0.0</v>
      </c>
      <c r="I1381" s="1">
        <v>3.95</v>
      </c>
      <c r="J1381" s="1" t="s">
        <v>758</v>
      </c>
      <c r="K1381" s="1" t="s">
        <v>37</v>
      </c>
      <c r="L1381" s="1">
        <v>258.0</v>
      </c>
      <c r="M1381" s="1">
        <v>2012.0</v>
      </c>
      <c r="N1381" s="1">
        <v>2012.0</v>
      </c>
      <c r="P1381" s="2">
        <v>42559.0</v>
      </c>
      <c r="Q1381" s="1" t="s">
        <v>1110</v>
      </c>
      <c r="R1381" s="1" t="s">
        <v>6161</v>
      </c>
      <c r="S1381" s="1" t="s">
        <v>32</v>
      </c>
      <c r="W1381" s="1">
        <v>0.0</v>
      </c>
      <c r="X1381" s="1">
        <v>0.0</v>
      </c>
    </row>
    <row r="1382" spans="1:24" ht="15.75" customHeight="1">
      <c r="A1382" s="1">
        <v>6.1889841E7</v>
      </c>
      <c r="B1382" s="1" t="s">
        <v>6162</v>
      </c>
      <c r="C1382" s="1" t="s">
        <v>6163</v>
      </c>
      <c r="D1382" s="1" t="s">
        <v>6164</v>
      </c>
      <c r="F1382" s="1" t="str">
        <f>"1804270326"</f>
        <v>1804270326</v>
      </c>
      <c r="G1382" s="1" t="str">
        <f>"9781804270325"</f>
        <v>9781804270325</v>
      </c>
      <c r="H1382" s="1">
        <v>0.0</v>
      </c>
      <c r="I1382" s="1">
        <v>4.18</v>
      </c>
      <c r="J1382" s="1" t="s">
        <v>144</v>
      </c>
      <c r="K1382" s="1" t="s">
        <v>44</v>
      </c>
      <c r="L1382" s="1">
        <v>480.0</v>
      </c>
      <c r="M1382" s="1">
        <v>2023.0</v>
      </c>
      <c r="P1382" s="3">
        <v>45273.0</v>
      </c>
      <c r="Q1382" s="1" t="s">
        <v>145</v>
      </c>
      <c r="R1382" s="1" t="s">
        <v>6165</v>
      </c>
      <c r="S1382" s="1" t="s">
        <v>32</v>
      </c>
      <c r="W1382" s="1">
        <v>0.0</v>
      </c>
      <c r="X1382" s="1">
        <v>0.0</v>
      </c>
    </row>
    <row r="1383" spans="1:24" ht="15.75" customHeight="1">
      <c r="A1383" s="1">
        <v>3.4640834E7</v>
      </c>
      <c r="B1383" s="1" t="s">
        <v>6166</v>
      </c>
      <c r="C1383" s="1" t="s">
        <v>6167</v>
      </c>
      <c r="D1383" s="1" t="s">
        <v>6168</v>
      </c>
      <c r="F1383" s="1" t="str">
        <f>"0190604980"</f>
        <v>0190604980</v>
      </c>
      <c r="G1383" s="1" t="str">
        <f>"9780190604981"</f>
        <v>9780190604981</v>
      </c>
      <c r="H1383" s="1">
        <v>0.0</v>
      </c>
      <c r="I1383" s="1">
        <v>4.23</v>
      </c>
      <c r="J1383" s="1" t="s">
        <v>181</v>
      </c>
      <c r="K1383" s="1" t="s">
        <v>37</v>
      </c>
      <c r="L1383" s="1">
        <v>338.0</v>
      </c>
      <c r="M1383" s="1">
        <v>2017.0</v>
      </c>
      <c r="N1383" s="1">
        <v>2017.0</v>
      </c>
      <c r="P1383" s="3">
        <v>43079.0</v>
      </c>
      <c r="Q1383" s="1" t="s">
        <v>32</v>
      </c>
      <c r="R1383" s="1" t="s">
        <v>6169</v>
      </c>
      <c r="S1383" s="1" t="s">
        <v>32</v>
      </c>
      <c r="W1383" s="1">
        <v>0.0</v>
      </c>
      <c r="X1383" s="1">
        <v>0.0</v>
      </c>
    </row>
    <row r="1384" spans="1:24" ht="15.75" customHeight="1">
      <c r="A1384" s="1">
        <v>1.2988752E7</v>
      </c>
      <c r="B1384" s="1" t="s">
        <v>6170</v>
      </c>
      <c r="C1384" s="1" t="s">
        <v>6171</v>
      </c>
      <c r="D1384" s="1" t="s">
        <v>6172</v>
      </c>
      <c r="E1384" s="1" t="s">
        <v>6173</v>
      </c>
      <c r="F1384" s="1" t="str">
        <f>"1936628074"</f>
        <v>1936628074</v>
      </c>
      <c r="G1384" s="1" t="str">
        <f>"9781936628070"</f>
        <v>9781936628070</v>
      </c>
      <c r="H1384" s="1">
        <v>0.0</v>
      </c>
      <c r="I1384" s="1">
        <v>4.56</v>
      </c>
      <c r="J1384" s="1" t="s">
        <v>6174</v>
      </c>
      <c r="L1384" s="1">
        <v>316.0</v>
      </c>
      <c r="N1384" s="1">
        <v>2011.0</v>
      </c>
      <c r="P1384" s="2">
        <v>45113.0</v>
      </c>
      <c r="Q1384" s="1" t="s">
        <v>449</v>
      </c>
      <c r="R1384" s="1" t="s">
        <v>6175</v>
      </c>
      <c r="S1384" s="1" t="s">
        <v>32</v>
      </c>
      <c r="W1384" s="1">
        <v>0.0</v>
      </c>
      <c r="X1384" s="1">
        <v>1.0</v>
      </c>
    </row>
    <row r="1385" spans="1:24" ht="15.75" customHeight="1">
      <c r="A1385" s="1">
        <v>672222.0</v>
      </c>
      <c r="B1385" s="1" t="s">
        <v>6176</v>
      </c>
      <c r="C1385" s="1" t="s">
        <v>6177</v>
      </c>
      <c r="D1385" s="1" t="s">
        <v>6178</v>
      </c>
      <c r="F1385" s="1" t="str">
        <f>"0151707553"</f>
        <v>0151707553</v>
      </c>
      <c r="G1385" s="1" t="str">
        <f>"9780151707553"</f>
        <v>9780151707553</v>
      </c>
      <c r="H1385" s="1">
        <v>0.0</v>
      </c>
      <c r="I1385" s="1">
        <v>3.97</v>
      </c>
      <c r="J1385" s="1" t="s">
        <v>468</v>
      </c>
      <c r="K1385" s="1" t="s">
        <v>37</v>
      </c>
      <c r="L1385" s="1">
        <v>208.0</v>
      </c>
      <c r="M1385" s="1">
        <v>1990.0</v>
      </c>
      <c r="N1385" s="1">
        <v>1939.0</v>
      </c>
      <c r="P1385" s="2">
        <v>43941.0</v>
      </c>
      <c r="Q1385" s="1" t="s">
        <v>32</v>
      </c>
      <c r="R1385" s="1" t="s">
        <v>6179</v>
      </c>
      <c r="S1385" s="1" t="s">
        <v>32</v>
      </c>
      <c r="W1385" s="1">
        <v>0.0</v>
      </c>
      <c r="X1385" s="1">
        <v>0.0</v>
      </c>
    </row>
    <row r="1386" spans="1:24" ht="15.75" customHeight="1">
      <c r="A1386" s="1">
        <v>2.1535268E7</v>
      </c>
      <c r="B1386" s="1" t="s">
        <v>6180</v>
      </c>
      <c r="C1386" s="1" t="s">
        <v>6181</v>
      </c>
      <c r="D1386" s="1" t="s">
        <v>6182</v>
      </c>
      <c r="F1386" s="1" t="str">
        <f>"014310618X"</f>
        <v>014310618X</v>
      </c>
      <c r="G1386" s="1" t="str">
        <f>"9780143106180"</f>
        <v>9780143106180</v>
      </c>
      <c r="H1386" s="1">
        <v>0.0</v>
      </c>
      <c r="I1386" s="1">
        <v>3.55</v>
      </c>
      <c r="J1386" s="1" t="s">
        <v>1023</v>
      </c>
      <c r="K1386" s="1" t="s">
        <v>44</v>
      </c>
      <c r="L1386" s="1">
        <v>319.0</v>
      </c>
      <c r="M1386" s="1">
        <v>2014.0</v>
      </c>
      <c r="N1386" s="1">
        <v>2014.0</v>
      </c>
      <c r="P1386" s="2">
        <v>45114.0</v>
      </c>
      <c r="Q1386" s="1" t="s">
        <v>32</v>
      </c>
      <c r="R1386" s="1" t="s">
        <v>6183</v>
      </c>
      <c r="S1386" s="1" t="s">
        <v>32</v>
      </c>
      <c r="W1386" s="1">
        <v>0.0</v>
      </c>
      <c r="X1386" s="1">
        <v>0.0</v>
      </c>
    </row>
    <row r="1387" spans="1:24" ht="15.75" customHeight="1">
      <c r="A1387" s="1">
        <v>221157.0</v>
      </c>
      <c r="B1387" s="1" t="s">
        <v>6184</v>
      </c>
      <c r="C1387" s="1" t="s">
        <v>6185</v>
      </c>
      <c r="D1387" s="1" t="s">
        <v>6186</v>
      </c>
      <c r="F1387" s="1" t="str">
        <f>"0892365110"</f>
        <v>0892365110</v>
      </c>
      <c r="G1387" s="1" t="str">
        <f>"9780892365111"</f>
        <v>9780892365111</v>
      </c>
      <c r="H1387" s="1">
        <v>0.0</v>
      </c>
      <c r="I1387" s="1">
        <v>3.86</v>
      </c>
      <c r="J1387" s="1" t="s">
        <v>6187</v>
      </c>
      <c r="K1387" s="1" t="s">
        <v>44</v>
      </c>
      <c r="L1387" s="1">
        <v>154.0</v>
      </c>
      <c r="M1387" s="1">
        <v>1999.0</v>
      </c>
      <c r="N1387" s="1">
        <v>1999.0</v>
      </c>
      <c r="P1387" s="2">
        <v>44814.0</v>
      </c>
      <c r="Q1387" s="1" t="s">
        <v>32</v>
      </c>
      <c r="R1387" s="1" t="s">
        <v>6188</v>
      </c>
      <c r="S1387" s="1" t="s">
        <v>32</v>
      </c>
      <c r="W1387" s="1">
        <v>0.0</v>
      </c>
      <c r="X1387" s="1">
        <v>0.0</v>
      </c>
    </row>
    <row r="1388" spans="1:24" ht="15.75" customHeight="1">
      <c r="A1388" s="1">
        <v>76485.0</v>
      </c>
      <c r="B1388" s="1" t="s">
        <v>4299</v>
      </c>
      <c r="C1388" s="1" t="s">
        <v>6189</v>
      </c>
      <c r="D1388" s="1" t="s">
        <v>6190</v>
      </c>
      <c r="F1388" s="1" t="str">
        <f>"0316735051"</f>
        <v>0316735051</v>
      </c>
      <c r="G1388" s="1" t="str">
        <f>"9780316735056"</f>
        <v>9780316735056</v>
      </c>
      <c r="H1388" s="1">
        <v>0.0</v>
      </c>
      <c r="I1388" s="1">
        <v>3.22</v>
      </c>
      <c r="J1388" s="1" t="s">
        <v>2445</v>
      </c>
      <c r="K1388" s="1" t="s">
        <v>44</v>
      </c>
      <c r="L1388" s="1">
        <v>192.0</v>
      </c>
      <c r="M1388" s="1">
        <v>2003.0</v>
      </c>
      <c r="N1388" s="1">
        <v>1998.0</v>
      </c>
      <c r="P1388" s="2">
        <v>45115.0</v>
      </c>
      <c r="Q1388" s="1" t="s">
        <v>32</v>
      </c>
      <c r="R1388" s="1" t="s">
        <v>6191</v>
      </c>
      <c r="S1388" s="1" t="s">
        <v>32</v>
      </c>
      <c r="W1388" s="1">
        <v>0.0</v>
      </c>
      <c r="X1388" s="1">
        <v>0.0</v>
      </c>
    </row>
    <row r="1389" spans="1:24" ht="15.75" customHeight="1">
      <c r="A1389" s="1">
        <v>2.0587905E7</v>
      </c>
      <c r="B1389" s="1" t="s">
        <v>6192</v>
      </c>
      <c r="C1389" s="1" t="s">
        <v>6193</v>
      </c>
      <c r="D1389" s="1" t="s">
        <v>6194</v>
      </c>
      <c r="F1389" s="1" t="str">
        <f>"0385531206"</f>
        <v>0385531206</v>
      </c>
      <c r="G1389" s="1" t="str">
        <f>"9780385531207"</f>
        <v>9780385531207</v>
      </c>
      <c r="H1389" s="1">
        <v>0.0</v>
      </c>
      <c r="I1389" s="1">
        <v>3.46</v>
      </c>
      <c r="J1389" s="1" t="s">
        <v>4138</v>
      </c>
      <c r="K1389" s="1" t="s">
        <v>37</v>
      </c>
      <c r="L1389" s="1">
        <v>382.0</v>
      </c>
      <c r="M1389" s="1">
        <v>2014.0</v>
      </c>
      <c r="N1389" s="1">
        <v>2014.0</v>
      </c>
      <c r="P1389" s="2">
        <v>45082.0</v>
      </c>
      <c r="Q1389" s="1" t="s">
        <v>1848</v>
      </c>
      <c r="R1389" s="1" t="s">
        <v>6195</v>
      </c>
      <c r="S1389" s="1" t="s">
        <v>32</v>
      </c>
      <c r="W1389" s="1">
        <v>0.0</v>
      </c>
      <c r="X1389" s="1">
        <v>0.0</v>
      </c>
    </row>
    <row r="1390" spans="1:24" ht="15.75" customHeight="1">
      <c r="A1390" s="1">
        <v>607541.0</v>
      </c>
      <c r="B1390" s="1" t="s">
        <v>6196</v>
      </c>
      <c r="C1390" s="1" t="s">
        <v>6197</v>
      </c>
      <c r="D1390" s="1" t="s">
        <v>6198</v>
      </c>
      <c r="F1390" s="1" t="str">
        <f>"0385314264"</f>
        <v>0385314264</v>
      </c>
      <c r="G1390" s="1" t="str">
        <f>"9780385314268"</f>
        <v>9780385314268</v>
      </c>
      <c r="H1390" s="1">
        <v>0.0</v>
      </c>
      <c r="I1390" s="1">
        <v>3.85</v>
      </c>
      <c r="J1390" s="1" t="s">
        <v>6199</v>
      </c>
      <c r="K1390" s="1" t="s">
        <v>44</v>
      </c>
      <c r="L1390" s="1">
        <v>352.0</v>
      </c>
      <c r="M1390" s="1">
        <v>1995.0</v>
      </c>
      <c r="N1390" s="1">
        <v>1994.0</v>
      </c>
      <c r="P1390" s="2">
        <v>45165.0</v>
      </c>
      <c r="Q1390" s="1" t="s">
        <v>32</v>
      </c>
      <c r="R1390" s="1" t="s">
        <v>6200</v>
      </c>
      <c r="S1390" s="1" t="s">
        <v>32</v>
      </c>
      <c r="W1390" s="1">
        <v>0.0</v>
      </c>
      <c r="X1390" s="1">
        <v>0.0</v>
      </c>
    </row>
    <row r="1391" spans="1:24" ht="15.75" customHeight="1">
      <c r="A1391" s="1">
        <v>5.3138041E7</v>
      </c>
      <c r="B1391" s="1" t="s">
        <v>6201</v>
      </c>
      <c r="C1391" s="1" t="s">
        <v>6202</v>
      </c>
      <c r="D1391" s="1" t="s">
        <v>6203</v>
      </c>
      <c r="F1391" s="1" t="str">
        <f>"1250201462"</f>
        <v>1250201462</v>
      </c>
      <c r="G1391" s="1" t="str">
        <f>"9781250201461"</f>
        <v>9781250201461</v>
      </c>
      <c r="H1391" s="1">
        <v>0.0</v>
      </c>
      <c r="I1391" s="1">
        <v>4.28</v>
      </c>
      <c r="J1391" s="1" t="s">
        <v>2484</v>
      </c>
      <c r="K1391" s="1" t="s">
        <v>37</v>
      </c>
      <c r="L1391" s="1">
        <v>352.0</v>
      </c>
      <c r="M1391" s="1">
        <v>2021.0</v>
      </c>
      <c r="N1391" s="1">
        <v>2021.0</v>
      </c>
      <c r="P1391" s="2">
        <v>45266.0</v>
      </c>
      <c r="Q1391" s="1" t="s">
        <v>55</v>
      </c>
      <c r="R1391" s="1" t="s">
        <v>6204</v>
      </c>
      <c r="S1391" s="1" t="s">
        <v>32</v>
      </c>
      <c r="W1391" s="1">
        <v>0.0</v>
      </c>
      <c r="X1391" s="1">
        <v>0.0</v>
      </c>
    </row>
    <row r="1392" spans="1:24" ht="15.75" customHeight="1">
      <c r="A1392" s="1">
        <v>2.57339E7</v>
      </c>
      <c r="B1392" s="1" t="s">
        <v>6205</v>
      </c>
      <c r="C1392" s="1" t="s">
        <v>6206</v>
      </c>
      <c r="D1392" s="1" t="s">
        <v>6207</v>
      </c>
      <c r="F1392" s="1" t="str">
        <f>"0385343590"</f>
        <v>0385343590</v>
      </c>
      <c r="G1392" s="1" t="str">
        <f>"9780385343596"</f>
        <v>9780385343596</v>
      </c>
      <c r="H1392" s="1">
        <v>0.0</v>
      </c>
      <c r="I1392" s="1">
        <v>3.75</v>
      </c>
      <c r="J1392" s="1" t="s">
        <v>6208</v>
      </c>
      <c r="K1392" s="1" t="s">
        <v>37</v>
      </c>
      <c r="L1392" s="1">
        <v>320.0</v>
      </c>
      <c r="M1392" s="1">
        <v>2016.0</v>
      </c>
      <c r="N1392" s="1">
        <v>2016.0</v>
      </c>
      <c r="P1392" s="3">
        <v>45243.0</v>
      </c>
      <c r="Q1392" s="1" t="s">
        <v>55</v>
      </c>
      <c r="R1392" s="1" t="s">
        <v>6209</v>
      </c>
      <c r="S1392" s="1" t="s">
        <v>32</v>
      </c>
      <c r="W1392" s="1">
        <v>0.0</v>
      </c>
      <c r="X1392" s="1">
        <v>0.0</v>
      </c>
    </row>
    <row r="1393" spans="1:24" ht="15.75" customHeight="1">
      <c r="A1393" s="1">
        <v>4.406729E7</v>
      </c>
      <c r="B1393" s="1" t="s">
        <v>6210</v>
      </c>
      <c r="C1393" s="1" t="s">
        <v>6211</v>
      </c>
      <c r="D1393" s="1" t="s">
        <v>6212</v>
      </c>
      <c r="F1393" s="1" t="str">
        <f>"0062684930"</f>
        <v>0062684930</v>
      </c>
      <c r="G1393" s="1" t="str">
        <f>"9780062684936"</f>
        <v>9780062684936</v>
      </c>
      <c r="H1393" s="1">
        <v>0.0</v>
      </c>
      <c r="I1393" s="1">
        <v>3.96</v>
      </c>
      <c r="J1393" s="1" t="s">
        <v>1968</v>
      </c>
      <c r="K1393" s="1" t="s">
        <v>1225</v>
      </c>
      <c r="L1393" s="1">
        <v>293.0</v>
      </c>
      <c r="M1393" s="1">
        <v>2018.0</v>
      </c>
      <c r="N1393" s="1">
        <v>2017.0</v>
      </c>
      <c r="P1393" s="2">
        <v>45129.0</v>
      </c>
      <c r="Q1393" s="1" t="s">
        <v>788</v>
      </c>
      <c r="R1393" s="1" t="s">
        <v>6213</v>
      </c>
      <c r="S1393" s="1" t="s">
        <v>32</v>
      </c>
      <c r="W1393" s="1">
        <v>0.0</v>
      </c>
      <c r="X1393" s="1">
        <v>1.0</v>
      </c>
    </row>
    <row r="1394" spans="1:24" ht="15.75" customHeight="1">
      <c r="A1394" s="1">
        <v>361459.0</v>
      </c>
      <c r="B1394" s="1" t="s">
        <v>6214</v>
      </c>
      <c r="C1394" s="1" t="s">
        <v>3579</v>
      </c>
      <c r="D1394" s="1" t="s">
        <v>6215</v>
      </c>
      <c r="F1394" s="1" t="str">
        <f>"0679763309"</f>
        <v>0679763309</v>
      </c>
      <c r="G1394" s="1" t="str">
        <f>"9780679763307"</f>
        <v>9780679763307</v>
      </c>
      <c r="H1394" s="1">
        <v>0.0</v>
      </c>
      <c r="I1394" s="1">
        <v>4.06</v>
      </c>
      <c r="J1394" s="1" t="s">
        <v>69</v>
      </c>
      <c r="K1394" s="1" t="s">
        <v>44</v>
      </c>
      <c r="L1394" s="1">
        <v>223.0</v>
      </c>
      <c r="M1394" s="1">
        <v>1996.0</v>
      </c>
      <c r="N1394" s="1">
        <v>1995.0</v>
      </c>
      <c r="P1394" s="2">
        <v>44238.0</v>
      </c>
      <c r="Q1394" s="1" t="s">
        <v>1739</v>
      </c>
      <c r="R1394" s="1" t="s">
        <v>6216</v>
      </c>
      <c r="S1394" s="1" t="s">
        <v>32</v>
      </c>
      <c r="W1394" s="1">
        <v>0.0</v>
      </c>
      <c r="X1394" s="1">
        <v>0.0</v>
      </c>
    </row>
    <row r="1395" spans="1:24" ht="15.75" customHeight="1">
      <c r="A1395" s="1">
        <v>33832.0</v>
      </c>
      <c r="B1395" s="1" t="s">
        <v>6217</v>
      </c>
      <c r="C1395" s="1" t="s">
        <v>3579</v>
      </c>
      <c r="D1395" s="1" t="s">
        <v>6215</v>
      </c>
      <c r="F1395" s="1" t="str">
        <f>"0375701478"</f>
        <v>0375701478</v>
      </c>
      <c r="G1395" s="1" t="str">
        <f>"9780375701474"</f>
        <v>9780375701474</v>
      </c>
      <c r="H1395" s="1">
        <v>0.0</v>
      </c>
      <c r="I1395" s="1">
        <v>4.11</v>
      </c>
      <c r="J1395" s="1" t="s">
        <v>69</v>
      </c>
      <c r="K1395" s="1" t="s">
        <v>44</v>
      </c>
      <c r="L1395" s="1">
        <v>432.0</v>
      </c>
      <c r="M1395" s="1">
        <v>2000.0</v>
      </c>
      <c r="N1395" s="1">
        <v>1999.0</v>
      </c>
      <c r="P1395" s="2">
        <v>45164.0</v>
      </c>
      <c r="Q1395" s="1" t="s">
        <v>249</v>
      </c>
      <c r="R1395" s="1" t="s">
        <v>6218</v>
      </c>
      <c r="S1395" s="1" t="s">
        <v>32</v>
      </c>
      <c r="W1395" s="1">
        <v>0.0</v>
      </c>
      <c r="X1395" s="1">
        <v>0.0</v>
      </c>
    </row>
    <row r="1396" spans="1:24" ht="15.75" customHeight="1">
      <c r="A1396" s="1">
        <v>36436.0</v>
      </c>
      <c r="B1396" s="1" t="s">
        <v>6219</v>
      </c>
      <c r="C1396" s="1" t="s">
        <v>3579</v>
      </c>
      <c r="D1396" s="1" t="s">
        <v>6215</v>
      </c>
      <c r="F1396" s="1" t="str">
        <f>"0375701486"</f>
        <v>0375701486</v>
      </c>
      <c r="G1396" s="1" t="str">
        <f>"9780375701481"</f>
        <v>9780375701481</v>
      </c>
      <c r="H1396" s="1">
        <v>0.0</v>
      </c>
      <c r="I1396" s="1">
        <v>3.8</v>
      </c>
      <c r="J1396" s="1" t="s">
        <v>69</v>
      </c>
      <c r="K1396" s="1" t="s">
        <v>44</v>
      </c>
      <c r="L1396" s="1">
        <v>416.0</v>
      </c>
      <c r="M1396" s="1">
        <v>2005.0</v>
      </c>
      <c r="N1396" s="1">
        <v>2004.0</v>
      </c>
      <c r="P1396" s="2">
        <v>45171.0</v>
      </c>
      <c r="Q1396" s="1" t="s">
        <v>32</v>
      </c>
      <c r="R1396" s="1" t="s">
        <v>6220</v>
      </c>
      <c r="S1396" s="1" t="s">
        <v>32</v>
      </c>
      <c r="W1396" s="1">
        <v>0.0</v>
      </c>
      <c r="X1396" s="1">
        <v>0.0</v>
      </c>
    </row>
    <row r="1397" spans="1:24" ht="15.75" customHeight="1">
      <c r="A1397" s="1">
        <v>5.4120408E7</v>
      </c>
      <c r="B1397" s="1" t="s">
        <v>6221</v>
      </c>
      <c r="C1397" s="1" t="s">
        <v>6222</v>
      </c>
      <c r="D1397" s="1" t="s">
        <v>6223</v>
      </c>
      <c r="F1397" s="1" t="str">
        <f>"059331817X"</f>
        <v>059331817X</v>
      </c>
      <c r="G1397" s="1" t="str">
        <f>"9780593318171"</f>
        <v>9780593318171</v>
      </c>
      <c r="H1397" s="1">
        <v>0.0</v>
      </c>
      <c r="I1397" s="1">
        <v>3.75</v>
      </c>
      <c r="J1397" s="1" t="s">
        <v>530</v>
      </c>
      <c r="K1397" s="1" t="s">
        <v>37</v>
      </c>
      <c r="L1397" s="1">
        <v>303.0</v>
      </c>
      <c r="M1397" s="1">
        <v>2021.0</v>
      </c>
      <c r="N1397" s="1">
        <v>2021.0</v>
      </c>
      <c r="P1397" s="2">
        <v>44216.0</v>
      </c>
      <c r="Q1397" s="1" t="s">
        <v>502</v>
      </c>
      <c r="R1397" s="1" t="s">
        <v>6224</v>
      </c>
      <c r="S1397" s="1" t="s">
        <v>32</v>
      </c>
      <c r="W1397" s="1">
        <v>0.0</v>
      </c>
      <c r="X1397" s="1">
        <v>0.0</v>
      </c>
    </row>
    <row r="1398" spans="1:24" ht="15.75" customHeight="1">
      <c r="A1398" s="1">
        <v>28921.0</v>
      </c>
      <c r="B1398" s="1" t="s">
        <v>6225</v>
      </c>
      <c r="C1398" s="1" t="s">
        <v>6222</v>
      </c>
      <c r="D1398" s="1" t="s">
        <v>6223</v>
      </c>
      <c r="F1398" s="1" t="str">
        <f t="shared" si="101" ref="F1398:G1398">""</f>
        <v/>
      </c>
      <c r="G1398" s="1" t="str">
        <f t="shared" si="101"/>
        <v/>
      </c>
      <c r="H1398" s="1">
        <v>0.0</v>
      </c>
      <c r="I1398" s="1">
        <v>4.14</v>
      </c>
      <c r="J1398" s="1" t="s">
        <v>454</v>
      </c>
      <c r="K1398" s="1" t="s">
        <v>44</v>
      </c>
      <c r="L1398" s="1">
        <v>258.0</v>
      </c>
      <c r="M1398" s="1">
        <v>2005.0</v>
      </c>
      <c r="N1398" s="1">
        <v>1989.0</v>
      </c>
      <c r="P1398" s="2">
        <v>42377.0</v>
      </c>
      <c r="Q1398" s="1" t="s">
        <v>261</v>
      </c>
      <c r="R1398" s="1" t="s">
        <v>6226</v>
      </c>
      <c r="S1398" s="1" t="s">
        <v>32</v>
      </c>
      <c r="W1398" s="1">
        <v>0.0</v>
      </c>
      <c r="X1398" s="1">
        <v>0.0</v>
      </c>
    </row>
    <row r="1399" spans="1:24" ht="15.75" customHeight="1">
      <c r="A1399" s="1">
        <v>126348.0</v>
      </c>
      <c r="B1399" s="1" t="s">
        <v>6227</v>
      </c>
      <c r="C1399" s="1" t="s">
        <v>6228</v>
      </c>
      <c r="D1399" s="1" t="s">
        <v>6229</v>
      </c>
      <c r="F1399" s="1" t="str">
        <f>"1594480664"</f>
        <v>1594480664</v>
      </c>
      <c r="G1399" s="1" t="str">
        <f>"9781594480669"</f>
        <v>9781594480669</v>
      </c>
      <c r="H1399" s="1">
        <v>0.0</v>
      </c>
      <c r="I1399" s="1">
        <v>4.15</v>
      </c>
      <c r="J1399" s="1" t="s">
        <v>1661</v>
      </c>
      <c r="K1399" s="1" t="s">
        <v>44</v>
      </c>
      <c r="L1399" s="1">
        <v>272.0</v>
      </c>
      <c r="M1399" s="1">
        <v>2005.0</v>
      </c>
      <c r="N1399" s="1">
        <v>2004.0</v>
      </c>
      <c r="P1399" s="2">
        <v>44812.0</v>
      </c>
      <c r="Q1399" s="1" t="s">
        <v>32</v>
      </c>
      <c r="R1399" s="1" t="s">
        <v>6230</v>
      </c>
      <c r="S1399" s="1" t="s">
        <v>32</v>
      </c>
      <c r="W1399" s="1">
        <v>0.0</v>
      </c>
      <c r="X1399" s="1">
        <v>0.0</v>
      </c>
    </row>
    <row r="1400" spans="1:24" ht="15.75" customHeight="1">
      <c r="A1400" s="1">
        <v>1.7573647E7</v>
      </c>
      <c r="B1400" s="1" t="s">
        <v>6231</v>
      </c>
      <c r="C1400" s="1" t="s">
        <v>6232</v>
      </c>
      <c r="D1400" s="1" t="s">
        <v>6233</v>
      </c>
      <c r="F1400" s="1" t="str">
        <f>"0393064425"</f>
        <v>0393064425</v>
      </c>
      <c r="G1400" s="1" t="str">
        <f>"9780393064421"</f>
        <v>9780393064421</v>
      </c>
      <c r="H1400" s="1">
        <v>0.0</v>
      </c>
      <c r="I1400" s="1">
        <v>3.96</v>
      </c>
      <c r="J1400" s="1" t="s">
        <v>248</v>
      </c>
      <c r="K1400" s="1" t="s">
        <v>37</v>
      </c>
      <c r="L1400" s="1">
        <v>352.0</v>
      </c>
      <c r="M1400" s="1">
        <v>2013.0</v>
      </c>
      <c r="N1400" s="1">
        <v>2013.0</v>
      </c>
      <c r="P1400" s="2">
        <v>44205.0</v>
      </c>
      <c r="Q1400" s="1" t="s">
        <v>32</v>
      </c>
      <c r="R1400" s="1" t="s">
        <v>6234</v>
      </c>
      <c r="S1400" s="1" t="s">
        <v>32</v>
      </c>
      <c r="W1400" s="1">
        <v>0.0</v>
      </c>
      <c r="X1400" s="1">
        <v>0.0</v>
      </c>
    </row>
    <row r="1401" spans="1:24" ht="15.75" customHeight="1">
      <c r="A1401" s="1">
        <v>390745.0</v>
      </c>
      <c r="B1401" s="1" t="s">
        <v>6235</v>
      </c>
      <c r="C1401" s="1" t="s">
        <v>6236</v>
      </c>
      <c r="D1401" s="1" t="s">
        <v>6237</v>
      </c>
      <c r="F1401" s="1" t="str">
        <f>"0415061350"</f>
        <v>0415061350</v>
      </c>
      <c r="G1401" s="1" t="str">
        <f>"9780415061353"</f>
        <v>9780415061353</v>
      </c>
      <c r="H1401" s="1">
        <v>0.0</v>
      </c>
      <c r="I1401" s="1">
        <v>3.6</v>
      </c>
      <c r="J1401" s="1" t="s">
        <v>280</v>
      </c>
      <c r="K1401" s="1" t="s">
        <v>44</v>
      </c>
      <c r="L1401" s="1">
        <v>204.0</v>
      </c>
      <c r="M1401" s="1">
        <v>1992.0</v>
      </c>
      <c r="N1401" s="1">
        <v>1992.0</v>
      </c>
      <c r="P1401" s="2">
        <v>45120.0</v>
      </c>
      <c r="Q1401" s="1" t="s">
        <v>725</v>
      </c>
      <c r="R1401" s="1" t="s">
        <v>6238</v>
      </c>
      <c r="S1401" s="1" t="s">
        <v>32</v>
      </c>
      <c r="W1401" s="1">
        <v>0.0</v>
      </c>
      <c r="X1401" s="1">
        <v>0.0</v>
      </c>
    </row>
    <row r="1402" spans="1:24" ht="15.75" customHeight="1">
      <c r="A1402" s="1">
        <v>5.84615E7</v>
      </c>
      <c r="B1402" s="1" t="s">
        <v>6239</v>
      </c>
      <c r="C1402" s="1" t="s">
        <v>6240</v>
      </c>
      <c r="D1402" s="1" t="s">
        <v>6241</v>
      </c>
      <c r="F1402" s="1" t="str">
        <f t="shared" si="102" ref="F1402:G1402">""</f>
        <v/>
      </c>
      <c r="G1402" s="1" t="str">
        <f t="shared" si="102"/>
        <v/>
      </c>
      <c r="H1402" s="1">
        <v>5.0</v>
      </c>
      <c r="I1402" s="1">
        <v>4.2</v>
      </c>
      <c r="J1402" s="1" t="s">
        <v>1234</v>
      </c>
      <c r="K1402" s="1" t="s">
        <v>1225</v>
      </c>
      <c r="L1402" s="1">
        <v>325.0</v>
      </c>
      <c r="M1402" s="1">
        <v>1993.0</v>
      </c>
      <c r="N1402" s="1">
        <v>1962.0</v>
      </c>
      <c r="O1402" s="2">
        <v>41765.0</v>
      </c>
      <c r="P1402" s="2">
        <v>41737.0</v>
      </c>
      <c r="Q1402" s="1" t="s">
        <v>594</v>
      </c>
      <c r="R1402" s="1" t="s">
        <v>6242</v>
      </c>
      <c r="S1402" s="1" t="s">
        <v>271</v>
      </c>
      <c r="W1402" s="1">
        <v>1.0</v>
      </c>
      <c r="X1402" s="1">
        <v>1.0</v>
      </c>
    </row>
    <row r="1403" spans="1:24" ht="15.75" customHeight="1">
      <c r="A1403" s="1">
        <v>721863.0</v>
      </c>
      <c r="B1403" s="1" t="s">
        <v>6243</v>
      </c>
      <c r="C1403" s="1" t="s">
        <v>6244</v>
      </c>
      <c r="D1403" s="1" t="s">
        <v>6245</v>
      </c>
      <c r="E1403" s="1" t="s">
        <v>6246</v>
      </c>
      <c r="F1403" s="1" t="str">
        <f>"4770021844"</f>
        <v>4770021844</v>
      </c>
      <c r="G1403" s="1" t="str">
        <f>"9784770021847"</f>
        <v>9784770021847</v>
      </c>
      <c r="H1403" s="1">
        <v>0.0</v>
      </c>
      <c r="I1403" s="1">
        <v>3.9</v>
      </c>
      <c r="J1403" s="1" t="s">
        <v>6247</v>
      </c>
      <c r="K1403" s="1" t="s">
        <v>44</v>
      </c>
      <c r="L1403" s="1">
        <v>273.0</v>
      </c>
      <c r="M1403" s="1">
        <v>1997.0</v>
      </c>
      <c r="N1403" s="1">
        <v>1994.0</v>
      </c>
      <c r="P1403" s="2">
        <v>45169.0</v>
      </c>
      <c r="Q1403" s="1" t="s">
        <v>32</v>
      </c>
      <c r="R1403" s="1" t="s">
        <v>6248</v>
      </c>
      <c r="S1403" s="1" t="s">
        <v>32</v>
      </c>
      <c r="W1403" s="1">
        <v>0.0</v>
      </c>
      <c r="X1403" s="1">
        <v>0.0</v>
      </c>
    </row>
    <row r="1404" spans="1:24" ht="15.75" customHeight="1">
      <c r="A1404" s="1">
        <v>473557.0</v>
      </c>
      <c r="B1404" s="1" t="s">
        <v>6249</v>
      </c>
      <c r="C1404" s="1" t="s">
        <v>6250</v>
      </c>
      <c r="D1404" s="1" t="s">
        <v>6251</v>
      </c>
      <c r="F1404" s="1" t="str">
        <f>"0811201449"</f>
        <v>0811201449</v>
      </c>
      <c r="G1404" s="1" t="str">
        <f>"9780811201445"</f>
        <v>9780811201445</v>
      </c>
      <c r="H1404" s="1">
        <v>0.0</v>
      </c>
      <c r="I1404" s="1">
        <v>4.21</v>
      </c>
      <c r="J1404" s="1" t="s">
        <v>419</v>
      </c>
      <c r="K1404" s="1" t="s">
        <v>44</v>
      </c>
      <c r="L1404" s="1">
        <v>313.0</v>
      </c>
      <c r="M1404" s="1">
        <v>1961.0</v>
      </c>
      <c r="N1404" s="1">
        <v>1941.0</v>
      </c>
      <c r="P1404" s="2">
        <v>45129.0</v>
      </c>
      <c r="Q1404" s="1" t="s">
        <v>145</v>
      </c>
      <c r="R1404" s="1" t="s">
        <v>6252</v>
      </c>
      <c r="S1404" s="1" t="s">
        <v>32</v>
      </c>
      <c r="W1404" s="1">
        <v>0.0</v>
      </c>
      <c r="X1404" s="1">
        <v>0.0</v>
      </c>
    </row>
    <row r="1405" spans="1:24" ht="15.75" customHeight="1">
      <c r="A1405" s="1">
        <v>25191.0</v>
      </c>
      <c r="B1405" s="1" t="s">
        <v>6253</v>
      </c>
      <c r="C1405" s="1" t="s">
        <v>6254</v>
      </c>
      <c r="D1405" s="1" t="s">
        <v>6255</v>
      </c>
      <c r="E1405" s="1" t="s">
        <v>6256</v>
      </c>
      <c r="F1405" s="1" t="str">
        <f>"0802150616"</f>
        <v>0802150616</v>
      </c>
      <c r="G1405" s="1" t="str">
        <f>"9780802150615"</f>
        <v>9780802150615</v>
      </c>
      <c r="H1405" s="1">
        <v>0.0</v>
      </c>
      <c r="I1405" s="1">
        <v>3.9</v>
      </c>
      <c r="J1405" s="1" t="s">
        <v>663</v>
      </c>
      <c r="K1405" s="1" t="s">
        <v>44</v>
      </c>
      <c r="L1405" s="1">
        <v>165.0</v>
      </c>
      <c r="M1405" s="1">
        <v>1994.0</v>
      </c>
      <c r="N1405" s="1">
        <v>1964.0</v>
      </c>
      <c r="P1405" s="2">
        <v>44459.0</v>
      </c>
      <c r="Q1405" s="1" t="s">
        <v>32</v>
      </c>
      <c r="R1405" s="1" t="s">
        <v>6257</v>
      </c>
      <c r="S1405" s="1" t="s">
        <v>32</v>
      </c>
      <c r="W1405" s="1">
        <v>0.0</v>
      </c>
      <c r="X1405" s="1">
        <v>0.0</v>
      </c>
    </row>
    <row r="1406" spans="1:24" ht="15.75" customHeight="1">
      <c r="A1406" s="1">
        <v>460635.0</v>
      </c>
      <c r="B1406" s="1" t="s">
        <v>6258</v>
      </c>
      <c r="C1406" s="1" t="s">
        <v>6259</v>
      </c>
      <c r="D1406" s="1" t="s">
        <v>6260</v>
      </c>
      <c r="F1406" s="1" t="str">
        <f>"0140089225"</f>
        <v>0140089225</v>
      </c>
      <c r="G1406" s="1" t="str">
        <f>"9780140089226"</f>
        <v>9780140089226</v>
      </c>
      <c r="H1406" s="1">
        <v>0.0</v>
      </c>
      <c r="I1406" s="1">
        <v>4.04</v>
      </c>
      <c r="J1406" s="1" t="s">
        <v>309</v>
      </c>
      <c r="K1406" s="1" t="s">
        <v>44</v>
      </c>
      <c r="L1406" s="1">
        <v>450.0</v>
      </c>
      <c r="M1406" s="1">
        <v>1986.0</v>
      </c>
      <c r="N1406" s="1">
        <v>1984.0</v>
      </c>
      <c r="P1406" s="2">
        <v>45111.0</v>
      </c>
      <c r="Q1406" s="1" t="s">
        <v>261</v>
      </c>
      <c r="R1406" s="1" t="s">
        <v>6261</v>
      </c>
      <c r="S1406" s="1" t="s">
        <v>32</v>
      </c>
      <c r="W1406" s="1">
        <v>0.0</v>
      </c>
      <c r="X1406" s="1">
        <v>0.0</v>
      </c>
    </row>
    <row r="1407" spans="1:24" ht="15.75" customHeight="1">
      <c r="A1407" s="1">
        <v>1.3539039E7</v>
      </c>
      <c r="B1407" s="1" t="s">
        <v>6262</v>
      </c>
      <c r="C1407" s="1" t="s">
        <v>6263</v>
      </c>
      <c r="D1407" s="1" t="s">
        <v>6264</v>
      </c>
      <c r="F1407" s="1" t="str">
        <f>"0374291357"</f>
        <v>0374291357</v>
      </c>
      <c r="G1407" s="1" t="str">
        <f>"9780374291358"</f>
        <v>9780374291358</v>
      </c>
      <c r="H1407" s="1">
        <v>0.0</v>
      </c>
      <c r="I1407" s="1">
        <v>3.75</v>
      </c>
      <c r="J1407" s="1" t="s">
        <v>5261</v>
      </c>
      <c r="K1407" s="1" t="s">
        <v>37</v>
      </c>
      <c r="L1407" s="1">
        <v>222.0</v>
      </c>
      <c r="M1407" s="1">
        <v>2012.0</v>
      </c>
      <c r="N1407" s="1">
        <v>2012.0</v>
      </c>
      <c r="P1407" s="2">
        <v>42392.0</v>
      </c>
      <c r="Q1407" s="1" t="s">
        <v>32</v>
      </c>
      <c r="R1407" s="1" t="s">
        <v>6265</v>
      </c>
      <c r="S1407" s="1" t="s">
        <v>32</v>
      </c>
      <c r="W1407" s="1">
        <v>0.0</v>
      </c>
      <c r="X1407" s="1">
        <v>0.0</v>
      </c>
    </row>
    <row r="1408" spans="1:24" ht="15.75" customHeight="1">
      <c r="A1408" s="1">
        <v>2.5429331E7</v>
      </c>
      <c r="B1408" s="1" t="s">
        <v>6266</v>
      </c>
      <c r="C1408" s="1" t="s">
        <v>6267</v>
      </c>
      <c r="D1408" s="1" t="s">
        <v>6268</v>
      </c>
      <c r="F1408" s="1" t="str">
        <f t="shared" si="103" ref="F1408:G1408">""</f>
        <v/>
      </c>
      <c r="G1408" s="1" t="str">
        <f t="shared" si="103"/>
        <v/>
      </c>
      <c r="H1408" s="1">
        <v>0.0</v>
      </c>
      <c r="I1408" s="1">
        <v>4.5</v>
      </c>
      <c r="J1408" s="1" t="s">
        <v>6269</v>
      </c>
      <c r="L1408" s="1">
        <v>20.0</v>
      </c>
      <c r="M1408" s="1">
        <v>2015.0</v>
      </c>
      <c r="N1408" s="1">
        <v>2015.0</v>
      </c>
      <c r="P1408" s="2">
        <v>43952.0</v>
      </c>
      <c r="Q1408" s="1" t="s">
        <v>1053</v>
      </c>
      <c r="R1408" s="1" t="s">
        <v>6270</v>
      </c>
      <c r="S1408" s="1" t="s">
        <v>32</v>
      </c>
      <c r="W1408" s="1">
        <v>0.0</v>
      </c>
      <c r="X1408" s="1">
        <v>0.0</v>
      </c>
    </row>
    <row r="1409" spans="1:24" ht="15.75" customHeight="1">
      <c r="A1409" s="1">
        <v>3.9655238E7</v>
      </c>
      <c r="B1409" s="1" t="s">
        <v>6271</v>
      </c>
      <c r="C1409" s="1" t="s">
        <v>6267</v>
      </c>
      <c r="D1409" s="1" t="s">
        <v>6268</v>
      </c>
      <c r="E1409" s="1" t="s">
        <v>6272</v>
      </c>
      <c r="F1409" s="1" t="str">
        <f>"1635900409"</f>
        <v>1635900409</v>
      </c>
      <c r="G1409" s="1" t="str">
        <f>"9781635900408"</f>
        <v>9781635900408</v>
      </c>
      <c r="H1409" s="1">
        <v>0.0</v>
      </c>
      <c r="I1409" s="1">
        <v>4.12</v>
      </c>
      <c r="J1409" s="1" t="s">
        <v>2564</v>
      </c>
      <c r="K1409" s="1" t="s">
        <v>44</v>
      </c>
      <c r="L1409" s="1">
        <v>312.0</v>
      </c>
      <c r="M1409" s="1">
        <v>2018.0</v>
      </c>
      <c r="N1409" s="1">
        <v>2018.0</v>
      </c>
      <c r="P1409" s="2">
        <v>43952.0</v>
      </c>
      <c r="Q1409" s="1" t="s">
        <v>32</v>
      </c>
      <c r="R1409" s="1" t="s">
        <v>6273</v>
      </c>
      <c r="S1409" s="1" t="s">
        <v>32</v>
      </c>
      <c r="W1409" s="1">
        <v>0.0</v>
      </c>
      <c r="X1409" s="1">
        <v>0.0</v>
      </c>
    </row>
    <row r="1410" spans="1:24" ht="15.75" customHeight="1">
      <c r="A1410" s="1">
        <v>5.1375442E7</v>
      </c>
      <c r="B1410" s="1" t="s">
        <v>6274</v>
      </c>
      <c r="C1410" s="1" t="s">
        <v>6275</v>
      </c>
      <c r="D1410" s="1" t="s">
        <v>6276</v>
      </c>
      <c r="E1410" s="1" t="s">
        <v>6277</v>
      </c>
      <c r="F1410" s="1" t="str">
        <f>"1982123079"</f>
        <v>1982123079</v>
      </c>
      <c r="G1410" s="1" t="str">
        <f>"9781982123079"</f>
        <v>9781982123079</v>
      </c>
      <c r="H1410" s="1">
        <v>0.0</v>
      </c>
      <c r="I1410" s="1">
        <v>4.29</v>
      </c>
      <c r="J1410" s="1" t="s">
        <v>6278</v>
      </c>
      <c r="K1410" s="1" t="s">
        <v>37</v>
      </c>
      <c r="L1410" s="1">
        <v>496.0</v>
      </c>
      <c r="M1410" s="1">
        <v>2020.0</v>
      </c>
      <c r="N1410" s="1">
        <v>2020.0</v>
      </c>
      <c r="P1410" s="2">
        <v>43925.0</v>
      </c>
      <c r="Q1410" s="1" t="s">
        <v>32</v>
      </c>
      <c r="R1410" s="1" t="s">
        <v>6279</v>
      </c>
      <c r="S1410" s="1" t="s">
        <v>32</v>
      </c>
      <c r="W1410" s="1">
        <v>0.0</v>
      </c>
      <c r="X1410" s="1">
        <v>0.0</v>
      </c>
    </row>
    <row r="1411" spans="1:24" ht="15.75" customHeight="1">
      <c r="A1411" s="1">
        <v>6629709.0</v>
      </c>
      <c r="B1411" s="1" t="s">
        <v>6280</v>
      </c>
      <c r="C1411" s="1" t="s">
        <v>6281</v>
      </c>
      <c r="D1411" s="1" t="s">
        <v>6282</v>
      </c>
      <c r="F1411" s="1" t="str">
        <f>"0061766100"</f>
        <v>0061766100</v>
      </c>
      <c r="G1411" s="1" t="str">
        <f>"9780061766107"</f>
        <v>9780061766107</v>
      </c>
      <c r="H1411" s="1">
        <v>0.0</v>
      </c>
      <c r="I1411" s="1">
        <v>3.52</v>
      </c>
      <c r="J1411" s="1" t="s">
        <v>917</v>
      </c>
      <c r="K1411" s="1" t="s">
        <v>44</v>
      </c>
      <c r="L1411" s="1">
        <v>218.0</v>
      </c>
      <c r="M1411" s="1">
        <v>2010.0</v>
      </c>
      <c r="N1411" s="1">
        <v>2010.0</v>
      </c>
      <c r="P1411" s="2">
        <v>43921.0</v>
      </c>
      <c r="Q1411" s="1" t="s">
        <v>32</v>
      </c>
      <c r="R1411" s="1" t="s">
        <v>6283</v>
      </c>
      <c r="S1411" s="1" t="s">
        <v>32</v>
      </c>
      <c r="W1411" s="1">
        <v>0.0</v>
      </c>
      <c r="X1411" s="1">
        <v>0.0</v>
      </c>
    </row>
    <row r="1412" spans="1:24" ht="15.75" customHeight="1">
      <c r="A1412" s="1">
        <v>5.2692515E7</v>
      </c>
      <c r="B1412" s="1" t="s">
        <v>6284</v>
      </c>
      <c r="C1412" s="1" t="s">
        <v>6285</v>
      </c>
      <c r="D1412" s="1" t="s">
        <v>6286</v>
      </c>
      <c r="E1412" s="1" t="s">
        <v>6287</v>
      </c>
      <c r="F1412" s="1" t="str">
        <f>"1526622246"</f>
        <v>1526622246</v>
      </c>
      <c r="G1412" s="1" t="str">
        <f>"9781526622242"</f>
        <v>9781526622242</v>
      </c>
      <c r="H1412" s="1">
        <v>0.0</v>
      </c>
      <c r="I1412" s="1">
        <v>3.6</v>
      </c>
      <c r="J1412" s="1" t="s">
        <v>2595</v>
      </c>
      <c r="K1412" s="1" t="s">
        <v>44</v>
      </c>
      <c r="L1412" s="1">
        <v>416.0</v>
      </c>
      <c r="M1412" s="1">
        <v>2020.0</v>
      </c>
      <c r="N1412" s="1">
        <v>2015.0</v>
      </c>
      <c r="P1412" s="2">
        <v>44216.0</v>
      </c>
      <c r="Q1412" s="1" t="s">
        <v>502</v>
      </c>
      <c r="R1412" s="1" t="s">
        <v>6288</v>
      </c>
      <c r="S1412" s="1" t="s">
        <v>32</v>
      </c>
      <c r="W1412" s="1">
        <v>0.0</v>
      </c>
      <c r="X1412" s="1">
        <v>0.0</v>
      </c>
    </row>
    <row r="1413" spans="1:24" ht="15.75" customHeight="1">
      <c r="A1413" s="1">
        <v>5.3205917E7</v>
      </c>
      <c r="B1413" s="1" t="s">
        <v>6289</v>
      </c>
      <c r="C1413" s="1" t="s">
        <v>6290</v>
      </c>
      <c r="D1413" s="1" t="s">
        <v>6291</v>
      </c>
      <c r="E1413" s="1" t="s">
        <v>6292</v>
      </c>
      <c r="F1413" s="1" t="str">
        <f>"1250750555"</f>
        <v>1250750555</v>
      </c>
      <c r="G1413" s="1" t="str">
        <f>"9781250750556"</f>
        <v>9781250750556</v>
      </c>
      <c r="H1413" s="1">
        <v>0.0</v>
      </c>
      <c r="I1413" s="1">
        <v>4.01</v>
      </c>
      <c r="J1413" s="1" t="s">
        <v>6293</v>
      </c>
      <c r="K1413" s="1" t="s">
        <v>37</v>
      </c>
      <c r="L1413" s="1">
        <v>208.0</v>
      </c>
      <c r="M1413" s="1">
        <v>2021.0</v>
      </c>
      <c r="N1413" s="1">
        <v>2011.0</v>
      </c>
      <c r="P1413" s="2">
        <v>44216.0</v>
      </c>
      <c r="Q1413" s="1" t="s">
        <v>502</v>
      </c>
      <c r="R1413" s="1" t="s">
        <v>6294</v>
      </c>
      <c r="S1413" s="1" t="s">
        <v>32</v>
      </c>
      <c r="W1413" s="1">
        <v>0.0</v>
      </c>
      <c r="X1413" s="1">
        <v>0.0</v>
      </c>
    </row>
    <row r="1414" spans="1:24" ht="15.75" customHeight="1">
      <c r="A1414" s="1">
        <v>7573234.0</v>
      </c>
      <c r="B1414" s="1" t="s">
        <v>6295</v>
      </c>
      <c r="C1414" s="1" t="s">
        <v>6296</v>
      </c>
      <c r="D1414" s="1" t="s">
        <v>6297</v>
      </c>
      <c r="F1414" s="1" t="str">
        <f>"1555975607"</f>
        <v>1555975607</v>
      </c>
      <c r="G1414" s="1" t="str">
        <f>"9781555975609"</f>
        <v>9781555975609</v>
      </c>
      <c r="H1414" s="1">
        <v>0.0</v>
      </c>
      <c r="I1414" s="1">
        <v>3.85</v>
      </c>
      <c r="J1414" s="1" t="s">
        <v>337</v>
      </c>
      <c r="K1414" s="1" t="s">
        <v>44</v>
      </c>
      <c r="L1414" s="1">
        <v>199.0</v>
      </c>
      <c r="M1414" s="1">
        <v>2010.0</v>
      </c>
      <c r="N1414" s="1">
        <v>2010.0</v>
      </c>
      <c r="P1414" s="2">
        <v>45114.0</v>
      </c>
      <c r="Q1414" s="1" t="s">
        <v>115</v>
      </c>
      <c r="R1414" s="1" t="s">
        <v>6298</v>
      </c>
      <c r="S1414" s="1" t="s">
        <v>32</v>
      </c>
      <c r="W1414" s="1">
        <v>0.0</v>
      </c>
      <c r="X1414" s="1">
        <v>1.0</v>
      </c>
    </row>
    <row r="1415" spans="1:24" ht="15.75" customHeight="1">
      <c r="A1415" s="1">
        <v>1.7165961E7</v>
      </c>
      <c r="B1415" s="1" t="s">
        <v>6299</v>
      </c>
      <c r="C1415" s="1" t="s">
        <v>6300</v>
      </c>
      <c r="D1415" s="1" t="s">
        <v>6301</v>
      </c>
      <c r="F1415" s="1" t="str">
        <f>"0544034724"</f>
        <v>0544034724</v>
      </c>
      <c r="G1415" s="1" t="str">
        <f>"9780544034723"</f>
        <v>9780544034723</v>
      </c>
      <c r="H1415" s="1">
        <v>0.0</v>
      </c>
      <c r="I1415" s="1">
        <v>3.76</v>
      </c>
      <c r="J1415" s="1" t="s">
        <v>5333</v>
      </c>
      <c r="K1415" s="1" t="s">
        <v>37</v>
      </c>
      <c r="L1415" s="1">
        <v>256.0</v>
      </c>
      <c r="M1415" s="1">
        <v>2014.0</v>
      </c>
      <c r="N1415" s="1">
        <v>2014.0</v>
      </c>
      <c r="P1415" s="2">
        <v>41665.0</v>
      </c>
      <c r="Q1415" s="1" t="s">
        <v>1110</v>
      </c>
      <c r="R1415" s="1" t="s">
        <v>6302</v>
      </c>
      <c r="S1415" s="1" t="s">
        <v>32</v>
      </c>
      <c r="W1415" s="1">
        <v>0.0</v>
      </c>
      <c r="X1415" s="1">
        <v>0.0</v>
      </c>
    </row>
    <row r="1416" spans="1:24" ht="15.75" customHeight="1">
      <c r="A1416" s="1">
        <v>354038.0</v>
      </c>
      <c r="B1416" s="1" t="s">
        <v>6303</v>
      </c>
      <c r="C1416" s="1" t="s">
        <v>6304</v>
      </c>
      <c r="D1416" s="1" t="s">
        <v>6305</v>
      </c>
      <c r="F1416" s="1" t="str">
        <f>"074326049X"</f>
        <v>074326049X</v>
      </c>
      <c r="G1416" s="1" t="str">
        <f>"9780743260497"</f>
        <v>9780743260497</v>
      </c>
      <c r="H1416" s="1">
        <v>0.0</v>
      </c>
      <c r="I1416" s="1">
        <v>4.19</v>
      </c>
      <c r="J1416" s="1" t="s">
        <v>622</v>
      </c>
      <c r="K1416" s="1" t="s">
        <v>37</v>
      </c>
      <c r="L1416" s="1">
        <v>522.0</v>
      </c>
      <c r="M1416" s="1">
        <v>2007.0</v>
      </c>
      <c r="N1416" s="1">
        <v>2007.0</v>
      </c>
      <c r="P1416" s="2">
        <v>45235.0</v>
      </c>
      <c r="Q1416" s="1" t="s">
        <v>55</v>
      </c>
      <c r="R1416" s="1" t="s">
        <v>6306</v>
      </c>
      <c r="S1416" s="1" t="s">
        <v>32</v>
      </c>
      <c r="W1416" s="1">
        <v>0.0</v>
      </c>
      <c r="X1416" s="1">
        <v>0.0</v>
      </c>
    </row>
    <row r="1417" spans="1:24" ht="15.75" customHeight="1">
      <c r="A1417" s="1">
        <v>280021.0</v>
      </c>
      <c r="B1417" s="1" t="s">
        <v>6307</v>
      </c>
      <c r="C1417" s="1" t="s">
        <v>6308</v>
      </c>
      <c r="D1417" s="1" t="s">
        <v>6309</v>
      </c>
      <c r="F1417" s="1" t="str">
        <f>"0517573660"</f>
        <v>0517573660</v>
      </c>
      <c r="G1417" s="1" t="str">
        <f>"9780517573662"</f>
        <v>9780517573662</v>
      </c>
      <c r="H1417" s="1">
        <v>0.0</v>
      </c>
      <c r="I1417" s="1">
        <v>4.2</v>
      </c>
      <c r="J1417" s="1" t="s">
        <v>2972</v>
      </c>
      <c r="K1417" s="1" t="s">
        <v>37</v>
      </c>
      <c r="L1417" s="1">
        <v>255.0</v>
      </c>
      <c r="M1417" s="1">
        <v>1989.0</v>
      </c>
      <c r="N1417" s="1">
        <v>1984.0</v>
      </c>
      <c r="P1417" s="2">
        <v>43961.0</v>
      </c>
      <c r="Q1417" s="1" t="s">
        <v>32</v>
      </c>
      <c r="R1417" s="1" t="s">
        <v>6310</v>
      </c>
      <c r="S1417" s="1" t="s">
        <v>32</v>
      </c>
      <c r="W1417" s="1">
        <v>0.0</v>
      </c>
      <c r="X1417" s="1">
        <v>0.0</v>
      </c>
    </row>
    <row r="1418" spans="1:24" ht="15.75" customHeight="1">
      <c r="A1418" s="1">
        <v>1.8465875E7</v>
      </c>
      <c r="B1418" s="1" t="s">
        <v>6311</v>
      </c>
      <c r="C1418" s="1" t="s">
        <v>6312</v>
      </c>
      <c r="D1418" s="1" t="s">
        <v>6313</v>
      </c>
      <c r="F1418" s="1" t="str">
        <f>"077043617X"</f>
        <v>077043617X</v>
      </c>
      <c r="G1418" s="1" t="str">
        <f>"9780770436179"</f>
        <v>9780770436179</v>
      </c>
      <c r="H1418" s="1">
        <v>0.0</v>
      </c>
      <c r="I1418" s="1">
        <v>4.16</v>
      </c>
      <c r="J1418" s="1" t="s">
        <v>5356</v>
      </c>
      <c r="K1418" s="1" t="s">
        <v>37</v>
      </c>
      <c r="L1418" s="1">
        <v>406.0</v>
      </c>
      <c r="M1418" s="1">
        <v>2014.0</v>
      </c>
      <c r="N1418" s="1">
        <v>2014.0</v>
      </c>
      <c r="P1418" s="2">
        <v>44239.0</v>
      </c>
      <c r="Q1418" s="1" t="s">
        <v>32</v>
      </c>
      <c r="R1418" s="1" t="s">
        <v>6314</v>
      </c>
      <c r="S1418" s="1" t="s">
        <v>32</v>
      </c>
      <c r="W1418" s="1">
        <v>0.0</v>
      </c>
      <c r="X1418" s="1">
        <v>0.0</v>
      </c>
    </row>
    <row r="1419" spans="1:24" ht="15.75" customHeight="1">
      <c r="A1419" s="1">
        <v>344652.0</v>
      </c>
      <c r="B1419" s="1" t="s">
        <v>6315</v>
      </c>
      <c r="C1419" s="1" t="s">
        <v>6316</v>
      </c>
      <c r="D1419" s="1" t="s">
        <v>6317</v>
      </c>
      <c r="E1419" s="1" t="s">
        <v>6318</v>
      </c>
      <c r="F1419" s="1" t="str">
        <f>"1565842715"</f>
        <v>1565842715</v>
      </c>
      <c r="G1419" s="1" t="str">
        <f>"9781565842717"</f>
        <v>9781565842717</v>
      </c>
      <c r="H1419" s="1">
        <v>0.0</v>
      </c>
      <c r="I1419" s="1">
        <v>4.39</v>
      </c>
      <c r="J1419" s="1" t="s">
        <v>1104</v>
      </c>
      <c r="K1419" s="1" t="s">
        <v>44</v>
      </c>
      <c r="L1419" s="1">
        <v>528.0</v>
      </c>
      <c r="M1419" s="1">
        <v>1996.0</v>
      </c>
      <c r="N1419" s="1">
        <v>1996.0</v>
      </c>
      <c r="P1419" s="2">
        <v>43405.0</v>
      </c>
      <c r="Q1419" s="1" t="s">
        <v>45</v>
      </c>
      <c r="R1419" s="1" t="s">
        <v>6319</v>
      </c>
      <c r="S1419" s="1" t="s">
        <v>32</v>
      </c>
      <c r="W1419" s="1">
        <v>0.0</v>
      </c>
      <c r="X1419" s="1">
        <v>0.0</v>
      </c>
    </row>
    <row r="1420" spans="1:24" ht="15.75" customHeight="1">
      <c r="A1420" s="1">
        <v>1.3236124E7</v>
      </c>
      <c r="B1420" s="1" t="s">
        <v>6320</v>
      </c>
      <c r="C1420" s="1" t="s">
        <v>6316</v>
      </c>
      <c r="D1420" s="1" t="s">
        <v>6317</v>
      </c>
      <c r="F1420" s="1" t="str">
        <f t="shared" si="104" ref="F1420:G1420">""</f>
        <v/>
      </c>
      <c r="G1420" s="1" t="str">
        <f t="shared" si="104"/>
        <v/>
      </c>
      <c r="H1420" s="1">
        <v>0.0</v>
      </c>
      <c r="I1420" s="1">
        <v>4.5</v>
      </c>
      <c r="J1420" s="1" t="s">
        <v>1104</v>
      </c>
      <c r="K1420" s="1" t="s">
        <v>44</v>
      </c>
      <c r="L1420" s="1">
        <v>320.0</v>
      </c>
      <c r="M1420" s="1">
        <v>2019.0</v>
      </c>
      <c r="N1420" s="1">
        <v>2019.0</v>
      </c>
      <c r="P1420" s="2">
        <v>43919.0</v>
      </c>
      <c r="Q1420" s="1" t="s">
        <v>32</v>
      </c>
      <c r="R1420" s="1" t="s">
        <v>6321</v>
      </c>
      <c r="S1420" s="1" t="s">
        <v>32</v>
      </c>
      <c r="W1420" s="1">
        <v>0.0</v>
      </c>
      <c r="X1420" s="1">
        <v>0.0</v>
      </c>
    </row>
    <row r="1421" spans="1:24" ht="15.75" customHeight="1">
      <c r="A1421" s="1">
        <v>366427.0</v>
      </c>
      <c r="B1421" s="1" t="s">
        <v>6322</v>
      </c>
      <c r="C1421" s="1" t="s">
        <v>6323</v>
      </c>
      <c r="D1421" s="1" t="s">
        <v>6324</v>
      </c>
      <c r="F1421" s="1" t="str">
        <f t="shared" si="105" ref="F1421:G1421">""</f>
        <v/>
      </c>
      <c r="G1421" s="1" t="str">
        <f t="shared" si="105"/>
        <v/>
      </c>
      <c r="H1421" s="1">
        <v>0.0</v>
      </c>
      <c r="I1421" s="1">
        <v>3.33</v>
      </c>
      <c r="J1421" s="1" t="s">
        <v>1189</v>
      </c>
      <c r="K1421" s="1" t="s">
        <v>44</v>
      </c>
      <c r="L1421" s="1">
        <v>381.0</v>
      </c>
      <c r="M1421" s="1">
        <v>2004.0</v>
      </c>
      <c r="N1421" s="1">
        <v>1986.0</v>
      </c>
      <c r="P1421" s="2">
        <v>45111.0</v>
      </c>
      <c r="Q1421" s="1" t="s">
        <v>261</v>
      </c>
      <c r="R1421" s="1" t="s">
        <v>6325</v>
      </c>
      <c r="S1421" s="1" t="s">
        <v>32</v>
      </c>
      <c r="W1421" s="1">
        <v>0.0</v>
      </c>
      <c r="X1421" s="1">
        <v>0.0</v>
      </c>
    </row>
    <row r="1422" spans="1:24" ht="15.75" customHeight="1">
      <c r="A1422" s="1">
        <v>95186.0</v>
      </c>
      <c r="B1422" s="1" t="s">
        <v>6326</v>
      </c>
      <c r="C1422" s="1" t="s">
        <v>6327</v>
      </c>
      <c r="D1422" s="1" t="s">
        <v>6328</v>
      </c>
      <c r="F1422" s="1" t="str">
        <f>"0802142818"</f>
        <v>0802142818</v>
      </c>
      <c r="G1422" s="1" t="str">
        <f>"9780802142818"</f>
        <v>9780802142818</v>
      </c>
      <c r="H1422" s="1">
        <v>0.0</v>
      </c>
      <c r="I1422" s="1">
        <v>3.45</v>
      </c>
      <c r="J1422" s="1" t="s">
        <v>663</v>
      </c>
      <c r="K1422" s="1" t="s">
        <v>44</v>
      </c>
      <c r="L1422" s="1">
        <v>357.0</v>
      </c>
      <c r="M1422" s="1">
        <v>2005.0</v>
      </c>
      <c r="N1422" s="1">
        <v>2005.0</v>
      </c>
      <c r="P1422" s="2">
        <v>45111.0</v>
      </c>
      <c r="Q1422" s="1" t="s">
        <v>261</v>
      </c>
      <c r="R1422" s="1" t="s">
        <v>6329</v>
      </c>
      <c r="S1422" s="1" t="s">
        <v>32</v>
      </c>
      <c r="W1422" s="1">
        <v>0.0</v>
      </c>
      <c r="X1422" s="1">
        <v>0.0</v>
      </c>
    </row>
    <row r="1423" spans="1:24" ht="15.75" customHeight="1">
      <c r="A1423" s="1">
        <v>223635.0</v>
      </c>
      <c r="B1423" s="1" t="s">
        <v>6330</v>
      </c>
      <c r="C1423" s="1" t="s">
        <v>6331</v>
      </c>
      <c r="D1423" s="1" t="s">
        <v>6332</v>
      </c>
      <c r="E1423" s="1" t="s">
        <v>6333</v>
      </c>
      <c r="F1423" s="1" t="str">
        <f>"0140189181"</f>
        <v>0140189181</v>
      </c>
      <c r="G1423" s="1" t="str">
        <f>"9780140189186"</f>
        <v>9780140189186</v>
      </c>
      <c r="H1423" s="1">
        <v>0.0</v>
      </c>
      <c r="I1423" s="1">
        <v>4.05</v>
      </c>
      <c r="J1423" s="1" t="s">
        <v>1023</v>
      </c>
      <c r="K1423" s="1" t="s">
        <v>44</v>
      </c>
      <c r="L1423" s="1">
        <v>272.0</v>
      </c>
      <c r="M1423" s="1">
        <v>1995.0</v>
      </c>
      <c r="N1423" s="1">
        <v>1936.0</v>
      </c>
      <c r="P1423" s="2">
        <v>43982.0</v>
      </c>
      <c r="Q1423" s="1" t="s">
        <v>502</v>
      </c>
      <c r="R1423" s="1" t="s">
        <v>6334</v>
      </c>
      <c r="S1423" s="1" t="s">
        <v>32</v>
      </c>
      <c r="W1423" s="1">
        <v>0.0</v>
      </c>
      <c r="X1423" s="1">
        <v>0.0</v>
      </c>
    </row>
    <row r="1424" spans="1:24" ht="15.75" customHeight="1">
      <c r="A1424" s="1">
        <v>342049.0</v>
      </c>
      <c r="B1424" s="1" t="s">
        <v>6335</v>
      </c>
      <c r="C1424" s="1" t="s">
        <v>6336</v>
      </c>
      <c r="D1424" s="1" t="s">
        <v>6337</v>
      </c>
      <c r="F1424" s="1" t="str">
        <f>"0394717813"</f>
        <v>0394717813</v>
      </c>
      <c r="G1424" s="1" t="str">
        <f>"9780394717814"</f>
        <v>9780394717814</v>
      </c>
      <c r="H1424" s="1">
        <v>0.0</v>
      </c>
      <c r="I1424" s="1">
        <v>4.23</v>
      </c>
      <c r="J1424" s="1" t="s">
        <v>69</v>
      </c>
      <c r="K1424" s="1" t="s">
        <v>1225</v>
      </c>
      <c r="L1424" s="1">
        <v>435.0</v>
      </c>
      <c r="M1424" s="1">
        <v>1972.0</v>
      </c>
      <c r="N1424" s="1">
        <v>1917.0</v>
      </c>
      <c r="P1424" s="2">
        <v>42764.0</v>
      </c>
      <c r="Q1424" s="1" t="s">
        <v>32</v>
      </c>
      <c r="R1424" s="1" t="s">
        <v>6338</v>
      </c>
      <c r="S1424" s="1" t="s">
        <v>32</v>
      </c>
      <c r="W1424" s="1">
        <v>0.0</v>
      </c>
      <c r="X1424" s="1">
        <v>0.0</v>
      </c>
    </row>
    <row r="1425" spans="1:24" ht="15.75" customHeight="1">
      <c r="A1425" s="1">
        <v>32585.0</v>
      </c>
      <c r="B1425" s="1" t="s">
        <v>6339</v>
      </c>
      <c r="C1425" s="1" t="s">
        <v>6336</v>
      </c>
      <c r="D1425" s="1" t="s">
        <v>6337</v>
      </c>
      <c r="F1425" s="1" t="str">
        <f>"0486431681"</f>
        <v>0486431681</v>
      </c>
      <c r="G1425" s="1" t="str">
        <f>"9780486431680"</f>
        <v>9780486431680</v>
      </c>
      <c r="H1425" s="1">
        <v>0.0</v>
      </c>
      <c r="I1425" s="1">
        <v>4.05</v>
      </c>
      <c r="J1425" s="1" t="s">
        <v>910</v>
      </c>
      <c r="K1425" s="1" t="s">
        <v>44</v>
      </c>
      <c r="L1425" s="1">
        <v>134.0</v>
      </c>
      <c r="M1425" s="1">
        <v>2003.0</v>
      </c>
      <c r="N1425" s="1">
        <v>1890.0</v>
      </c>
      <c r="P1425" s="2">
        <v>42107.0</v>
      </c>
      <c r="Q1425" s="1" t="s">
        <v>32</v>
      </c>
      <c r="R1425" s="1" t="s">
        <v>6340</v>
      </c>
      <c r="S1425" s="1" t="s">
        <v>32</v>
      </c>
      <c r="W1425" s="1">
        <v>0.0</v>
      </c>
      <c r="X1425" s="1">
        <v>0.0</v>
      </c>
    </row>
    <row r="1426" spans="1:24" ht="15.75" customHeight="1">
      <c r="A1426" s="1">
        <v>10000.0</v>
      </c>
      <c r="B1426" s="1" t="s">
        <v>6341</v>
      </c>
      <c r="C1426" s="1" t="s">
        <v>6342</v>
      </c>
      <c r="D1426" s="1" t="s">
        <v>6343</v>
      </c>
      <c r="F1426" s="1" t="str">
        <f>"0375726535"</f>
        <v>0375726535</v>
      </c>
      <c r="G1426" s="1" t="str">
        <f>"9780375726538"</f>
        <v>9780375726538</v>
      </c>
      <c r="H1426" s="1">
        <v>0.0</v>
      </c>
      <c r="I1426" s="1">
        <v>3.75</v>
      </c>
      <c r="J1426" s="1" t="s">
        <v>69</v>
      </c>
      <c r="K1426" s="1" t="s">
        <v>44</v>
      </c>
      <c r="L1426" s="1">
        <v>238.0</v>
      </c>
      <c r="M1426" s="1">
        <v>2003.0</v>
      </c>
      <c r="N1426" s="1">
        <v>1964.0</v>
      </c>
      <c r="P1426" s="2">
        <v>44245.0</v>
      </c>
      <c r="Q1426" s="1" t="s">
        <v>6344</v>
      </c>
      <c r="R1426" s="1" t="s">
        <v>6345</v>
      </c>
      <c r="S1426" s="1" t="s">
        <v>32</v>
      </c>
      <c r="W1426" s="1">
        <v>0.0</v>
      </c>
      <c r="X1426" s="1">
        <v>0.0</v>
      </c>
    </row>
    <row r="1427" spans="1:24" ht="15.75" customHeight="1">
      <c r="A1427" s="1">
        <v>3.5805856E7</v>
      </c>
      <c r="B1427" s="1" t="s">
        <v>6346</v>
      </c>
      <c r="C1427" s="1" t="s">
        <v>6347</v>
      </c>
      <c r="D1427" s="1" t="s">
        <v>6348</v>
      </c>
      <c r="E1427" s="1" t="s">
        <v>6349</v>
      </c>
      <c r="F1427" s="1" t="str">
        <f>"1524733474"</f>
        <v>1524733474</v>
      </c>
      <c r="G1427" s="1" t="str">
        <f>"9781524733476"</f>
        <v>9781524733476</v>
      </c>
      <c r="H1427" s="1">
        <v>0.0</v>
      </c>
      <c r="I1427" s="1">
        <v>4.18</v>
      </c>
      <c r="J1427" s="1" t="s">
        <v>1397</v>
      </c>
      <c r="K1427" s="1" t="s">
        <v>37</v>
      </c>
      <c r="L1427" s="1">
        <v>256.0</v>
      </c>
      <c r="M1427" s="1">
        <v>2018.0</v>
      </c>
      <c r="N1427" s="1">
        <v>-400.0</v>
      </c>
      <c r="P1427" s="3">
        <v>44176.0</v>
      </c>
      <c r="Q1427" s="1" t="s">
        <v>32</v>
      </c>
      <c r="R1427" s="1" t="s">
        <v>6350</v>
      </c>
      <c r="S1427" s="1" t="s">
        <v>32</v>
      </c>
      <c r="W1427" s="1">
        <v>0.0</v>
      </c>
      <c r="X1427" s="1">
        <v>0.0</v>
      </c>
    </row>
    <row r="1428" spans="1:24" ht="15.75" customHeight="1">
      <c r="A1428" s="1">
        <v>4.6123478E7</v>
      </c>
      <c r="B1428" s="1" t="s">
        <v>6351</v>
      </c>
      <c r="C1428" s="1" t="s">
        <v>6352</v>
      </c>
      <c r="D1428" s="1" t="s">
        <v>6353</v>
      </c>
      <c r="E1428" s="1" t="s">
        <v>4548</v>
      </c>
      <c r="F1428" s="1" t="str">
        <f>"8433940341"</f>
        <v>8433940341</v>
      </c>
      <c r="G1428" s="1" t="str">
        <f>""</f>
        <v/>
      </c>
      <c r="H1428" s="1">
        <v>0.0</v>
      </c>
      <c r="I1428" s="1">
        <v>3.63</v>
      </c>
      <c r="J1428" s="1" t="s">
        <v>275</v>
      </c>
      <c r="K1428" s="1" t="s">
        <v>29</v>
      </c>
      <c r="L1428" s="1">
        <v>177.0</v>
      </c>
      <c r="M1428" s="1">
        <v>2019.0</v>
      </c>
      <c r="N1428" s="1">
        <v>2019.0</v>
      </c>
      <c r="P1428" s="2">
        <v>44103.0</v>
      </c>
      <c r="Q1428" s="1" t="s">
        <v>32</v>
      </c>
      <c r="R1428" s="1" t="s">
        <v>6354</v>
      </c>
      <c r="S1428" s="1" t="s">
        <v>32</v>
      </c>
      <c r="W1428" s="1">
        <v>0.0</v>
      </c>
      <c r="X1428" s="1">
        <v>0.0</v>
      </c>
    </row>
    <row r="1429" spans="1:24" ht="15.75" customHeight="1">
      <c r="A1429" s="1">
        <v>5.3121662E7</v>
      </c>
      <c r="B1429" s="1" t="s">
        <v>6355</v>
      </c>
      <c r="C1429" s="1" t="s">
        <v>6356</v>
      </c>
      <c r="D1429" s="1" t="s">
        <v>6357</v>
      </c>
      <c r="F1429" s="1" t="str">
        <f>"1631495739"</f>
        <v>1631495739</v>
      </c>
      <c r="G1429" s="1" t="str">
        <f>"9781631495731"</f>
        <v>9781631495731</v>
      </c>
      <c r="H1429" s="1">
        <v>0.0</v>
      </c>
      <c r="I1429" s="1">
        <v>4.31</v>
      </c>
      <c r="J1429" s="1" t="s">
        <v>5302</v>
      </c>
      <c r="K1429" s="1" t="s">
        <v>37</v>
      </c>
      <c r="L1429" s="1">
        <v>356.0</v>
      </c>
      <c r="M1429" s="1">
        <v>2020.0</v>
      </c>
      <c r="N1429" s="1">
        <v>2020.0</v>
      </c>
      <c r="P1429" s="2">
        <v>45294.0</v>
      </c>
      <c r="Q1429" s="1" t="s">
        <v>32</v>
      </c>
      <c r="R1429" s="1" t="s">
        <v>6358</v>
      </c>
      <c r="S1429" s="1" t="s">
        <v>32</v>
      </c>
      <c r="W1429" s="1">
        <v>0.0</v>
      </c>
      <c r="X1429" s="1">
        <v>0.0</v>
      </c>
    </row>
    <row r="1430" spans="1:24" ht="15.75" customHeight="1">
      <c r="A1430" s="1">
        <v>1.7290904E7</v>
      </c>
      <c r="B1430" s="1" t="s">
        <v>6359</v>
      </c>
      <c r="C1430" s="1" t="s">
        <v>6360</v>
      </c>
      <c r="D1430" s="1" t="s">
        <v>6361</v>
      </c>
      <c r="F1430" s="1" t="str">
        <f>"1616494603"</f>
        <v>1616494603</v>
      </c>
      <c r="G1430" s="1" t="str">
        <f>"9781616494605"</f>
        <v>9781616494605</v>
      </c>
      <c r="H1430" s="1">
        <v>0.0</v>
      </c>
      <c r="I1430" s="1">
        <v>3.48</v>
      </c>
      <c r="J1430" s="1" t="s">
        <v>6362</v>
      </c>
      <c r="K1430" s="1" t="s">
        <v>44</v>
      </c>
      <c r="L1430" s="1">
        <v>260.0</v>
      </c>
      <c r="M1430" s="1">
        <v>2013.0</v>
      </c>
      <c r="N1430" s="1">
        <v>2013.0</v>
      </c>
      <c r="P1430" s="2">
        <v>42556.0</v>
      </c>
      <c r="Q1430" s="1" t="s">
        <v>32</v>
      </c>
      <c r="R1430" s="1" t="s">
        <v>6363</v>
      </c>
      <c r="S1430" s="1" t="s">
        <v>32</v>
      </c>
      <c r="W1430" s="1">
        <v>0.0</v>
      </c>
      <c r="X1430" s="1">
        <v>0.0</v>
      </c>
    </row>
    <row r="1431" spans="1:24" ht="15.75" customHeight="1">
      <c r="A1431" s="1">
        <v>1344850.0</v>
      </c>
      <c r="B1431" s="1" t="s">
        <v>6364</v>
      </c>
      <c r="C1431" s="1" t="s">
        <v>6365</v>
      </c>
      <c r="D1431" s="1" t="s">
        <v>6366</v>
      </c>
      <c r="E1431" s="1" t="s">
        <v>6367</v>
      </c>
      <c r="F1431" s="1" t="str">
        <f>"847640171X"</f>
        <v>847640171X</v>
      </c>
      <c r="G1431" s="1" t="str">
        <f>"9788476401712"</f>
        <v>9788476401712</v>
      </c>
      <c r="H1431" s="1">
        <v>0.0</v>
      </c>
      <c r="I1431" s="1">
        <v>3.44</v>
      </c>
      <c r="J1431" s="1" t="s">
        <v>6368</v>
      </c>
      <c r="K1431" s="1" t="s">
        <v>44</v>
      </c>
      <c r="L1431" s="1">
        <v>136.0</v>
      </c>
      <c r="M1431" s="1">
        <v>2006.0</v>
      </c>
      <c r="N1431" s="1">
        <v>1973.0</v>
      </c>
      <c r="P1431" s="2">
        <v>45137.0</v>
      </c>
      <c r="Q1431" s="1" t="s">
        <v>1017</v>
      </c>
      <c r="R1431" s="1" t="s">
        <v>6369</v>
      </c>
      <c r="S1431" s="1" t="s">
        <v>32</v>
      </c>
      <c r="W1431" s="1">
        <v>0.0</v>
      </c>
      <c r="X1431" s="1">
        <v>1.0</v>
      </c>
    </row>
    <row r="1432" spans="1:24" ht="15.75" customHeight="1">
      <c r="A1432" s="1">
        <v>9293201.0</v>
      </c>
      <c r="B1432" s="1" t="s">
        <v>6370</v>
      </c>
      <c r="C1432" s="1" t="s">
        <v>6371</v>
      </c>
      <c r="D1432" s="1" t="s">
        <v>6372</v>
      </c>
      <c r="F1432" s="1" t="str">
        <f>"0404184650"</f>
        <v>0404184650</v>
      </c>
      <c r="G1432" s="1" t="str">
        <f>"9780404184650"</f>
        <v>9780404184650</v>
      </c>
      <c r="H1432" s="1">
        <v>0.0</v>
      </c>
      <c r="I1432" s="1">
        <v>0.0</v>
      </c>
      <c r="J1432" s="1" t="s">
        <v>6373</v>
      </c>
      <c r="K1432" s="1" t="s">
        <v>37</v>
      </c>
      <c r="L1432" s="1">
        <v>0.0</v>
      </c>
      <c r="M1432" s="1">
        <v>1979.0</v>
      </c>
      <c r="N1432" s="1">
        <v>1979.0</v>
      </c>
      <c r="P1432" s="2">
        <v>44960.0</v>
      </c>
      <c r="Q1432" s="1" t="s">
        <v>32</v>
      </c>
      <c r="R1432" s="1" t="s">
        <v>6374</v>
      </c>
      <c r="S1432" s="1" t="s">
        <v>32</v>
      </c>
      <c r="W1432" s="1">
        <v>0.0</v>
      </c>
      <c r="X1432" s="1">
        <v>0.0</v>
      </c>
    </row>
    <row r="1433" spans="1:24" ht="15.75" customHeight="1">
      <c r="A1433" s="1">
        <v>386411.0</v>
      </c>
      <c r="B1433" s="1" t="s">
        <v>6375</v>
      </c>
      <c r="C1433" s="1" t="s">
        <v>6376</v>
      </c>
      <c r="D1433" s="1" t="s">
        <v>6377</v>
      </c>
      <c r="F1433" s="1" t="str">
        <f>"038533348X"</f>
        <v>038533348X</v>
      </c>
      <c r="G1433" s="1" t="str">
        <f>"9780385333481"</f>
        <v>9780385333481</v>
      </c>
      <c r="H1433" s="1">
        <v>3.0</v>
      </c>
      <c r="I1433" s="1">
        <v>4.16</v>
      </c>
      <c r="J1433" s="1" t="s">
        <v>6378</v>
      </c>
      <c r="K1433" s="1" t="s">
        <v>44</v>
      </c>
      <c r="L1433" s="1">
        <v>287.0</v>
      </c>
      <c r="M1433" s="1">
        <v>1998.0</v>
      </c>
      <c r="N1433" s="1">
        <v>1963.0</v>
      </c>
      <c r="O1433" s="2">
        <v>41039.0</v>
      </c>
      <c r="P1433" s="2">
        <v>41038.0</v>
      </c>
      <c r="Q1433" s="1" t="s">
        <v>594</v>
      </c>
      <c r="R1433" s="1" t="s">
        <v>6379</v>
      </c>
      <c r="S1433" s="1" t="s">
        <v>271</v>
      </c>
      <c r="W1433" s="1">
        <v>1.0</v>
      </c>
      <c r="X1433" s="1">
        <v>1.0</v>
      </c>
    </row>
    <row r="1434" spans="1:24" ht="15.75" customHeight="1">
      <c r="A1434" s="1">
        <v>4981.0</v>
      </c>
      <c r="B1434" s="1" t="s">
        <v>6380</v>
      </c>
      <c r="C1434" s="1" t="s">
        <v>6376</v>
      </c>
      <c r="D1434" s="1" t="s">
        <v>6377</v>
      </c>
      <c r="F1434" s="1" t="str">
        <f>"0385333846"</f>
        <v>0385333846</v>
      </c>
      <c r="G1434" s="1" t="str">
        <f>"9780385333849"</f>
        <v>9780385333849</v>
      </c>
      <c r="H1434" s="1">
        <v>0.0</v>
      </c>
      <c r="I1434" s="1">
        <v>4.1</v>
      </c>
      <c r="J1434" s="1" t="s">
        <v>6381</v>
      </c>
      <c r="K1434" s="1" t="s">
        <v>44</v>
      </c>
      <c r="L1434" s="1">
        <v>275.0</v>
      </c>
      <c r="M1434" s="1">
        <v>1999.0</v>
      </c>
      <c r="N1434" s="1">
        <v>1969.0</v>
      </c>
      <c r="P1434" s="2">
        <v>41020.0</v>
      </c>
      <c r="Q1434" s="1" t="s">
        <v>32</v>
      </c>
      <c r="R1434" s="1" t="s">
        <v>6382</v>
      </c>
      <c r="S1434" s="1" t="s">
        <v>32</v>
      </c>
      <c r="W1434" s="1">
        <v>0.0</v>
      </c>
      <c r="X1434" s="1">
        <v>0.0</v>
      </c>
    </row>
    <row r="1435" spans="1:24" ht="15.75" customHeight="1">
      <c r="A1435" s="1">
        <v>1.34119018E8</v>
      </c>
      <c r="B1435" s="1" t="s">
        <v>6383</v>
      </c>
      <c r="C1435" s="1" t="s">
        <v>6384</v>
      </c>
      <c r="D1435" s="1" t="s">
        <v>6385</v>
      </c>
      <c r="F1435" s="1" t="str">
        <f t="shared" si="106" ref="F1435:G1435">""</f>
        <v/>
      </c>
      <c r="G1435" s="1" t="str">
        <f t="shared" si="106"/>
        <v/>
      </c>
      <c r="H1435" s="1">
        <v>0.0</v>
      </c>
      <c r="I1435" s="1">
        <v>3.86</v>
      </c>
      <c r="J1435" s="1" t="s">
        <v>4138</v>
      </c>
      <c r="K1435" s="1" t="s">
        <v>29</v>
      </c>
      <c r="L1435" s="1">
        <v>290.0</v>
      </c>
      <c r="M1435" s="1">
        <v>2024.0</v>
      </c>
      <c r="N1435" s="1">
        <v>2024.0</v>
      </c>
      <c r="P1435" s="2">
        <v>45294.0</v>
      </c>
      <c r="Q1435" s="1" t="s">
        <v>55</v>
      </c>
      <c r="R1435" s="1" t="s">
        <v>6386</v>
      </c>
      <c r="S1435" s="1" t="s">
        <v>32</v>
      </c>
      <c r="W1435" s="1">
        <v>0.0</v>
      </c>
      <c r="X1435" s="1">
        <v>0.0</v>
      </c>
    </row>
    <row r="1436" spans="1:24" ht="15.75" customHeight="1">
      <c r="A1436" s="1">
        <v>389076.0</v>
      </c>
      <c r="B1436" s="1" t="s">
        <v>6387</v>
      </c>
      <c r="C1436" s="1" t="s">
        <v>6388</v>
      </c>
      <c r="D1436" s="1" t="s">
        <v>6389</v>
      </c>
      <c r="E1436" s="1" t="s">
        <v>6390</v>
      </c>
      <c r="F1436" s="1" t="str">
        <f>"141654058X"</f>
        <v>141654058X</v>
      </c>
      <c r="G1436" s="1" t="str">
        <f>"9781416540588"</f>
        <v>9781416540588</v>
      </c>
      <c r="H1436" s="1">
        <v>0.0</v>
      </c>
      <c r="I1436" s="1">
        <v>3.15</v>
      </c>
      <c r="J1436" s="1" t="s">
        <v>6391</v>
      </c>
      <c r="K1436" s="1" t="s">
        <v>44</v>
      </c>
      <c r="L1436" s="1">
        <v>432.0</v>
      </c>
      <c r="M1436" s="1">
        <v>2006.0</v>
      </c>
      <c r="N1436" s="1">
        <v>1387.0</v>
      </c>
      <c r="P1436" s="3">
        <v>45278.0</v>
      </c>
      <c r="Q1436" s="1" t="s">
        <v>479</v>
      </c>
      <c r="R1436" s="1" t="s">
        <v>6392</v>
      </c>
      <c r="S1436" s="1" t="s">
        <v>32</v>
      </c>
      <c r="W1436" s="1">
        <v>0.0</v>
      </c>
      <c r="X1436" s="1">
        <v>0.0</v>
      </c>
    </row>
    <row r="1437" spans="1:24" ht="15.75" customHeight="1">
      <c r="A1437" s="1">
        <v>5.6969547E7</v>
      </c>
      <c r="B1437" s="1" t="s">
        <v>6393</v>
      </c>
      <c r="C1437" s="1" t="s">
        <v>6394</v>
      </c>
      <c r="D1437" s="1" t="s">
        <v>6395</v>
      </c>
      <c r="F1437" s="1" t="str">
        <f>"1419756370"</f>
        <v>1419756370</v>
      </c>
      <c r="G1437" s="1" t="str">
        <f>"9781419756375"</f>
        <v>9781419756375</v>
      </c>
      <c r="H1437" s="1">
        <v>0.0</v>
      </c>
      <c r="I1437" s="1">
        <v>4.36</v>
      </c>
      <c r="J1437" s="1" t="s">
        <v>6396</v>
      </c>
      <c r="K1437" s="1" t="s">
        <v>37</v>
      </c>
      <c r="L1437" s="1">
        <v>400.0</v>
      </c>
      <c r="M1437" s="1">
        <v>2021.0</v>
      </c>
      <c r="N1437" s="1">
        <v>2021.0</v>
      </c>
      <c r="P1437" s="2">
        <v>45122.0</v>
      </c>
      <c r="Q1437" s="1" t="s">
        <v>32</v>
      </c>
      <c r="R1437" s="1" t="s">
        <v>6397</v>
      </c>
      <c r="S1437" s="1" t="s">
        <v>32</v>
      </c>
      <c r="W1437" s="1">
        <v>0.0</v>
      </c>
      <c r="X1437" s="1">
        <v>0.0</v>
      </c>
    </row>
    <row r="1438" spans="1:24" ht="15.75" customHeight="1">
      <c r="A1438" s="1">
        <v>91540.0</v>
      </c>
      <c r="B1438" s="1" t="s">
        <v>6398</v>
      </c>
      <c r="C1438" s="1" t="s">
        <v>6399</v>
      </c>
      <c r="D1438" s="1" t="s">
        <v>6400</v>
      </c>
      <c r="F1438" s="1" t="str">
        <f>"0804836620"</f>
        <v>0804836620</v>
      </c>
      <c r="G1438" s="1" t="str">
        <f>"9780804836623"</f>
        <v>9780804836623</v>
      </c>
      <c r="H1438" s="1">
        <v>0.0</v>
      </c>
      <c r="I1438" s="1">
        <v>3.85</v>
      </c>
      <c r="J1438" s="1" t="s">
        <v>6401</v>
      </c>
      <c r="K1438" s="1" t="s">
        <v>44</v>
      </c>
      <c r="L1438" s="1">
        <v>256.0</v>
      </c>
      <c r="M1438" s="1">
        <v>2005.0</v>
      </c>
      <c r="N1438" s="1">
        <v>1904.0</v>
      </c>
      <c r="P1438" s="2">
        <v>45114.0</v>
      </c>
      <c r="Q1438" s="1" t="s">
        <v>383</v>
      </c>
      <c r="R1438" s="1" t="s">
        <v>6402</v>
      </c>
      <c r="S1438" s="1" t="s">
        <v>32</v>
      </c>
      <c r="W1438" s="1">
        <v>0.0</v>
      </c>
      <c r="X1438" s="1">
        <v>1.0</v>
      </c>
    </row>
    <row r="1439" spans="1:24" ht="15.75" customHeight="1">
      <c r="A1439" s="1">
        <v>5.2366322E7</v>
      </c>
      <c r="B1439" s="1" t="s">
        <v>6403</v>
      </c>
      <c r="C1439" s="1" t="s">
        <v>6404</v>
      </c>
      <c r="D1439" s="1" t="s">
        <v>6405</v>
      </c>
      <c r="F1439" s="1" t="str">
        <f>"1524747165"</f>
        <v>1524747165</v>
      </c>
      <c r="G1439" s="1" t="str">
        <f>"9781524747169"</f>
        <v>9781524747169</v>
      </c>
      <c r="H1439" s="1">
        <v>0.0</v>
      </c>
      <c r="I1439" s="1">
        <v>4.27</v>
      </c>
      <c r="J1439" s="1" t="s">
        <v>4417</v>
      </c>
      <c r="K1439" s="1" t="s">
        <v>37</v>
      </c>
      <c r="L1439" s="1">
        <v>208.0</v>
      </c>
      <c r="M1439" s="1">
        <v>2020.0</v>
      </c>
      <c r="N1439" s="1">
        <v>2020.0</v>
      </c>
      <c r="P1439" s="3">
        <v>44116.0</v>
      </c>
      <c r="Q1439" s="1" t="s">
        <v>32</v>
      </c>
      <c r="R1439" s="1" t="s">
        <v>6406</v>
      </c>
      <c r="S1439" s="1" t="s">
        <v>32</v>
      </c>
      <c r="W1439" s="1">
        <v>0.0</v>
      </c>
      <c r="X1439" s="1">
        <v>0.0</v>
      </c>
    </row>
    <row r="1440" spans="1:24" ht="15.75" customHeight="1">
      <c r="A1440" s="1">
        <v>9336187.0</v>
      </c>
      <c r="B1440" s="1" t="s">
        <v>6407</v>
      </c>
      <c r="C1440" s="1" t="s">
        <v>6408</v>
      </c>
      <c r="D1440" s="1" t="s">
        <v>6409</v>
      </c>
      <c r="F1440" s="1" t="str">
        <f>"1573661570"</f>
        <v>1573661570</v>
      </c>
      <c r="G1440" s="1" t="str">
        <f>"9781573661577"</f>
        <v>9781573661577</v>
      </c>
      <c r="H1440" s="1">
        <v>0.0</v>
      </c>
      <c r="I1440" s="1">
        <v>4.48</v>
      </c>
      <c r="J1440" s="1" t="s">
        <v>6410</v>
      </c>
      <c r="K1440" s="1" t="s">
        <v>44</v>
      </c>
      <c r="L1440" s="1">
        <v>456.0</v>
      </c>
      <c r="M1440" s="1">
        <v>2010.0</v>
      </c>
      <c r="N1440" s="1">
        <v>2010.0</v>
      </c>
      <c r="P1440" s="2">
        <v>45129.0</v>
      </c>
      <c r="Q1440" s="1" t="s">
        <v>145</v>
      </c>
      <c r="R1440" s="1" t="s">
        <v>6411</v>
      </c>
      <c r="S1440" s="1" t="s">
        <v>32</v>
      </c>
      <c r="W1440" s="1">
        <v>0.0</v>
      </c>
      <c r="X1440" s="1">
        <v>0.0</v>
      </c>
    </row>
    <row r="1441" spans="1:24" ht="15.75" customHeight="1">
      <c r="A1441" s="1">
        <v>5089290.0</v>
      </c>
      <c r="B1441" s="1" t="s">
        <v>6412</v>
      </c>
      <c r="C1441" s="1" t="s">
        <v>6413</v>
      </c>
      <c r="D1441" s="1" t="s">
        <v>6414</v>
      </c>
      <c r="F1441" s="1" t="str">
        <f>"1931859558"</f>
        <v>1931859558</v>
      </c>
      <c r="G1441" s="1" t="str">
        <f>"9781931859554"</f>
        <v>9781931859554</v>
      </c>
      <c r="H1441" s="1">
        <v>0.0</v>
      </c>
      <c r="I1441" s="1">
        <v>4.01</v>
      </c>
      <c r="J1441" s="1" t="s">
        <v>792</v>
      </c>
      <c r="K1441" s="1" t="s">
        <v>44</v>
      </c>
      <c r="L1441" s="1">
        <v>260.0</v>
      </c>
      <c r="M1441" s="1">
        <v>2008.0</v>
      </c>
      <c r="N1441" s="1">
        <v>2008.0</v>
      </c>
      <c r="P1441" s="3">
        <v>43069.0</v>
      </c>
      <c r="Q1441" s="1" t="s">
        <v>138</v>
      </c>
      <c r="R1441" s="1" t="s">
        <v>6415</v>
      </c>
      <c r="S1441" s="1" t="s">
        <v>32</v>
      </c>
      <c r="W1441" s="1">
        <v>0.0</v>
      </c>
      <c r="X1441" s="1">
        <v>0.0</v>
      </c>
    </row>
    <row r="1442" spans="1:24" ht="15.75" customHeight="1">
      <c r="A1442" s="1">
        <v>65335.0</v>
      </c>
      <c r="B1442" s="1" t="s">
        <v>5702</v>
      </c>
      <c r="C1442" s="1" t="s">
        <v>6416</v>
      </c>
      <c r="D1442" s="1" t="s">
        <v>6417</v>
      </c>
      <c r="F1442" s="1" t="str">
        <f>"067972818X"</f>
        <v>067972818X</v>
      </c>
      <c r="G1442" s="1" t="str">
        <f>"9780679728184"</f>
        <v>9780679728184</v>
      </c>
      <c r="H1442" s="1">
        <v>0.0</v>
      </c>
      <c r="I1442" s="1">
        <v>4.31</v>
      </c>
      <c r="J1442" s="1" t="s">
        <v>69</v>
      </c>
      <c r="K1442" s="1" t="s">
        <v>44</v>
      </c>
      <c r="L1442" s="1">
        <v>297.0</v>
      </c>
      <c r="M1442" s="1">
        <v>1990.0</v>
      </c>
      <c r="N1442" s="1">
        <v>1959.0</v>
      </c>
      <c r="P1442" s="2">
        <v>45143.0</v>
      </c>
      <c r="Q1442" s="1" t="s">
        <v>449</v>
      </c>
      <c r="R1442" s="1" t="s">
        <v>6418</v>
      </c>
      <c r="S1442" s="1" t="s">
        <v>32</v>
      </c>
      <c r="W1442" s="1">
        <v>0.0</v>
      </c>
      <c r="X1442" s="1">
        <v>1.0</v>
      </c>
    </row>
    <row r="1443" spans="1:24" ht="15.75" customHeight="1">
      <c r="A1443" s="1">
        <v>5369830.0</v>
      </c>
      <c r="B1443" s="1" t="s">
        <v>6419</v>
      </c>
      <c r="C1443" s="1" t="s">
        <v>6420</v>
      </c>
      <c r="D1443" s="1" t="s">
        <v>6421</v>
      </c>
      <c r="F1443" s="1" t="str">
        <f>"096276955X"</f>
        <v>096276955X</v>
      </c>
      <c r="G1443" s="1" t="str">
        <f>"9780962769559"</f>
        <v>9780962769559</v>
      </c>
      <c r="H1443" s="1">
        <v>0.0</v>
      </c>
      <c r="I1443" s="1">
        <v>0.0</v>
      </c>
      <c r="J1443" s="1" t="s">
        <v>6422</v>
      </c>
      <c r="K1443" s="1" t="s">
        <v>44</v>
      </c>
      <c r="L1443" s="1">
        <v>150.0</v>
      </c>
      <c r="M1443" s="1">
        <v>2004.0</v>
      </c>
      <c r="N1443" s="1">
        <v>1990.0</v>
      </c>
      <c r="P1443" s="2">
        <v>45145.0</v>
      </c>
      <c r="Q1443" s="1" t="s">
        <v>6423</v>
      </c>
      <c r="R1443" s="1" t="s">
        <v>6424</v>
      </c>
      <c r="S1443" s="1" t="s">
        <v>32</v>
      </c>
      <c r="W1443" s="1">
        <v>0.0</v>
      </c>
      <c r="X1443" s="1">
        <v>0.0</v>
      </c>
    </row>
    <row r="1444" spans="1:24" ht="15.75" customHeight="1">
      <c r="A1444" s="1">
        <v>5.4777446E7</v>
      </c>
      <c r="B1444" s="1" t="s">
        <v>6425</v>
      </c>
      <c r="C1444" s="1" t="s">
        <v>6426</v>
      </c>
      <c r="D1444" s="1" t="s">
        <v>6427</v>
      </c>
      <c r="F1444" s="1" t="str">
        <f>""</f>
        <v/>
      </c>
      <c r="G1444" s="1" t="str">
        <f>"9781646220267"</f>
        <v>9781646220267</v>
      </c>
      <c r="H1444" s="1">
        <v>0.0</v>
      </c>
      <c r="I1444" s="1">
        <v>3.84</v>
      </c>
      <c r="J1444" s="1" t="s">
        <v>6428</v>
      </c>
      <c r="K1444" s="1" t="s">
        <v>37</v>
      </c>
      <c r="L1444" s="1">
        <v>288.0</v>
      </c>
      <c r="M1444" s="1">
        <v>2021.0</v>
      </c>
      <c r="N1444" s="1">
        <v>2021.0</v>
      </c>
      <c r="P1444" s="2">
        <v>44216.0</v>
      </c>
      <c r="Q1444" s="1" t="s">
        <v>32</v>
      </c>
      <c r="R1444" s="1" t="s">
        <v>6429</v>
      </c>
      <c r="S1444" s="1" t="s">
        <v>32</v>
      </c>
      <c r="W1444" s="1">
        <v>0.0</v>
      </c>
      <c r="X1444" s="1">
        <v>0.0</v>
      </c>
    </row>
    <row r="1445" spans="1:24" ht="15.75" customHeight="1">
      <c r="A1445" s="1">
        <v>336843.0</v>
      </c>
      <c r="B1445" s="1" t="s">
        <v>6430</v>
      </c>
      <c r="C1445" s="1" t="s">
        <v>6431</v>
      </c>
      <c r="D1445" s="1" t="s">
        <v>6432</v>
      </c>
      <c r="E1445" s="1" t="s">
        <v>6433</v>
      </c>
      <c r="F1445" s="1" t="str">
        <f>"0930762002"</f>
        <v>0930762002</v>
      </c>
      <c r="G1445" s="1" t="str">
        <f>"9780930762001"</f>
        <v>9780930762001</v>
      </c>
      <c r="H1445" s="1">
        <v>0.0</v>
      </c>
      <c r="I1445" s="1">
        <v>4.51</v>
      </c>
      <c r="J1445" s="1" t="s">
        <v>6434</v>
      </c>
      <c r="K1445" s="1" t="s">
        <v>44</v>
      </c>
      <c r="L1445" s="1">
        <v>114.0</v>
      </c>
      <c r="M1445" s="1">
        <v>1991.0</v>
      </c>
      <c r="N1445" s="1">
        <v>1977.0</v>
      </c>
      <c r="P1445" s="2">
        <v>43925.0</v>
      </c>
      <c r="Q1445" s="1" t="s">
        <v>32</v>
      </c>
      <c r="R1445" s="1" t="s">
        <v>6435</v>
      </c>
      <c r="S1445" s="1" t="s">
        <v>32</v>
      </c>
      <c r="W1445" s="1">
        <v>0.0</v>
      </c>
      <c r="X1445" s="1">
        <v>0.0</v>
      </c>
    </row>
    <row r="1446" spans="1:24" ht="15.75" customHeight="1">
      <c r="A1446" s="1">
        <v>109395.0</v>
      </c>
      <c r="B1446" s="1" t="s">
        <v>6436</v>
      </c>
      <c r="C1446" s="1" t="s">
        <v>6437</v>
      </c>
      <c r="D1446" s="1" t="s">
        <v>6438</v>
      </c>
      <c r="E1446" s="1" t="s">
        <v>6439</v>
      </c>
      <c r="F1446" s="1" t="str">
        <f>"0802136915"</f>
        <v>0802136915</v>
      </c>
      <c r="G1446" s="1" t="str">
        <f>"9780802136916"</f>
        <v>9780802136916</v>
      </c>
      <c r="H1446" s="1">
        <v>0.0</v>
      </c>
      <c r="I1446" s="1">
        <v>3.64</v>
      </c>
      <c r="J1446" s="1" t="s">
        <v>663</v>
      </c>
      <c r="K1446" s="1" t="s">
        <v>44</v>
      </c>
      <c r="L1446" s="1">
        <v>363.0</v>
      </c>
      <c r="M1446" s="1">
        <v>2000.0</v>
      </c>
      <c r="N1446" s="1">
        <v>1978.0</v>
      </c>
      <c r="P1446" s="2">
        <v>45114.0</v>
      </c>
      <c r="Q1446" s="1" t="s">
        <v>818</v>
      </c>
      <c r="R1446" s="1" t="s">
        <v>6440</v>
      </c>
      <c r="S1446" s="1" t="s">
        <v>32</v>
      </c>
      <c r="W1446" s="1">
        <v>0.0</v>
      </c>
      <c r="X1446" s="1">
        <v>1.0</v>
      </c>
    </row>
    <row r="1447" spans="1:24" ht="15.75" customHeight="1">
      <c r="A1447" s="1">
        <v>436053.0</v>
      </c>
      <c r="B1447" s="1" t="s">
        <v>6441</v>
      </c>
      <c r="C1447" s="1" t="s">
        <v>6442</v>
      </c>
      <c r="D1447" s="1" t="s">
        <v>6443</v>
      </c>
      <c r="F1447" s="1" t="str">
        <f>"0971646678"</f>
        <v>0971646678</v>
      </c>
      <c r="G1447" s="1" t="str">
        <f>"9780971646674"</f>
        <v>9780971646674</v>
      </c>
      <c r="H1447" s="1">
        <v>0.0</v>
      </c>
      <c r="I1447" s="1">
        <v>4.06</v>
      </c>
      <c r="J1447" s="94" t="s">
        <v>6444</v>
      </c>
      <c r="K1447" s="1" t="s">
        <v>44</v>
      </c>
      <c r="L1447" s="1">
        <v>224.0</v>
      </c>
      <c r="M1447" s="1">
        <v>2012.0</v>
      </c>
      <c r="N1447" s="1">
        <v>2007.0</v>
      </c>
      <c r="P1447" s="2">
        <v>44814.0</v>
      </c>
      <c r="Q1447" s="1">
        <v>0.0</v>
      </c>
      <c r="R1447" s="1" t="s">
        <v>6445</v>
      </c>
      <c r="S1447" s="1" t="s">
        <v>271</v>
      </c>
      <c r="W1447" s="1">
        <v>1.0</v>
      </c>
      <c r="X1447" s="1">
        <v>1.0</v>
      </c>
    </row>
    <row r="1448" spans="1:24" ht="15.75" customHeight="1">
      <c r="A1448" s="1">
        <v>1.9288788E7</v>
      </c>
      <c r="B1448" s="1" t="s">
        <v>6446</v>
      </c>
      <c r="C1448" s="1" t="s">
        <v>6447</v>
      </c>
      <c r="D1448" s="1" t="s">
        <v>6448</v>
      </c>
      <c r="F1448" s="1" t="str">
        <f>"1612193765"</f>
        <v>1612193765</v>
      </c>
      <c r="G1448" s="1" t="str">
        <f>"9781612193762"</f>
        <v>9781612193762</v>
      </c>
      <c r="H1448" s="1">
        <v>0.0</v>
      </c>
      <c r="I1448" s="1">
        <v>3.11</v>
      </c>
      <c r="J1448" s="1" t="s">
        <v>2462</v>
      </c>
      <c r="K1448" s="1" t="s">
        <v>37</v>
      </c>
      <c r="L1448" s="1">
        <v>192.0</v>
      </c>
      <c r="M1448" s="1">
        <v>2014.0</v>
      </c>
      <c r="N1448" s="1">
        <v>2014.0</v>
      </c>
      <c r="P1448" s="2">
        <v>42617.0</v>
      </c>
      <c r="Q1448" s="1" t="s">
        <v>32</v>
      </c>
      <c r="R1448" s="1" t="s">
        <v>6449</v>
      </c>
      <c r="S1448" s="1" t="s">
        <v>32</v>
      </c>
      <c r="W1448" s="1">
        <v>0.0</v>
      </c>
      <c r="X1448" s="1">
        <v>0.0</v>
      </c>
    </row>
    <row r="1449" spans="1:24" ht="15.75" customHeight="1">
      <c r="A1449" s="1">
        <v>5.0130964E7</v>
      </c>
      <c r="B1449" s="1" t="s">
        <v>6450</v>
      </c>
      <c r="C1449" s="1" t="s">
        <v>6451</v>
      </c>
      <c r="D1449" s="1" t="s">
        <v>6452</v>
      </c>
      <c r="E1449" s="1" t="s">
        <v>6453</v>
      </c>
      <c r="F1449" s="1" t="str">
        <f>"0300167490"</f>
        <v>0300167490</v>
      </c>
      <c r="G1449" s="1" t="str">
        <f>"9780300167498"</f>
        <v>9780300167498</v>
      </c>
      <c r="H1449" s="1">
        <v>0.0</v>
      </c>
      <c r="I1449" s="1">
        <v>3.85</v>
      </c>
      <c r="J1449" s="1" t="s">
        <v>962</v>
      </c>
      <c r="K1449" s="1" t="s">
        <v>37</v>
      </c>
      <c r="L1449" s="1">
        <v>304.0</v>
      </c>
      <c r="M1449" s="1">
        <v>2020.0</v>
      </c>
      <c r="N1449" s="1">
        <v>2008.0</v>
      </c>
      <c r="P1449" s="3">
        <v>44484.0</v>
      </c>
      <c r="Q1449" s="1" t="s">
        <v>32</v>
      </c>
      <c r="R1449" s="1" t="s">
        <v>6454</v>
      </c>
      <c r="S1449" s="1" t="s">
        <v>32</v>
      </c>
      <c r="W1449" s="1">
        <v>0.0</v>
      </c>
      <c r="X1449" s="1">
        <v>0.0</v>
      </c>
    </row>
    <row r="1450" spans="1:24" ht="15.75" customHeight="1">
      <c r="A1450" s="1">
        <v>119512.0</v>
      </c>
      <c r="B1450" s="1" t="s">
        <v>6455</v>
      </c>
      <c r="C1450" s="1" t="s">
        <v>6456</v>
      </c>
      <c r="D1450" s="1" t="s">
        <v>6457</v>
      </c>
      <c r="E1450" s="1" t="s">
        <v>6458</v>
      </c>
      <c r="F1450" s="1" t="str">
        <f>"0811215040"</f>
        <v>0811215040</v>
      </c>
      <c r="G1450" s="1" t="str">
        <f>"9780811215046"</f>
        <v>9780811215046</v>
      </c>
      <c r="H1450" s="1">
        <v>0.0</v>
      </c>
      <c r="I1450" s="1">
        <v>4.16</v>
      </c>
      <c r="J1450" s="1" t="s">
        <v>419</v>
      </c>
      <c r="K1450" s="1" t="s">
        <v>44</v>
      </c>
      <c r="L1450" s="1">
        <v>314.0</v>
      </c>
      <c r="M1450" s="1">
        <v>2002.0</v>
      </c>
      <c r="N1450" s="1">
        <v>1989.0</v>
      </c>
      <c r="P1450" s="2">
        <v>45058.0</v>
      </c>
      <c r="Q1450" s="1" t="s">
        <v>502</v>
      </c>
      <c r="R1450" s="1" t="s">
        <v>6459</v>
      </c>
      <c r="S1450" s="1" t="s">
        <v>32</v>
      </c>
      <c r="W1450" s="1">
        <v>0.0</v>
      </c>
      <c r="X1450" s="1">
        <v>0.0</v>
      </c>
    </row>
    <row r="1451" spans="1:24" ht="15.75" customHeight="1">
      <c r="A1451" s="1">
        <v>1.1455485E7</v>
      </c>
      <c r="B1451" s="1" t="s">
        <v>6460</v>
      </c>
      <c r="C1451" s="1" t="s">
        <v>6456</v>
      </c>
      <c r="D1451" s="1" t="s">
        <v>6457</v>
      </c>
      <c r="E1451" s="1" t="s">
        <v>6458</v>
      </c>
      <c r="F1451" s="1" t="str">
        <f>"0811217345"</f>
        <v>0811217345</v>
      </c>
      <c r="G1451" s="1" t="str">
        <f>"9780811217347"</f>
        <v>9780811217347</v>
      </c>
      <c r="H1451" s="1">
        <v>0.0</v>
      </c>
      <c r="I1451" s="1">
        <v>4.14</v>
      </c>
      <c r="J1451" s="1" t="s">
        <v>419</v>
      </c>
      <c r="K1451" s="1" t="s">
        <v>37</v>
      </c>
      <c r="L1451" s="1">
        <v>274.0</v>
      </c>
      <c r="M1451" s="1">
        <v>2012.0</v>
      </c>
      <c r="N1451" s="1">
        <v>1985.0</v>
      </c>
      <c r="P1451" s="2">
        <v>45137.0</v>
      </c>
      <c r="Q1451" s="1" t="s">
        <v>32</v>
      </c>
      <c r="R1451" s="1" t="s">
        <v>6461</v>
      </c>
      <c r="S1451" s="1" t="s">
        <v>32</v>
      </c>
      <c r="W1451" s="1">
        <v>0.0</v>
      </c>
      <c r="X1451" s="1">
        <v>0.0</v>
      </c>
    </row>
    <row r="1452" spans="1:24" ht="15.75" customHeight="1">
      <c r="A1452" s="1">
        <v>413082.0</v>
      </c>
      <c r="B1452" s="1" t="s">
        <v>6462</v>
      </c>
      <c r="C1452" s="1" t="s">
        <v>6463</v>
      </c>
      <c r="D1452" s="1" t="s">
        <v>6464</v>
      </c>
      <c r="F1452" s="1" t="str">
        <f>"8476696132"</f>
        <v>8476696132</v>
      </c>
      <c r="G1452" s="1" t="str">
        <f>"9788476696132"</f>
        <v>9788476696132</v>
      </c>
      <c r="H1452" s="1">
        <v>0.0</v>
      </c>
      <c r="I1452" s="1">
        <v>4.11</v>
      </c>
      <c r="J1452" s="1" t="s">
        <v>6465</v>
      </c>
      <c r="K1452" s="1" t="s">
        <v>37</v>
      </c>
      <c r="L1452" s="1">
        <v>720.0</v>
      </c>
      <c r="M1452" s="1">
        <v>2003.0</v>
      </c>
      <c r="N1452" s="1">
        <v>1939.0</v>
      </c>
      <c r="P1452" s="2">
        <v>44094.0</v>
      </c>
      <c r="Q1452" s="1" t="s">
        <v>32</v>
      </c>
      <c r="R1452" s="1" t="s">
        <v>6466</v>
      </c>
      <c r="S1452" s="1" t="s">
        <v>32</v>
      </c>
      <c r="W1452" s="1">
        <v>0.0</v>
      </c>
      <c r="X1452" s="1">
        <v>0.0</v>
      </c>
    </row>
    <row r="1453" spans="1:24" ht="15.75" customHeight="1">
      <c r="A1453" s="1">
        <v>3.8644412E7</v>
      </c>
      <c r="B1453" s="1" t="s">
        <v>6467</v>
      </c>
      <c r="C1453" s="1" t="s">
        <v>6468</v>
      </c>
      <c r="D1453" s="1" t="s">
        <v>6469</v>
      </c>
      <c r="F1453" s="1" t="str">
        <f>"1947783556"</f>
        <v>1947783556</v>
      </c>
      <c r="G1453" s="1" t="str">
        <f>"9781947783553"</f>
        <v>9781947783553</v>
      </c>
      <c r="H1453" s="1">
        <v>0.0</v>
      </c>
      <c r="I1453" s="1">
        <v>3.78</v>
      </c>
      <c r="J1453" s="1" t="s">
        <v>4225</v>
      </c>
      <c r="K1453" s="1" t="s">
        <v>44</v>
      </c>
      <c r="L1453" s="1">
        <v>256.0</v>
      </c>
      <c r="M1453" s="1">
        <v>2018.0</v>
      </c>
      <c r="N1453" s="1">
        <v>2018.0</v>
      </c>
      <c r="P1453" s="3">
        <v>45228.0</v>
      </c>
      <c r="Q1453" s="1" t="s">
        <v>145</v>
      </c>
      <c r="R1453" s="1" t="s">
        <v>6470</v>
      </c>
      <c r="S1453" s="1" t="s">
        <v>32</v>
      </c>
      <c r="W1453" s="1">
        <v>0.0</v>
      </c>
      <c r="X1453" s="1">
        <v>0.0</v>
      </c>
    </row>
    <row r="1454" spans="1:24" ht="15.75" customHeight="1">
      <c r="A1454" s="1">
        <v>465114.0</v>
      </c>
      <c r="B1454" s="1" t="s">
        <v>6471</v>
      </c>
      <c r="C1454" s="1" t="s">
        <v>6472</v>
      </c>
      <c r="D1454" s="1" t="s">
        <v>6473</v>
      </c>
      <c r="E1454" s="1" t="s">
        <v>6474</v>
      </c>
      <c r="F1454" s="1" t="str">
        <f>"1564780708"</f>
        <v>1564780708</v>
      </c>
      <c r="G1454" s="1" t="str">
        <f>"9781564780706"</f>
        <v>9781564780706</v>
      </c>
      <c r="H1454" s="1">
        <v>0.0</v>
      </c>
      <c r="I1454" s="1">
        <v>3.5</v>
      </c>
      <c r="J1454" s="1" t="s">
        <v>2337</v>
      </c>
      <c r="K1454" s="1" t="s">
        <v>44</v>
      </c>
      <c r="L1454" s="1">
        <v>208.0</v>
      </c>
      <c r="M1454" s="1">
        <v>1993.0</v>
      </c>
      <c r="N1454" s="1">
        <v>1993.0</v>
      </c>
      <c r="P1454" s="2">
        <v>45167.0</v>
      </c>
      <c r="Q1454" s="1" t="s">
        <v>502</v>
      </c>
      <c r="R1454" s="1" t="s">
        <v>6475</v>
      </c>
      <c r="S1454" s="1" t="s">
        <v>32</v>
      </c>
      <c r="W1454" s="1">
        <v>0.0</v>
      </c>
      <c r="X1454" s="1">
        <v>0.0</v>
      </c>
    </row>
    <row r="1455" spans="1:24" ht="15.75" customHeight="1">
      <c r="A1455" s="1">
        <v>6.1154622E7</v>
      </c>
      <c r="B1455" s="1" t="s">
        <v>6476</v>
      </c>
      <c r="C1455" s="1" t="s">
        <v>6477</v>
      </c>
      <c r="D1455" s="1" t="s">
        <v>6478</v>
      </c>
      <c r="E1455" s="1" t="s">
        <v>6479</v>
      </c>
      <c r="F1455" s="1" t="str">
        <f>"1945492651"</f>
        <v>1945492651</v>
      </c>
      <c r="G1455" s="1" t="str">
        <f>"9781945492655"</f>
        <v>9781945492655</v>
      </c>
      <c r="H1455" s="1">
        <v>0.0</v>
      </c>
      <c r="I1455" s="1">
        <v>3.78</v>
      </c>
      <c r="J1455" s="1" t="s">
        <v>6480</v>
      </c>
      <c r="K1455" s="1" t="s">
        <v>44</v>
      </c>
      <c r="L1455" s="1">
        <v>454.0</v>
      </c>
      <c r="M1455" s="1">
        <v>2023.0</v>
      </c>
      <c r="N1455" s="1">
        <v>2020.0</v>
      </c>
      <c r="P1455" s="3">
        <v>45274.0</v>
      </c>
      <c r="Q1455" s="1" t="s">
        <v>145</v>
      </c>
      <c r="R1455" s="1" t="s">
        <v>6481</v>
      </c>
      <c r="S1455" s="1" t="s">
        <v>32</v>
      </c>
      <c r="W1455" s="1">
        <v>0.0</v>
      </c>
      <c r="X1455" s="1">
        <v>0.0</v>
      </c>
    </row>
    <row r="1456" spans="1:24" ht="15.75" customHeight="1">
      <c r="A1456" s="1">
        <v>3.6511814E7</v>
      </c>
      <c r="B1456" s="1" t="s">
        <v>6482</v>
      </c>
      <c r="C1456" s="1" t="s">
        <v>6483</v>
      </c>
      <c r="D1456" s="1" t="s">
        <v>6484</v>
      </c>
      <c r="F1456" s="1" t="str">
        <f t="shared" si="107" ref="F1456:G1456">""</f>
        <v/>
      </c>
      <c r="G1456" s="1" t="str">
        <f t="shared" si="107"/>
        <v/>
      </c>
      <c r="H1456" s="1">
        <v>0.0</v>
      </c>
      <c r="I1456" s="1">
        <v>4.17</v>
      </c>
      <c r="J1456" s="1" t="s">
        <v>28</v>
      </c>
      <c r="K1456" s="1" t="s">
        <v>29</v>
      </c>
      <c r="L1456" s="1">
        <v>885.0</v>
      </c>
      <c r="M1456" s="1">
        <v>2012.0</v>
      </c>
      <c r="N1456" s="1">
        <v>1960.0</v>
      </c>
      <c r="P1456" s="2">
        <v>45135.0</v>
      </c>
      <c r="Q1456" s="1" t="s">
        <v>633</v>
      </c>
      <c r="R1456" s="1" t="s">
        <v>6485</v>
      </c>
      <c r="S1456" s="1" t="s">
        <v>32</v>
      </c>
      <c r="W1456" s="1">
        <v>0.0</v>
      </c>
      <c r="X1456" s="1">
        <v>0.0</v>
      </c>
    </row>
    <row r="1457" spans="1:24" ht="15.75" customHeight="1">
      <c r="A1457" s="1">
        <v>13037.0</v>
      </c>
      <c r="B1457" s="1" t="s">
        <v>6486</v>
      </c>
      <c r="C1457" s="1" t="s">
        <v>6483</v>
      </c>
      <c r="D1457" s="1" t="s">
        <v>6484</v>
      </c>
      <c r="F1457" s="1" t="str">
        <f>"0140153195"</f>
        <v>0140153195</v>
      </c>
      <c r="G1457" s="1" t="str">
        <f>"9780140153194"</f>
        <v>9780140153194</v>
      </c>
      <c r="H1457" s="1">
        <v>0.0</v>
      </c>
      <c r="I1457" s="1">
        <v>3.85</v>
      </c>
      <c r="J1457" s="1" t="s">
        <v>61</v>
      </c>
      <c r="K1457" s="1" t="s">
        <v>44</v>
      </c>
      <c r="L1457" s="1">
        <v>253.0</v>
      </c>
      <c r="M1457" s="1">
        <v>1991.0</v>
      </c>
      <c r="N1457" s="1">
        <v>1957.0</v>
      </c>
      <c r="P1457" s="2">
        <v>45137.0</v>
      </c>
      <c r="Q1457" s="1" t="s">
        <v>32</v>
      </c>
      <c r="R1457" s="1" t="s">
        <v>6487</v>
      </c>
      <c r="S1457" s="1" t="s">
        <v>32</v>
      </c>
      <c r="W1457" s="1">
        <v>0.0</v>
      </c>
      <c r="X1457" s="1">
        <v>0.0</v>
      </c>
    </row>
    <row r="1458" spans="1:24" ht="15.75" customHeight="1">
      <c r="A1458" s="1">
        <v>2294076.0</v>
      </c>
      <c r="B1458" s="1" t="s">
        <v>6488</v>
      </c>
      <c r="C1458" s="1" t="s">
        <v>6489</v>
      </c>
      <c r="D1458" s="1" t="s">
        <v>6490</v>
      </c>
      <c r="F1458" s="1" t="str">
        <f>"0972984208"</f>
        <v>0972984208</v>
      </c>
      <c r="G1458" s="1" t="str">
        <f>"9780972984201"</f>
        <v>9780972984201</v>
      </c>
      <c r="H1458" s="1">
        <v>0.0</v>
      </c>
      <c r="I1458" s="1">
        <v>3.0</v>
      </c>
      <c r="J1458" s="1" t="s">
        <v>6491</v>
      </c>
      <c r="K1458" s="1" t="s">
        <v>37</v>
      </c>
      <c r="L1458" s="1">
        <v>96.0</v>
      </c>
      <c r="M1458" s="1">
        <v>2004.0</v>
      </c>
      <c r="N1458" s="1">
        <v>2004.0</v>
      </c>
      <c r="P1458" s="2">
        <v>45137.0</v>
      </c>
      <c r="Q1458" s="1" t="s">
        <v>115</v>
      </c>
      <c r="R1458" s="1" t="s">
        <v>6492</v>
      </c>
      <c r="S1458" s="1" t="s">
        <v>32</v>
      </c>
      <c r="W1458" s="1">
        <v>0.0</v>
      </c>
      <c r="X1458" s="1">
        <v>1.0</v>
      </c>
    </row>
    <row r="1459" spans="1:24" ht="15.75" customHeight="1">
      <c r="A1459" s="1">
        <v>9753419.0</v>
      </c>
      <c r="B1459" s="1" t="s">
        <v>6493</v>
      </c>
      <c r="C1459" s="1" t="s">
        <v>6494</v>
      </c>
      <c r="D1459" s="1" t="s">
        <v>6495</v>
      </c>
      <c r="E1459" s="1" t="s">
        <v>6496</v>
      </c>
      <c r="F1459" s="1" t="str">
        <f>"0804741271"</f>
        <v>0804741271</v>
      </c>
      <c r="G1459" s="1" t="str">
        <f>"9780804741279"</f>
        <v>9780804741279</v>
      </c>
      <c r="H1459" s="1">
        <v>0.0</v>
      </c>
      <c r="I1459" s="1">
        <v>3.0</v>
      </c>
      <c r="J1459" s="1" t="s">
        <v>3889</v>
      </c>
      <c r="K1459" s="1" t="s">
        <v>37</v>
      </c>
      <c r="L1459" s="1">
        <v>480.0</v>
      </c>
      <c r="M1459" s="1">
        <v>2002.0</v>
      </c>
      <c r="N1459" s="1">
        <v>2002.0</v>
      </c>
      <c r="P1459" s="3">
        <v>45274.0</v>
      </c>
      <c r="Q1459" s="1" t="s">
        <v>479</v>
      </c>
      <c r="R1459" s="1" t="s">
        <v>6497</v>
      </c>
      <c r="S1459" s="1" t="s">
        <v>32</v>
      </c>
      <c r="W1459" s="1">
        <v>0.0</v>
      </c>
      <c r="X1459" s="1">
        <v>0.0</v>
      </c>
    </row>
    <row r="1460" spans="1:24" ht="15.75" customHeight="1">
      <c r="A1460" s="1">
        <v>454808.0</v>
      </c>
      <c r="B1460" s="1" t="s">
        <v>6498</v>
      </c>
      <c r="C1460" s="1" t="s">
        <v>6499</v>
      </c>
      <c r="D1460" s="1" t="s">
        <v>6500</v>
      </c>
      <c r="F1460" s="1" t="str">
        <f>"0226893944"</f>
        <v>0226893944</v>
      </c>
      <c r="G1460" s="1" t="str">
        <f>"9780226893945"</f>
        <v>9780226893945</v>
      </c>
      <c r="H1460" s="1">
        <v>0.0</v>
      </c>
      <c r="I1460" s="1">
        <v>4.21</v>
      </c>
      <c r="J1460" s="1" t="s">
        <v>78</v>
      </c>
      <c r="K1460" s="1" t="s">
        <v>44</v>
      </c>
      <c r="L1460" s="1">
        <v>322.0</v>
      </c>
      <c r="M1460" s="1">
        <v>1998.0</v>
      </c>
      <c r="N1460" s="1">
        <v>1990.0</v>
      </c>
      <c r="P1460" s="2">
        <v>45269.0</v>
      </c>
      <c r="Q1460" s="1" t="s">
        <v>479</v>
      </c>
      <c r="R1460" s="1" t="s">
        <v>6501</v>
      </c>
      <c r="S1460" s="1" t="s">
        <v>32</v>
      </c>
      <c r="W1460" s="1">
        <v>0.0</v>
      </c>
      <c r="X1460" s="1">
        <v>0.0</v>
      </c>
    </row>
    <row r="1461" spans="1:24" ht="15.75" customHeight="1">
      <c r="A1461" s="1">
        <v>306944.0</v>
      </c>
      <c r="B1461" s="1" t="s">
        <v>6502</v>
      </c>
      <c r="C1461" s="1" t="s">
        <v>6503</v>
      </c>
      <c r="D1461" s="1" t="s">
        <v>6504</v>
      </c>
      <c r="F1461" s="1" t="str">
        <f>"0415902592"</f>
        <v>0415902592</v>
      </c>
      <c r="G1461" s="1" t="str">
        <f>"9780415902595"</f>
        <v>9780415902595</v>
      </c>
      <c r="H1461" s="1">
        <v>0.0</v>
      </c>
      <c r="I1461" s="1">
        <v>4.0</v>
      </c>
      <c r="J1461" s="1" t="s">
        <v>280</v>
      </c>
      <c r="K1461" s="1" t="s">
        <v>44</v>
      </c>
      <c r="L1461" s="1">
        <v>306.0</v>
      </c>
      <c r="M1461" s="1">
        <v>1994.0</v>
      </c>
      <c r="N1461" s="1">
        <v>1994.0</v>
      </c>
      <c r="P1461" s="2">
        <v>43949.0</v>
      </c>
      <c r="Q1461" s="1" t="s">
        <v>6505</v>
      </c>
      <c r="R1461" s="1" t="s">
        <v>6506</v>
      </c>
      <c r="S1461" s="1" t="s">
        <v>32</v>
      </c>
      <c r="W1461" s="1">
        <v>0.0</v>
      </c>
      <c r="X1461" s="1">
        <v>0.0</v>
      </c>
    </row>
    <row r="1462" spans="1:24" ht="15.75" customHeight="1">
      <c r="A1462" s="1">
        <v>306941.0</v>
      </c>
      <c r="B1462" s="1" t="s">
        <v>6507</v>
      </c>
      <c r="C1462" s="1" t="s">
        <v>6503</v>
      </c>
      <c r="D1462" s="1" t="s">
        <v>6504</v>
      </c>
      <c r="F1462" s="1" t="str">
        <f>"0822333694"</f>
        <v>0822333694</v>
      </c>
      <c r="G1462" s="1" t="str">
        <f>"9780822333692"</f>
        <v>9780822333692</v>
      </c>
      <c r="H1462" s="1">
        <v>0.0</v>
      </c>
      <c r="I1462" s="1">
        <v>3.71</v>
      </c>
      <c r="J1462" s="1" t="s">
        <v>1341</v>
      </c>
      <c r="K1462" s="1" t="s">
        <v>44</v>
      </c>
      <c r="L1462" s="1">
        <v>208.0</v>
      </c>
      <c r="M1462" s="1">
        <v>2004.0</v>
      </c>
      <c r="N1462" s="1">
        <v>2004.0</v>
      </c>
      <c r="P1462" s="2">
        <v>42561.0</v>
      </c>
      <c r="Q1462" s="1" t="s">
        <v>1110</v>
      </c>
      <c r="R1462" s="1" t="s">
        <v>6508</v>
      </c>
      <c r="S1462" s="1" t="s">
        <v>32</v>
      </c>
      <c r="W1462" s="1">
        <v>0.0</v>
      </c>
      <c r="X1462" s="1">
        <v>0.0</v>
      </c>
    </row>
    <row r="1463" spans="1:24" ht="15.75" customHeight="1">
      <c r="A1463" s="1">
        <v>5.7521549E7</v>
      </c>
      <c r="B1463" s="1" t="s">
        <v>6509</v>
      </c>
      <c r="C1463" s="1" t="s">
        <v>6510</v>
      </c>
      <c r="D1463" s="1" t="s">
        <v>6511</v>
      </c>
      <c r="F1463" s="1" t="str">
        <f>"8433916483"</f>
        <v>8433916483</v>
      </c>
      <c r="G1463" s="1" t="str">
        <f>"9788433916488"</f>
        <v>9788433916488</v>
      </c>
      <c r="H1463" s="1">
        <v>0.0</v>
      </c>
      <c r="I1463" s="1">
        <v>4.42</v>
      </c>
      <c r="J1463" s="1" t="s">
        <v>275</v>
      </c>
      <c r="K1463" s="1" t="s">
        <v>44</v>
      </c>
      <c r="L1463" s="1">
        <v>96.0</v>
      </c>
      <c r="M1463" s="1">
        <v>2021.0</v>
      </c>
      <c r="N1463" s="1">
        <v>2021.0</v>
      </c>
      <c r="P1463" s="3">
        <v>45273.0</v>
      </c>
      <c r="Q1463" s="1" t="s">
        <v>541</v>
      </c>
      <c r="R1463" s="1" t="s">
        <v>6512</v>
      </c>
      <c r="S1463" s="1" t="s">
        <v>32</v>
      </c>
      <c r="W1463" s="1">
        <v>0.0</v>
      </c>
      <c r="X1463" s="1">
        <v>0.0</v>
      </c>
    </row>
    <row r="1464" spans="1:24" ht="15.75" customHeight="1">
      <c r="A1464" s="1">
        <v>1.31613754E8</v>
      </c>
      <c r="B1464" s="1" t="s">
        <v>6513</v>
      </c>
      <c r="C1464" s="1" t="s">
        <v>6514</v>
      </c>
      <c r="D1464" s="1" t="s">
        <v>6515</v>
      </c>
      <c r="F1464" s="1" t="str">
        <f t="shared" si="108" ref="F1464:G1464">""</f>
        <v/>
      </c>
      <c r="G1464" s="1" t="str">
        <f t="shared" si="108"/>
        <v/>
      </c>
      <c r="H1464" s="1">
        <v>0.0</v>
      </c>
      <c r="I1464" s="1">
        <v>0.0</v>
      </c>
      <c r="J1464" s="1" t="s">
        <v>6516</v>
      </c>
      <c r="K1464" s="1" t="s">
        <v>44</v>
      </c>
      <c r="L1464" s="1">
        <v>0.0</v>
      </c>
      <c r="M1464" s="1">
        <v>1962.0</v>
      </c>
      <c r="P1464" s="2">
        <v>45161.0</v>
      </c>
      <c r="Q1464" s="1" t="s">
        <v>788</v>
      </c>
      <c r="R1464" s="1" t="s">
        <v>6517</v>
      </c>
      <c r="S1464" s="1" t="s">
        <v>32</v>
      </c>
      <c r="V1464" s="1" t="s">
        <v>3620</v>
      </c>
      <c r="W1464" s="1">
        <v>0.0</v>
      </c>
      <c r="X1464" s="1">
        <v>1.0</v>
      </c>
    </row>
    <row r="1465" spans="1:24" ht="15.75" customHeight="1">
      <c r="A1465" s="1">
        <v>1126732.0</v>
      </c>
      <c r="B1465" s="1" t="s">
        <v>6518</v>
      </c>
      <c r="C1465" s="1" t="s">
        <v>6519</v>
      </c>
      <c r="D1465" s="1" t="s">
        <v>6520</v>
      </c>
      <c r="F1465" s="1" t="str">
        <f>"0674406206"</f>
        <v>0674406206</v>
      </c>
      <c r="G1465" s="1" t="str">
        <f>"9780674406209"</f>
        <v>9780674406209</v>
      </c>
      <c r="H1465" s="1">
        <v>0.0</v>
      </c>
      <c r="I1465" s="1">
        <v>3.8</v>
      </c>
      <c r="J1465" s="1" t="s">
        <v>2273</v>
      </c>
      <c r="K1465" s="1" t="s">
        <v>44</v>
      </c>
      <c r="L1465" s="1">
        <v>208.0</v>
      </c>
      <c r="M1465" s="1">
        <v>1996.0</v>
      </c>
      <c r="N1465" s="1">
        <v>1995.0</v>
      </c>
      <c r="P1465" s="2">
        <v>43949.0</v>
      </c>
      <c r="Q1465" s="1" t="s">
        <v>1110</v>
      </c>
      <c r="R1465" s="1" t="s">
        <v>6521</v>
      </c>
      <c r="S1465" s="1" t="s">
        <v>32</v>
      </c>
      <c r="W1465" s="1">
        <v>0.0</v>
      </c>
      <c r="X1465" s="1">
        <v>0.0</v>
      </c>
    </row>
    <row r="1466" spans="1:24" ht="15.75" customHeight="1">
      <c r="A1466" s="1">
        <v>3.910536E7</v>
      </c>
      <c r="B1466" s="1" t="s">
        <v>6522</v>
      </c>
      <c r="C1466" s="1" t="s">
        <v>6519</v>
      </c>
      <c r="D1466" s="1" t="s">
        <v>6520</v>
      </c>
      <c r="F1466" s="1" t="str">
        <f>"022657976X"</f>
        <v>022657976X</v>
      </c>
      <c r="G1466" s="1" t="str">
        <f>"9780226579764"</f>
        <v>9780226579764</v>
      </c>
      <c r="H1466" s="1">
        <v>0.0</v>
      </c>
      <c r="I1466" s="1">
        <v>3.81</v>
      </c>
      <c r="J1466" s="1" t="s">
        <v>78</v>
      </c>
      <c r="K1466" s="1" t="s">
        <v>44</v>
      </c>
      <c r="L1466" s="1">
        <v>144.0</v>
      </c>
      <c r="M1466" s="1">
        <v>2018.0</v>
      </c>
      <c r="P1466" s="3">
        <v>44192.0</v>
      </c>
      <c r="Q1466" s="1" t="s">
        <v>32</v>
      </c>
      <c r="R1466" s="1" t="s">
        <v>6523</v>
      </c>
      <c r="S1466" s="1" t="s">
        <v>32</v>
      </c>
      <c r="W1466" s="1">
        <v>0.0</v>
      </c>
      <c r="X1466" s="1">
        <v>0.0</v>
      </c>
    </row>
    <row r="1467" spans="1:24" ht="15.75" customHeight="1">
      <c r="A1467" s="1">
        <v>744833.0</v>
      </c>
      <c r="B1467" s="1" t="s">
        <v>6524</v>
      </c>
      <c r="C1467" s="1" t="s">
        <v>6525</v>
      </c>
      <c r="D1467" s="1" t="s">
        <v>6526</v>
      </c>
      <c r="F1467" s="1" t="str">
        <f>"0393312216"</f>
        <v>0393312216</v>
      </c>
      <c r="G1467" s="1" t="str">
        <f>"9780393312218"</f>
        <v>9780393312218</v>
      </c>
      <c r="H1467" s="1">
        <v>0.0</v>
      </c>
      <c r="I1467" s="1">
        <v>4.38</v>
      </c>
      <c r="J1467" s="1" t="s">
        <v>248</v>
      </c>
      <c r="K1467" s="1" t="s">
        <v>44</v>
      </c>
      <c r="L1467" s="1">
        <v>1135.0</v>
      </c>
      <c r="M1467" s="1">
        <v>1995.0</v>
      </c>
      <c r="N1467" s="1">
        <v>1992.0</v>
      </c>
      <c r="P1467" s="2">
        <v>45129.0</v>
      </c>
      <c r="Q1467" s="1" t="s">
        <v>145</v>
      </c>
      <c r="R1467" s="1" t="s">
        <v>6527</v>
      </c>
      <c r="S1467" s="1" t="s">
        <v>32</v>
      </c>
      <c r="W1467" s="1">
        <v>0.0</v>
      </c>
      <c r="X1467" s="1">
        <v>0.0</v>
      </c>
    </row>
    <row r="1468" spans="1:24" ht="15.75" customHeight="1">
      <c r="A1468" s="1">
        <v>6314671.0</v>
      </c>
      <c r="B1468" s="1" t="s">
        <v>6528</v>
      </c>
      <c r="C1468" s="1" t="s">
        <v>6529</v>
      </c>
      <c r="D1468" s="1" t="s">
        <v>6530</v>
      </c>
      <c r="F1468" s="1" t="str">
        <f>"0307275175"</f>
        <v>0307275175</v>
      </c>
      <c r="G1468" s="1" t="str">
        <f>"9780307275172"</f>
        <v>9780307275172</v>
      </c>
      <c r="H1468" s="1">
        <v>0.0</v>
      </c>
      <c r="I1468" s="1">
        <v>3.94</v>
      </c>
      <c r="J1468" s="1" t="s">
        <v>69</v>
      </c>
      <c r="K1468" s="1" t="s">
        <v>44</v>
      </c>
      <c r="L1468" s="1">
        <v>238.0</v>
      </c>
      <c r="M1468" s="1">
        <v>2009.0</v>
      </c>
      <c r="N1468" s="1">
        <v>2008.0</v>
      </c>
      <c r="P1468" s="2">
        <v>45129.0</v>
      </c>
      <c r="Q1468" s="1" t="s">
        <v>788</v>
      </c>
      <c r="R1468" s="1" t="s">
        <v>6531</v>
      </c>
      <c r="S1468" s="1" t="s">
        <v>32</v>
      </c>
      <c r="W1468" s="1">
        <v>0.0</v>
      </c>
      <c r="X1468" s="1">
        <v>1.0</v>
      </c>
    </row>
    <row r="1469" spans="1:24" ht="15.75" customHeight="1">
      <c r="A1469" s="1">
        <v>18834.0</v>
      </c>
      <c r="B1469" s="1" t="s">
        <v>6532</v>
      </c>
      <c r="C1469" s="1" t="s">
        <v>6533</v>
      </c>
      <c r="D1469" s="1" t="s">
        <v>6534</v>
      </c>
      <c r="F1469" s="1" t="str">
        <f>"0156116804"</f>
        <v>0156116804</v>
      </c>
      <c r="G1469" s="1" t="str">
        <f>"9780156116800"</f>
        <v>9780156116800</v>
      </c>
      <c r="H1469" s="1">
        <v>0.0</v>
      </c>
      <c r="I1469" s="1">
        <v>3.74</v>
      </c>
      <c r="J1469" s="1" t="s">
        <v>468</v>
      </c>
      <c r="K1469" s="1" t="s">
        <v>44</v>
      </c>
      <c r="L1469" s="1">
        <v>263.0</v>
      </c>
      <c r="M1469" s="1">
        <v>1989.0</v>
      </c>
      <c r="N1469" s="1">
        <v>1989.0</v>
      </c>
      <c r="P1469" s="2">
        <v>45173.0</v>
      </c>
      <c r="Q1469" s="1" t="s">
        <v>249</v>
      </c>
      <c r="R1469" s="1" t="s">
        <v>6535</v>
      </c>
      <c r="S1469" s="1" t="s">
        <v>32</v>
      </c>
      <c r="W1469" s="1">
        <v>0.0</v>
      </c>
      <c r="X1469" s="1">
        <v>0.0</v>
      </c>
    </row>
    <row r="1470" spans="1:24" ht="15.75" customHeight="1">
      <c r="A1470" s="1">
        <v>130220.0</v>
      </c>
      <c r="B1470" s="1" t="s">
        <v>6536</v>
      </c>
      <c r="C1470" s="1" t="s">
        <v>6537</v>
      </c>
      <c r="D1470" s="1" t="s">
        <v>6538</v>
      </c>
      <c r="E1470" s="1" t="s">
        <v>6539</v>
      </c>
      <c r="F1470" s="1" t="str">
        <f>"0940322528"</f>
        <v>0940322528</v>
      </c>
      <c r="G1470" s="1" t="str">
        <f>"9780940322523"</f>
        <v>9780940322523</v>
      </c>
      <c r="H1470" s="1">
        <v>0.0</v>
      </c>
      <c r="I1470" s="1">
        <v>3.82</v>
      </c>
      <c r="J1470" s="1" t="s">
        <v>204</v>
      </c>
      <c r="K1470" s="1" t="s">
        <v>44</v>
      </c>
      <c r="L1470" s="1">
        <v>158.0</v>
      </c>
      <c r="M1470" s="1">
        <v>2000.0</v>
      </c>
      <c r="N1470" s="1">
        <v>1966.0</v>
      </c>
      <c r="P1470" s="2">
        <v>45175.0</v>
      </c>
      <c r="Q1470" s="1" t="s">
        <v>502</v>
      </c>
      <c r="R1470" s="1" t="s">
        <v>6540</v>
      </c>
      <c r="S1470" s="1" t="s">
        <v>32</v>
      </c>
      <c r="W1470" s="1">
        <v>0.0</v>
      </c>
      <c r="X1470" s="1">
        <v>0.0</v>
      </c>
    </row>
    <row r="1471" spans="1:24" ht="15.75" customHeight="1">
      <c r="A1471" s="1">
        <v>5.3404868E7</v>
      </c>
      <c r="B1471" s="1" t="s">
        <v>6541</v>
      </c>
      <c r="C1471" s="1" t="s">
        <v>6542</v>
      </c>
      <c r="D1471" s="1" t="s">
        <v>6543</v>
      </c>
      <c r="E1471" s="1" t="s">
        <v>6544</v>
      </c>
      <c r="F1471" s="1" t="str">
        <f>""</f>
        <v/>
      </c>
      <c r="G1471" s="1" t="str">
        <f>"9781681374642"</f>
        <v>9781681374642</v>
      </c>
      <c r="H1471" s="1">
        <v>5.0</v>
      </c>
      <c r="I1471" s="1">
        <v>4.0</v>
      </c>
      <c r="J1471" s="1" t="s">
        <v>823</v>
      </c>
      <c r="K1471" s="1" t="s">
        <v>44</v>
      </c>
      <c r="L1471" s="1">
        <v>210.0</v>
      </c>
      <c r="M1471" s="1">
        <v>2021.0</v>
      </c>
      <c r="N1471" s="1">
        <v>1974.0</v>
      </c>
      <c r="O1471" s="2">
        <v>45059.0</v>
      </c>
      <c r="P1471" s="2">
        <v>42485.0</v>
      </c>
      <c r="Q1471" s="1" t="s">
        <v>2060</v>
      </c>
      <c r="R1471" s="1" t="s">
        <v>6545</v>
      </c>
      <c r="S1471" s="1" t="s">
        <v>271</v>
      </c>
      <c r="W1471" s="1">
        <v>1.0</v>
      </c>
      <c r="X1471" s="1">
        <v>0.0</v>
      </c>
    </row>
    <row r="1472" spans="1:24" ht="15.75" customHeight="1">
      <c r="A1472" s="1">
        <v>3.3395084E7</v>
      </c>
      <c r="B1472" s="1" t="s">
        <v>6546</v>
      </c>
      <c r="C1472" s="1" t="s">
        <v>6542</v>
      </c>
      <c r="D1472" s="1" t="s">
        <v>6543</v>
      </c>
      <c r="E1472" s="1" t="s">
        <v>6547</v>
      </c>
      <c r="F1472" s="1" t="str">
        <f>"0997366648"</f>
        <v>0997366648</v>
      </c>
      <c r="G1472" s="1" t="str">
        <f>"9780997366648"</f>
        <v>9780997366648</v>
      </c>
      <c r="H1472" s="1">
        <v>0.0</v>
      </c>
      <c r="I1472" s="1">
        <v>4.05</v>
      </c>
      <c r="J1472" s="1" t="s">
        <v>6548</v>
      </c>
      <c r="K1472" s="1" t="s">
        <v>44</v>
      </c>
      <c r="L1472" s="1">
        <v>215.0</v>
      </c>
      <c r="M1472" s="1">
        <v>2017.0</v>
      </c>
      <c r="N1472" s="1">
        <v>2017.0</v>
      </c>
      <c r="P1472" s="2">
        <v>45081.0</v>
      </c>
      <c r="Q1472" s="1" t="s">
        <v>6549</v>
      </c>
      <c r="R1472" s="1" t="s">
        <v>6550</v>
      </c>
      <c r="S1472" s="1" t="s">
        <v>32</v>
      </c>
      <c r="W1472" s="1">
        <v>0.0</v>
      </c>
      <c r="X1472" s="1">
        <v>1.0</v>
      </c>
    </row>
    <row r="1473" spans="1:24" ht="15.75" customHeight="1">
      <c r="A1473" s="1">
        <v>7100367.0</v>
      </c>
      <c r="B1473" s="1" t="s">
        <v>6551</v>
      </c>
      <c r="C1473" s="1" t="s">
        <v>6542</v>
      </c>
      <c r="D1473" s="1" t="s">
        <v>6543</v>
      </c>
      <c r="E1473" s="1" t="s">
        <v>6552</v>
      </c>
      <c r="F1473" s="1" t="str">
        <f>"0941194175"</f>
        <v>0941194175</v>
      </c>
      <c r="G1473" s="1" t="str">
        <f>"9780941194174"</f>
        <v>9780941194174</v>
      </c>
      <c r="H1473" s="1">
        <v>0.0</v>
      </c>
      <c r="I1473" s="1">
        <v>3.84</v>
      </c>
      <c r="J1473" s="1" t="s">
        <v>6553</v>
      </c>
      <c r="K1473" s="1" t="s">
        <v>44</v>
      </c>
      <c r="L1473" s="1">
        <v>56.0</v>
      </c>
      <c r="M1473" s="1">
        <v>1982.0</v>
      </c>
      <c r="N1473" s="1">
        <v>1945.0</v>
      </c>
      <c r="P1473" s="2">
        <v>45059.0</v>
      </c>
      <c r="Q1473" s="1" t="s">
        <v>109</v>
      </c>
      <c r="R1473" s="1" t="s">
        <v>6554</v>
      </c>
      <c r="S1473" s="1" t="s">
        <v>32</v>
      </c>
      <c r="W1473" s="1">
        <v>0.0</v>
      </c>
      <c r="X1473" s="1">
        <v>0.0</v>
      </c>
    </row>
    <row r="1474" spans="1:24" ht="15.75" customHeight="1">
      <c r="A1474" s="100">
        <v>5.5501553E7</v>
      </c>
      <c r="B1474" s="100" t="s">
        <v>6555</v>
      </c>
      <c r="C1474" s="100" t="s">
        <v>6542</v>
      </c>
      <c r="D1474" s="100" t="s">
        <v>6543</v>
      </c>
      <c r="E1474" s="100" t="s">
        <v>6556</v>
      </c>
      <c r="F1474" s="100" t="str">
        <f t="shared" si="109" ref="F1474:G1474">""</f>
        <v/>
      </c>
      <c r="G1474" s="100" t="str">
        <f t="shared" si="109"/>
        <v/>
      </c>
      <c r="H1474" s="100">
        <v>0.0</v>
      </c>
      <c r="I1474" s="100">
        <v>4.32</v>
      </c>
      <c r="J1474" s="100" t="s">
        <v>6557</v>
      </c>
      <c r="K1474" s="101"/>
      <c r="L1474" s="100">
        <v>120.0</v>
      </c>
      <c r="M1474" s="100">
        <v>2020.0</v>
      </c>
      <c r="N1474" s="101"/>
      <c r="O1474" s="101"/>
      <c r="P1474" s="102">
        <v>45059.0</v>
      </c>
      <c r="Q1474" s="103" t="s">
        <v>1046</v>
      </c>
      <c r="R1474" s="100" t="s">
        <v>6559</v>
      </c>
      <c r="S1474" s="100" t="s">
        <v>32</v>
      </c>
      <c r="T1474" s="101"/>
      <c r="U1474" s="101"/>
      <c r="V1474" s="101"/>
      <c r="W1474" s="100">
        <v>0.0</v>
      </c>
      <c r="X1474" s="100">
        <v>0.0</v>
      </c>
    </row>
    <row r="1475" spans="1:24" ht="15.75" customHeight="1">
      <c r="A1475" s="100">
        <v>704571.0</v>
      </c>
      <c r="B1475" s="100" t="s">
        <v>6560</v>
      </c>
      <c r="C1475" s="100" t="s">
        <v>6542</v>
      </c>
      <c r="D1475" s="100" t="s">
        <v>6543</v>
      </c>
      <c r="E1475" s="101"/>
      <c r="F1475" s="100" t="str">
        <f>"0525485406"</f>
        <v>0525485406</v>
      </c>
      <c r="G1475" s="100" t="str">
        <f>"9780525485407"</f>
        <v>9780525485407</v>
      </c>
      <c r="H1475" s="100">
        <v>0.0</v>
      </c>
      <c r="I1475" s="100">
        <v>4.12</v>
      </c>
      <c r="J1475" s="100" t="s">
        <v>6561</v>
      </c>
      <c r="K1475" s="100" t="s">
        <v>44</v>
      </c>
      <c r="L1475" s="100">
        <v>224.0</v>
      </c>
      <c r="M1475" s="100">
        <v>1988.0</v>
      </c>
      <c r="N1475" s="100">
        <v>1938.0</v>
      </c>
      <c r="O1475" s="101"/>
      <c r="P1475" s="102">
        <v>45059.0</v>
      </c>
      <c r="Q1475" s="103" t="s">
        <v>1046</v>
      </c>
      <c r="R1475" s="100" t="s">
        <v>6562</v>
      </c>
      <c r="S1475" s="100" t="s">
        <v>32</v>
      </c>
      <c r="T1475" s="101"/>
      <c r="U1475" s="101"/>
      <c r="V1475" s="101"/>
      <c r="W1475" s="100">
        <v>0.0</v>
      </c>
      <c r="X1475" s="100">
        <v>0.0</v>
      </c>
    </row>
    <row r="1476" spans="1:24" ht="15.75" customHeight="1">
      <c r="A1476" s="100">
        <v>3.1171201E7</v>
      </c>
      <c r="B1476" s="100" t="s">
        <v>6563</v>
      </c>
      <c r="C1476" s="100" t="s">
        <v>6542</v>
      </c>
      <c r="D1476" s="100" t="s">
        <v>6543</v>
      </c>
      <c r="E1476" s="101"/>
      <c r="F1476" s="100" t="str">
        <f>"1681370948"</f>
        <v>1681370948</v>
      </c>
      <c r="G1476" s="100" t="str">
        <f>"9781681370941"</f>
        <v>9781681370941</v>
      </c>
      <c r="H1476" s="100">
        <v>0.0</v>
      </c>
      <c r="I1476" s="100">
        <v>4.11</v>
      </c>
      <c r="J1476" s="100" t="s">
        <v>6564</v>
      </c>
      <c r="K1476" s="100" t="s">
        <v>37</v>
      </c>
      <c r="L1476" s="100">
        <v>56.0</v>
      </c>
      <c r="M1476" s="100">
        <v>2017.0</v>
      </c>
      <c r="N1476" s="100">
        <v>2013.0</v>
      </c>
      <c r="O1476" s="101"/>
      <c r="P1476" s="102">
        <v>45059.0</v>
      </c>
      <c r="Q1476" s="103" t="s">
        <v>1046</v>
      </c>
      <c r="R1476" s="100" t="s">
        <v>6565</v>
      </c>
      <c r="S1476" s="100" t="s">
        <v>32</v>
      </c>
      <c r="T1476" s="101"/>
      <c r="U1476" s="101"/>
      <c r="V1476" s="101"/>
      <c r="W1476" s="100">
        <v>0.0</v>
      </c>
      <c r="X1476" s="100">
        <v>0.0</v>
      </c>
    </row>
    <row r="1477" spans="1:24" ht="15.75" customHeight="1">
      <c r="A1477" s="1">
        <v>1.8938315E7</v>
      </c>
      <c r="B1477" s="1" t="s">
        <v>6566</v>
      </c>
      <c r="C1477" s="1" t="s">
        <v>6567</v>
      </c>
      <c r="D1477" s="1" t="s">
        <v>6568</v>
      </c>
      <c r="E1477" s="1" t="s">
        <v>6569</v>
      </c>
      <c r="F1477" s="1" t="str">
        <f>"0773543090"</f>
        <v>0773543090</v>
      </c>
      <c r="G1477" s="1" t="str">
        <f>"9780773543096"</f>
        <v>9780773543096</v>
      </c>
      <c r="H1477" s="1">
        <v>0.0</v>
      </c>
      <c r="I1477" s="1">
        <v>4.33</v>
      </c>
      <c r="J1477" s="1" t="s">
        <v>6570</v>
      </c>
      <c r="K1477" s="1" t="s">
        <v>44</v>
      </c>
      <c r="L1477" s="1">
        <v>739.0</v>
      </c>
      <c r="M1477" s="1">
        <v>2014.0</v>
      </c>
      <c r="N1477" s="1">
        <v>1948.0</v>
      </c>
      <c r="P1477" s="2">
        <v>42485.0</v>
      </c>
      <c r="Q1477" s="1" t="s">
        <v>633</v>
      </c>
      <c r="R1477" s="1" t="s">
        <v>6571</v>
      </c>
      <c r="S1477" s="1" t="s">
        <v>32</v>
      </c>
      <c r="W1477" s="1">
        <v>0.0</v>
      </c>
      <c r="X1477" s="1">
        <v>0.0</v>
      </c>
    </row>
    <row r="1478" spans="1:24" ht="15.75" customHeight="1">
      <c r="A1478" s="1">
        <v>637045.0</v>
      </c>
      <c r="B1478" s="1" t="s">
        <v>6572</v>
      </c>
      <c r="C1478" s="1" t="s">
        <v>6573</v>
      </c>
      <c r="D1478" s="1" t="s">
        <v>6574</v>
      </c>
      <c r="F1478" s="1" t="str">
        <f>"0907871542"</f>
        <v>0907871542</v>
      </c>
      <c r="G1478" s="1" t="str">
        <f>"9780907871545"</f>
        <v>9780907871545</v>
      </c>
      <c r="H1478" s="1">
        <v>0.0</v>
      </c>
      <c r="I1478" s="1">
        <v>4.05</v>
      </c>
      <c r="J1478" s="1" t="s">
        <v>6575</v>
      </c>
      <c r="K1478" s="1" t="s">
        <v>44</v>
      </c>
      <c r="L1478" s="1">
        <v>340.0</v>
      </c>
      <c r="M1478" s="1">
        <v>2005.0</v>
      </c>
      <c r="N1478" s="1">
        <v>1968.0</v>
      </c>
      <c r="P1478" s="2">
        <v>44987.0</v>
      </c>
      <c r="Q1478" s="1" t="s">
        <v>32</v>
      </c>
      <c r="R1478" s="1" t="s">
        <v>6576</v>
      </c>
      <c r="S1478" s="1" t="s">
        <v>32</v>
      </c>
      <c r="W1478" s="1">
        <v>0.0</v>
      </c>
      <c r="X1478" s="1">
        <v>0.0</v>
      </c>
    </row>
    <row r="1479" spans="1:24" ht="15.75" customHeight="1">
      <c r="A1479" s="1">
        <v>4823315.0</v>
      </c>
      <c r="B1479" s="1" t="s">
        <v>6577</v>
      </c>
      <c r="C1479" s="1" t="s">
        <v>6578</v>
      </c>
      <c r="D1479" s="1" t="s">
        <v>6579</v>
      </c>
      <c r="F1479" s="1" t="str">
        <f>"0521433754"</f>
        <v>0521433754</v>
      </c>
      <c r="G1479" s="1" t="str">
        <f>"9780521433754"</f>
        <v>9780521433754</v>
      </c>
      <c r="H1479" s="1">
        <v>0.0</v>
      </c>
      <c r="I1479" s="1">
        <v>3.33</v>
      </c>
      <c r="J1479" s="1" t="s">
        <v>388</v>
      </c>
      <c r="K1479" s="1" t="s">
        <v>37</v>
      </c>
      <c r="L1479" s="1">
        <v>240.0</v>
      </c>
      <c r="M1479" s="1">
        <v>1993.0</v>
      </c>
      <c r="N1479" s="1">
        <v>1993.0</v>
      </c>
      <c r="P1479" s="3">
        <v>45271.0</v>
      </c>
      <c r="Q1479" s="1" t="s">
        <v>479</v>
      </c>
      <c r="R1479" s="1" t="s">
        <v>6580</v>
      </c>
      <c r="S1479" s="1" t="s">
        <v>32</v>
      </c>
      <c r="W1479" s="1">
        <v>0.0</v>
      </c>
      <c r="X1479" s="1">
        <v>0.0</v>
      </c>
    </row>
    <row r="1480" spans="1:24" ht="15.75" customHeight="1">
      <c r="A1480" s="1">
        <v>1.7934655E7</v>
      </c>
      <c r="B1480" s="1" t="s">
        <v>6581</v>
      </c>
      <c r="C1480" s="1" t="s">
        <v>6582</v>
      </c>
      <c r="D1480" s="1" t="s">
        <v>6583</v>
      </c>
      <c r="F1480" s="1" t="str">
        <f>"1555976719"</f>
        <v>1555976719</v>
      </c>
      <c r="G1480" s="1" t="str">
        <f>"9781555976712"</f>
        <v>9781555976712</v>
      </c>
      <c r="H1480" s="1">
        <v>0.0</v>
      </c>
      <c r="I1480" s="1">
        <v>3.67</v>
      </c>
      <c r="J1480" s="1" t="s">
        <v>337</v>
      </c>
      <c r="K1480" s="1" t="s">
        <v>44</v>
      </c>
      <c r="L1480" s="1">
        <v>230.0</v>
      </c>
      <c r="M1480" s="1">
        <v>2014.0</v>
      </c>
      <c r="N1480" s="1">
        <v>2014.0</v>
      </c>
      <c r="P1480" s="2">
        <v>45129.0</v>
      </c>
      <c r="Q1480" s="1" t="s">
        <v>711</v>
      </c>
      <c r="R1480" s="1" t="s">
        <v>6584</v>
      </c>
      <c r="S1480" s="1" t="s">
        <v>32</v>
      </c>
      <c r="W1480" s="1">
        <v>0.0</v>
      </c>
      <c r="X1480" s="1">
        <v>0.0</v>
      </c>
    </row>
    <row r="1481" spans="1:24" ht="15.75" customHeight="1">
      <c r="A1481" s="1">
        <v>449934.0</v>
      </c>
      <c r="B1481" s="1" t="s">
        <v>6585</v>
      </c>
      <c r="C1481" s="1" t="s">
        <v>6586</v>
      </c>
      <c r="D1481" s="1" t="s">
        <v>6587</v>
      </c>
      <c r="F1481" s="1" t="str">
        <f>"0385313527"</f>
        <v>0385313527</v>
      </c>
      <c r="G1481" s="1" t="str">
        <f>"9780385313520"</f>
        <v>9780385313520</v>
      </c>
      <c r="H1481" s="1">
        <v>0.0</v>
      </c>
      <c r="I1481" s="1">
        <v>3.92</v>
      </c>
      <c r="J1481" s="1" t="s">
        <v>6588</v>
      </c>
      <c r="K1481" s="1" t="s">
        <v>37</v>
      </c>
      <c r="L1481" s="1">
        <v>211.0</v>
      </c>
      <c r="M1481" s="1">
        <v>1995.0</v>
      </c>
      <c r="N1481" s="1">
        <v>1995.0</v>
      </c>
      <c r="P1481" s="2">
        <v>42811.0</v>
      </c>
      <c r="Q1481" s="1" t="s">
        <v>32</v>
      </c>
      <c r="R1481" s="1" t="s">
        <v>6589</v>
      </c>
      <c r="S1481" s="1" t="s">
        <v>32</v>
      </c>
      <c r="W1481" s="1">
        <v>0.0</v>
      </c>
      <c r="X1481" s="1">
        <v>0.0</v>
      </c>
    </row>
    <row r="1482" spans="1:24" ht="15.75" customHeight="1">
      <c r="A1482" s="1">
        <v>13233.0</v>
      </c>
      <c r="B1482" s="1" t="s">
        <v>6590</v>
      </c>
      <c r="C1482" s="1" t="s">
        <v>6591</v>
      </c>
      <c r="D1482" s="1" t="s">
        <v>6592</v>
      </c>
      <c r="F1482" s="1" t="str">
        <f>"0486204928"</f>
        <v>0486204928</v>
      </c>
      <c r="G1482" s="1" t="str">
        <f>"9780486204925"</f>
        <v>9780486204925</v>
      </c>
      <c r="H1482" s="1">
        <v>0.0</v>
      </c>
      <c r="I1482" s="1">
        <v>3.97</v>
      </c>
      <c r="J1482" s="1" t="s">
        <v>910</v>
      </c>
      <c r="K1482" s="1" t="s">
        <v>44</v>
      </c>
      <c r="L1482" s="1">
        <v>352.0</v>
      </c>
      <c r="M1482" s="1">
        <v>1958.0</v>
      </c>
      <c r="N1482" s="1">
        <v>1958.0</v>
      </c>
      <c r="P1482" s="2">
        <v>45143.0</v>
      </c>
      <c r="Q1482" s="1" t="s">
        <v>1207</v>
      </c>
      <c r="R1482" s="1" t="s">
        <v>6593</v>
      </c>
      <c r="S1482" s="1" t="s">
        <v>32</v>
      </c>
      <c r="W1482" s="1">
        <v>0.0</v>
      </c>
      <c r="X1482" s="1">
        <v>1.0</v>
      </c>
    </row>
    <row r="1483" spans="1:24" ht="15.75" customHeight="1">
      <c r="A1483" s="1">
        <v>2598322.0</v>
      </c>
      <c r="B1483" s="1" t="s">
        <v>6594</v>
      </c>
      <c r="C1483" s="1" t="s">
        <v>6595</v>
      </c>
      <c r="D1483" s="1" t="s">
        <v>6596</v>
      </c>
      <c r="F1483" s="1" t="str">
        <f>"1417978031"</f>
        <v>1417978031</v>
      </c>
      <c r="G1483" s="1" t="str">
        <f>"9781417978038"</f>
        <v>9781417978038</v>
      </c>
      <c r="H1483" s="1">
        <v>0.0</v>
      </c>
      <c r="I1483" s="1">
        <v>4.25</v>
      </c>
      <c r="J1483" s="1" t="s">
        <v>5480</v>
      </c>
      <c r="K1483" s="1" t="s">
        <v>44</v>
      </c>
      <c r="L1483" s="1">
        <v>136.0</v>
      </c>
      <c r="M1483" s="1">
        <v>2004.0</v>
      </c>
      <c r="N1483" s="1">
        <v>2004.0</v>
      </c>
      <c r="P1483" s="2">
        <v>44814.0</v>
      </c>
      <c r="Q1483" s="1" t="s">
        <v>32</v>
      </c>
      <c r="R1483" s="1" t="s">
        <v>6597</v>
      </c>
      <c r="S1483" s="1" t="s">
        <v>32</v>
      </c>
      <c r="W1483" s="1">
        <v>0.0</v>
      </c>
      <c r="X1483" s="1">
        <v>0.0</v>
      </c>
    </row>
    <row r="1484" spans="1:24" ht="15.75" customHeight="1">
      <c r="A1484" s="1">
        <v>116676.0</v>
      </c>
      <c r="B1484" s="1" t="s">
        <v>6598</v>
      </c>
      <c r="C1484" s="1" t="s">
        <v>6599</v>
      </c>
      <c r="D1484" s="1" t="s">
        <v>6600</v>
      </c>
      <c r="F1484" s="1" t="str">
        <f>"0226661016"</f>
        <v>0226661016</v>
      </c>
      <c r="G1484" s="1" t="str">
        <f>"9780226661018"</f>
        <v>9780226661018</v>
      </c>
      <c r="H1484" s="1">
        <v>0.0</v>
      </c>
      <c r="I1484" s="1">
        <v>3.33</v>
      </c>
      <c r="J1484" s="1" t="s">
        <v>78</v>
      </c>
      <c r="K1484" s="1" t="s">
        <v>44</v>
      </c>
      <c r="L1484" s="1">
        <v>484.0</v>
      </c>
      <c r="M1484" s="1">
        <v>1989.0</v>
      </c>
      <c r="N1484" s="1">
        <v>1984.0</v>
      </c>
      <c r="P1484" s="2">
        <v>45173.0</v>
      </c>
      <c r="Q1484" s="1" t="s">
        <v>138</v>
      </c>
      <c r="R1484" s="1" t="s">
        <v>6601</v>
      </c>
      <c r="S1484" s="1" t="s">
        <v>32</v>
      </c>
      <c r="W1484" s="1">
        <v>0.0</v>
      </c>
      <c r="X1484" s="1">
        <v>0.0</v>
      </c>
    </row>
    <row r="1485" spans="1:24" ht="15.75" customHeight="1">
      <c r="A1485" s="1">
        <v>846170.0</v>
      </c>
      <c r="B1485" s="1" t="s">
        <v>6602</v>
      </c>
      <c r="C1485" s="1" t="s">
        <v>6603</v>
      </c>
      <c r="D1485" s="1" t="s">
        <v>6604</v>
      </c>
      <c r="F1485" s="1" t="str">
        <f>"0684870584"</f>
        <v>0684870584</v>
      </c>
      <c r="G1485" s="1" t="str">
        <f>"9780684870588"</f>
        <v>9780684870588</v>
      </c>
      <c r="H1485" s="1">
        <v>0.0</v>
      </c>
      <c r="I1485" s="1">
        <v>3.71</v>
      </c>
      <c r="J1485" s="1" t="s">
        <v>535</v>
      </c>
      <c r="K1485" s="1" t="s">
        <v>37</v>
      </c>
      <c r="L1485" s="1">
        <v>208.0</v>
      </c>
      <c r="M1485" s="1">
        <v>2000.0</v>
      </c>
      <c r="N1485" s="1">
        <v>1999.0</v>
      </c>
      <c r="P1485" s="2">
        <v>45180.0</v>
      </c>
      <c r="Q1485" s="1" t="s">
        <v>1682</v>
      </c>
      <c r="R1485" s="1" t="s">
        <v>6605</v>
      </c>
      <c r="S1485" s="1" t="s">
        <v>32</v>
      </c>
      <c r="W1485" s="1">
        <v>0.0</v>
      </c>
      <c r="X1485" s="1">
        <v>0.0</v>
      </c>
    </row>
    <row r="1486" spans="1:24" ht="15.75" customHeight="1">
      <c r="A1486" s="1">
        <v>1343403.0</v>
      </c>
      <c r="B1486" s="1" t="s">
        <v>6606</v>
      </c>
      <c r="C1486" s="1" t="s">
        <v>6607</v>
      </c>
      <c r="D1486" s="1" t="s">
        <v>6608</v>
      </c>
      <c r="E1486" s="1" t="s">
        <v>6609</v>
      </c>
      <c r="F1486" s="1" t="str">
        <f>"1416531742"</f>
        <v>1416531742</v>
      </c>
      <c r="G1486" s="1" t="str">
        <f>"9781416531746"</f>
        <v>9781416531746</v>
      </c>
      <c r="H1486" s="1">
        <v>0.0</v>
      </c>
      <c r="I1486" s="1">
        <v>4.16</v>
      </c>
      <c r="J1486" s="1" t="s">
        <v>4853</v>
      </c>
      <c r="K1486" s="1" t="s">
        <v>44</v>
      </c>
      <c r="L1486" s="1">
        <v>552.0</v>
      </c>
      <c r="M1486" s="1">
        <v>2007.0</v>
      </c>
      <c r="N1486" s="1">
        <v>2007.0</v>
      </c>
      <c r="P1486" s="2">
        <v>45102.0</v>
      </c>
      <c r="Q1486" s="1" t="s">
        <v>338</v>
      </c>
      <c r="R1486" s="1" t="s">
        <v>6610</v>
      </c>
      <c r="S1486" s="1" t="s">
        <v>32</v>
      </c>
      <c r="W1486" s="1">
        <v>0.0</v>
      </c>
      <c r="X1486" s="1">
        <v>0.0</v>
      </c>
    </row>
    <row r="1487" spans="1:24" ht="15.75" customHeight="1">
      <c r="A1487" s="1">
        <v>1.3544002E7</v>
      </c>
      <c r="B1487" s="1" t="s">
        <v>6611</v>
      </c>
      <c r="C1487" s="1" t="s">
        <v>6612</v>
      </c>
      <c r="D1487" s="1" t="s">
        <v>6613</v>
      </c>
      <c r="E1487" s="1" t="s">
        <v>2058</v>
      </c>
      <c r="F1487" s="1" t="str">
        <f>"0983477574"</f>
        <v>0983477574</v>
      </c>
      <c r="G1487" s="1" t="str">
        <f>"9780983477570"</f>
        <v>9780983477570</v>
      </c>
      <c r="H1487" s="1">
        <v>0.0</v>
      </c>
      <c r="I1487" s="1">
        <v>3.61</v>
      </c>
      <c r="J1487" s="1" t="s">
        <v>6614</v>
      </c>
      <c r="K1487" s="1" t="s">
        <v>44</v>
      </c>
      <c r="L1487" s="1">
        <v>240.0</v>
      </c>
      <c r="M1487" s="1">
        <v>2012.0</v>
      </c>
      <c r="N1487" s="1">
        <v>2012.0</v>
      </c>
      <c r="P1487" s="2">
        <v>41704.0</v>
      </c>
      <c r="Q1487" s="1" t="s">
        <v>502</v>
      </c>
      <c r="R1487" s="1" t="s">
        <v>6615</v>
      </c>
      <c r="S1487" s="1" t="s">
        <v>32</v>
      </c>
      <c r="W1487" s="1">
        <v>0.0</v>
      </c>
      <c r="X1487" s="1">
        <v>0.0</v>
      </c>
    </row>
    <row r="1488" spans="1:24" ht="15.75" customHeight="1">
      <c r="A1488" s="1">
        <v>77691.0</v>
      </c>
      <c r="B1488" s="1" t="s">
        <v>6616</v>
      </c>
      <c r="C1488" s="1" t="s">
        <v>6617</v>
      </c>
      <c r="D1488" s="1" t="s">
        <v>6618</v>
      </c>
      <c r="F1488" s="1" t="str">
        <f>"0060934867"</f>
        <v>0060934867</v>
      </c>
      <c r="G1488" s="1" t="str">
        <f>"9780060934866"</f>
        <v>9780060934866</v>
      </c>
      <c r="H1488" s="1">
        <v>0.0</v>
      </c>
      <c r="I1488" s="1">
        <v>3.05</v>
      </c>
      <c r="J1488" s="1" t="s">
        <v>1320</v>
      </c>
      <c r="K1488" s="1" t="s">
        <v>44</v>
      </c>
      <c r="L1488" s="1">
        <v>248.0</v>
      </c>
      <c r="M1488" s="1">
        <v>2005.0</v>
      </c>
      <c r="N1488" s="1">
        <v>2004.0</v>
      </c>
      <c r="P1488" s="2">
        <v>45152.0</v>
      </c>
      <c r="Q1488" s="1" t="s">
        <v>594</v>
      </c>
      <c r="R1488" s="1" t="s">
        <v>6619</v>
      </c>
      <c r="S1488" s="1" t="s">
        <v>271</v>
      </c>
      <c r="W1488" s="1">
        <v>1.0</v>
      </c>
      <c r="X1488" s="1">
        <v>1.0</v>
      </c>
    </row>
    <row r="1489" spans="1:24" ht="15.75" customHeight="1">
      <c r="A1489" s="1">
        <v>529410.0</v>
      </c>
      <c r="B1489" s="1" t="s">
        <v>6620</v>
      </c>
      <c r="C1489" s="1" t="s">
        <v>6621</v>
      </c>
      <c r="D1489" s="1" t="s">
        <v>6622</v>
      </c>
      <c r="E1489" s="1" t="s">
        <v>6623</v>
      </c>
      <c r="F1489" s="1" t="str">
        <f>"1856265641"</f>
        <v>1856265641</v>
      </c>
      <c r="G1489" s="1" t="str">
        <f>"9781856265645"</f>
        <v>9781856265645</v>
      </c>
      <c r="H1489" s="1">
        <v>0.0</v>
      </c>
      <c r="I1489" s="1">
        <v>3.82</v>
      </c>
      <c r="J1489" s="1" t="s">
        <v>6624</v>
      </c>
      <c r="K1489" s="1" t="s">
        <v>44</v>
      </c>
      <c r="L1489" s="1">
        <v>277.0</v>
      </c>
      <c r="M1489" s="1">
        <v>2004.0</v>
      </c>
      <c r="N1489" s="1">
        <v>1995.0</v>
      </c>
      <c r="P1489" s="2">
        <v>44444.0</v>
      </c>
      <c r="Q1489" s="1" t="s">
        <v>32</v>
      </c>
      <c r="R1489" s="1" t="s">
        <v>6625</v>
      </c>
      <c r="S1489" s="1" t="s">
        <v>32</v>
      </c>
      <c r="W1489" s="1">
        <v>0.0</v>
      </c>
      <c r="X1489" s="1">
        <v>0.0</v>
      </c>
    </row>
    <row r="1490" spans="1:24" ht="15.75" customHeight="1">
      <c r="A1490" s="1">
        <v>2.3048744E7</v>
      </c>
      <c r="B1490" s="1" t="s">
        <v>6626</v>
      </c>
      <c r="C1490" s="1" t="s">
        <v>6627</v>
      </c>
      <c r="D1490" s="1" t="s">
        <v>6628</v>
      </c>
      <c r="F1490" s="1" t="str">
        <f>"0745685447"</f>
        <v>0745685447</v>
      </c>
      <c r="G1490" s="1" t="str">
        <f>"9780745685441"</f>
        <v>9780745685441</v>
      </c>
      <c r="H1490" s="1">
        <v>0.0</v>
      </c>
      <c r="I1490" s="1">
        <v>3.99</v>
      </c>
      <c r="J1490" s="1" t="s">
        <v>4287</v>
      </c>
      <c r="K1490" s="1" t="s">
        <v>37</v>
      </c>
      <c r="L1490" s="1">
        <v>200.0</v>
      </c>
      <c r="M1490" s="1">
        <v>2015.0</v>
      </c>
      <c r="N1490" s="1">
        <v>2014.0</v>
      </c>
      <c r="P1490" s="2">
        <v>45143.0</v>
      </c>
      <c r="Q1490" s="1" t="s">
        <v>1207</v>
      </c>
      <c r="R1490" s="1" t="s">
        <v>6629</v>
      </c>
      <c r="S1490" s="1" t="s">
        <v>32</v>
      </c>
      <c r="W1490" s="1">
        <v>1.0</v>
      </c>
      <c r="X1490" s="1">
        <v>1.0</v>
      </c>
    </row>
    <row r="1491" spans="1:24" ht="15.75" customHeight="1">
      <c r="A1491" s="1">
        <v>1046012.0</v>
      </c>
      <c r="B1491" s="1" t="s">
        <v>6630</v>
      </c>
      <c r="C1491" s="1" t="s">
        <v>6631</v>
      </c>
      <c r="D1491" s="1" t="s">
        <v>6632</v>
      </c>
      <c r="F1491" s="1" t="str">
        <f>"0670847674"</f>
        <v>0670847674</v>
      </c>
      <c r="G1491" s="1" t="str">
        <f>"9780670847679"</f>
        <v>9780670847679</v>
      </c>
      <c r="H1491" s="1">
        <v>0.0</v>
      </c>
      <c r="I1491" s="1">
        <v>3.91</v>
      </c>
      <c r="J1491" s="1" t="s">
        <v>1137</v>
      </c>
      <c r="K1491" s="1" t="s">
        <v>37</v>
      </c>
      <c r="M1491" s="1">
        <v>1995.0</v>
      </c>
      <c r="P1491" s="3">
        <v>45278.0</v>
      </c>
      <c r="Q1491" s="1" t="s">
        <v>479</v>
      </c>
      <c r="R1491" s="1" t="s">
        <v>6633</v>
      </c>
      <c r="S1491" s="1" t="s">
        <v>32</v>
      </c>
      <c r="W1491" s="1">
        <v>0.0</v>
      </c>
      <c r="X1491" s="1">
        <v>0.0</v>
      </c>
    </row>
    <row r="1492" spans="1:24" ht="15.75" customHeight="1">
      <c r="A1492" s="1">
        <v>5.0998099E7</v>
      </c>
      <c r="B1492" s="1" t="s">
        <v>6634</v>
      </c>
      <c r="C1492" s="1" t="s">
        <v>6635</v>
      </c>
      <c r="D1492" s="1" t="s">
        <v>6636</v>
      </c>
      <c r="F1492" s="1" t="str">
        <f>"0316449822"</f>
        <v>0316449822</v>
      </c>
      <c r="G1492" s="1" t="str">
        <f>"9780316449823"</f>
        <v>9780316449823</v>
      </c>
      <c r="H1492" s="1">
        <v>0.0</v>
      </c>
      <c r="I1492" s="1">
        <v>3.91</v>
      </c>
      <c r="J1492" s="1" t="s">
        <v>998</v>
      </c>
      <c r="K1492" s="1" t="s">
        <v>37</v>
      </c>
      <c r="L1492" s="1">
        <v>243.0</v>
      </c>
      <c r="M1492" s="1">
        <v>2020.0</v>
      </c>
      <c r="N1492" s="1">
        <v>2020.0</v>
      </c>
      <c r="P1492" s="3">
        <v>44152.0</v>
      </c>
      <c r="Q1492" s="1" t="s">
        <v>32</v>
      </c>
      <c r="R1492" s="1" t="s">
        <v>6637</v>
      </c>
      <c r="S1492" s="1" t="s">
        <v>32</v>
      </c>
      <c r="W1492" s="1">
        <v>0.0</v>
      </c>
      <c r="X1492" s="1">
        <v>0.0</v>
      </c>
    </row>
    <row r="1493" spans="1:24" ht="15.75" customHeight="1">
      <c r="A1493" s="1">
        <v>1.315551E7</v>
      </c>
      <c r="B1493" s="1" t="s">
        <v>6638</v>
      </c>
      <c r="C1493" s="1" t="s">
        <v>6635</v>
      </c>
      <c r="D1493" s="1" t="s">
        <v>6636</v>
      </c>
      <c r="E1493" s="1" t="s">
        <v>6639</v>
      </c>
      <c r="F1493" s="1" t="str">
        <f>"1570617783"</f>
        <v>1570617783</v>
      </c>
      <c r="G1493" s="1" t="str">
        <f>"9781570617782"</f>
        <v>9781570617782</v>
      </c>
      <c r="H1493" s="1">
        <v>4.0</v>
      </c>
      <c r="I1493" s="1">
        <v>3.36</v>
      </c>
      <c r="J1493" s="1" t="s">
        <v>6640</v>
      </c>
      <c r="K1493" s="1" t="s">
        <v>44</v>
      </c>
      <c r="L1493" s="1">
        <v>272.0</v>
      </c>
      <c r="M1493" s="1">
        <v>2012.0</v>
      </c>
      <c r="N1493" s="1">
        <v>2012.0</v>
      </c>
      <c r="P1493" s="2">
        <v>41280.0</v>
      </c>
      <c r="S1493" s="1" t="s">
        <v>271</v>
      </c>
      <c r="W1493" s="1">
        <v>1.0</v>
      </c>
      <c r="X1493" s="1">
        <v>0.0</v>
      </c>
    </row>
    <row r="1494" spans="1:24" ht="15.75" customHeight="1">
      <c r="A1494" s="1">
        <v>3.6348525E7</v>
      </c>
      <c r="B1494" s="1" t="s">
        <v>6641</v>
      </c>
      <c r="C1494" s="1" t="s">
        <v>6642</v>
      </c>
      <c r="D1494" s="1" t="s">
        <v>6643</v>
      </c>
      <c r="F1494" s="1" t="str">
        <f>"0374261598"</f>
        <v>0374261598</v>
      </c>
      <c r="G1494" s="1" t="str">
        <f>"9780374261597"</f>
        <v>9780374261597</v>
      </c>
      <c r="H1494" s="1">
        <v>0.0</v>
      </c>
      <c r="I1494" s="1">
        <v>3.92</v>
      </c>
      <c r="J1494" s="1" t="s">
        <v>438</v>
      </c>
      <c r="K1494" s="1" t="s">
        <v>37</v>
      </c>
      <c r="L1494" s="1">
        <v>291.0</v>
      </c>
      <c r="M1494" s="1">
        <v>2018.0</v>
      </c>
      <c r="N1494" s="1">
        <v>2018.0</v>
      </c>
      <c r="P1494" s="2">
        <v>43926.0</v>
      </c>
      <c r="Q1494" s="1" t="s">
        <v>32</v>
      </c>
      <c r="R1494" s="1" t="s">
        <v>6644</v>
      </c>
      <c r="S1494" s="1" t="s">
        <v>32</v>
      </c>
      <c r="W1494" s="1">
        <v>0.0</v>
      </c>
      <c r="X1494" s="1">
        <v>0.0</v>
      </c>
    </row>
    <row r="1495" spans="1:24" ht="15.75" customHeight="1">
      <c r="A1495" s="1">
        <v>543760.0</v>
      </c>
      <c r="B1495" s="1" t="s">
        <v>6645</v>
      </c>
      <c r="C1495" s="1" t="s">
        <v>6646</v>
      </c>
      <c r="D1495" s="1" t="s">
        <v>6647</v>
      </c>
      <c r="F1495" s="1" t="str">
        <f>"0786708808"</f>
        <v>0786708808</v>
      </c>
      <c r="G1495" s="1" t="str">
        <f>"9780786708802"</f>
        <v>9780786708802</v>
      </c>
      <c r="H1495" s="1">
        <v>0.0</v>
      </c>
      <c r="I1495" s="1">
        <v>4.42</v>
      </c>
      <c r="J1495" s="1" t="s">
        <v>6648</v>
      </c>
      <c r="K1495" s="1" t="s">
        <v>44</v>
      </c>
      <c r="L1495" s="1">
        <v>416.0</v>
      </c>
      <c r="M1495" s="1">
        <v>2001.0</v>
      </c>
      <c r="N1495" s="1">
        <v>1933.0</v>
      </c>
      <c r="P1495" s="3">
        <v>44915.0</v>
      </c>
      <c r="Q1495" s="1" t="s">
        <v>32</v>
      </c>
      <c r="R1495" s="1" t="s">
        <v>6649</v>
      </c>
      <c r="S1495" s="1" t="s">
        <v>32</v>
      </c>
      <c r="W1495" s="1">
        <v>0.0</v>
      </c>
      <c r="X1495" s="1">
        <v>0.0</v>
      </c>
    </row>
    <row r="1496" spans="1:24" ht="15.75" customHeight="1">
      <c r="A1496" s="1">
        <v>80660.0</v>
      </c>
      <c r="B1496" s="1" t="s">
        <v>6650</v>
      </c>
      <c r="C1496" s="1" t="s">
        <v>6651</v>
      </c>
      <c r="D1496" s="1" t="s">
        <v>6652</v>
      </c>
      <c r="F1496" s="1" t="str">
        <f>"006112429X"</f>
        <v>006112429X</v>
      </c>
      <c r="G1496" s="1" t="str">
        <f>"9780061124297"</f>
        <v>9780061124297</v>
      </c>
      <c r="H1496" s="1">
        <v>0.0</v>
      </c>
      <c r="I1496" s="1">
        <v>4.08</v>
      </c>
      <c r="J1496" s="1" t="s">
        <v>917</v>
      </c>
      <c r="K1496" s="1" t="s">
        <v>44</v>
      </c>
      <c r="L1496" s="1">
        <v>400.0</v>
      </c>
      <c r="M1496" s="1">
        <v>2006.0</v>
      </c>
      <c r="N1496" s="1">
        <v>2003.0</v>
      </c>
      <c r="P1496" s="2">
        <v>41341.0</v>
      </c>
      <c r="Q1496" s="1" t="s">
        <v>32</v>
      </c>
      <c r="R1496" s="1" t="s">
        <v>6653</v>
      </c>
      <c r="S1496" s="1" t="s">
        <v>32</v>
      </c>
      <c r="W1496" s="1">
        <v>0.0</v>
      </c>
      <c r="X1496" s="1">
        <v>0.0</v>
      </c>
    </row>
    <row r="1497" spans="1:24" ht="15.75" customHeight="1">
      <c r="A1497" s="1">
        <v>3052077.0</v>
      </c>
      <c r="B1497" s="1" t="s">
        <v>6654</v>
      </c>
      <c r="C1497" s="1" t="s">
        <v>6655</v>
      </c>
      <c r="D1497" s="1" t="s">
        <v>6656</v>
      </c>
      <c r="F1497" s="1" t="str">
        <f>"0521682991"</f>
        <v>0521682991</v>
      </c>
      <c r="G1497" s="1" t="str">
        <f>"9780521682992"</f>
        <v>9780521682992</v>
      </c>
      <c r="H1497" s="1">
        <v>0.0</v>
      </c>
      <c r="I1497" s="1">
        <v>3.74</v>
      </c>
      <c r="J1497" s="1" t="s">
        <v>388</v>
      </c>
      <c r="K1497" s="1" t="s">
        <v>44</v>
      </c>
      <c r="L1497" s="1">
        <v>152.0</v>
      </c>
      <c r="M1497" s="1">
        <v>2008.0</v>
      </c>
      <c r="N1497" s="1">
        <v>2008.0</v>
      </c>
      <c r="P1497" s="3">
        <v>43094.0</v>
      </c>
      <c r="Q1497" s="1" t="s">
        <v>2420</v>
      </c>
      <c r="R1497" s="1" t="s">
        <v>6657</v>
      </c>
      <c r="S1497" s="1" t="s">
        <v>32</v>
      </c>
      <c r="W1497" s="1">
        <v>0.0</v>
      </c>
      <c r="X1497" s="1">
        <v>0.0</v>
      </c>
    </row>
    <row r="1498" spans="1:24" ht="15.75" customHeight="1">
      <c r="A1498" s="1">
        <v>4.5893893E7</v>
      </c>
      <c r="B1498" s="1" t="s">
        <v>6658</v>
      </c>
      <c r="C1498" s="1" t="s">
        <v>6659</v>
      </c>
      <c r="D1498" s="1" t="s">
        <v>6660</v>
      </c>
      <c r="F1498" s="1" t="str">
        <f>"0892555068"</f>
        <v>0892555068</v>
      </c>
      <c r="G1498" s="1" t="str">
        <f>"9780892555062"</f>
        <v>9780892555062</v>
      </c>
      <c r="H1498" s="1">
        <v>0.0</v>
      </c>
      <c r="I1498" s="1">
        <v>4.5</v>
      </c>
      <c r="J1498" s="1" t="s">
        <v>6661</v>
      </c>
      <c r="K1498" s="1" t="s">
        <v>44</v>
      </c>
      <c r="L1498" s="1">
        <v>256.0</v>
      </c>
      <c r="M1498" s="1">
        <v>2020.0</v>
      </c>
      <c r="N1498" s="1">
        <v>2020.0</v>
      </c>
      <c r="P1498" s="2">
        <v>43992.0</v>
      </c>
      <c r="Q1498" s="1" t="s">
        <v>421</v>
      </c>
      <c r="R1498" s="1" t="s">
        <v>6662</v>
      </c>
      <c r="S1498" s="1" t="s">
        <v>32</v>
      </c>
      <c r="W1498" s="1">
        <v>0.0</v>
      </c>
      <c r="X1498" s="1">
        <v>0.0</v>
      </c>
    </row>
    <row r="1499" spans="1:24" ht="15.75" customHeight="1">
      <c r="A1499" s="1">
        <v>1.25537549E8</v>
      </c>
      <c r="B1499" s="1" t="s">
        <v>6663</v>
      </c>
      <c r="C1499" s="1" t="s">
        <v>6664</v>
      </c>
      <c r="D1499" s="1" t="s">
        <v>6665</v>
      </c>
      <c r="E1499" s="1" t="s">
        <v>6666</v>
      </c>
      <c r="F1499" s="1" t="str">
        <f t="shared" si="110" ref="F1499:G1499">""</f>
        <v/>
      </c>
      <c r="G1499" s="1" t="str">
        <f t="shared" si="110"/>
        <v/>
      </c>
      <c r="H1499" s="1">
        <v>0.0</v>
      </c>
      <c r="I1499" s="1">
        <v>4.05</v>
      </c>
      <c r="J1499" s="1" t="s">
        <v>204</v>
      </c>
      <c r="K1499" s="1" t="s">
        <v>44</v>
      </c>
      <c r="L1499" s="1">
        <v>144.0</v>
      </c>
      <c r="M1499" s="1">
        <v>2023.0</v>
      </c>
      <c r="N1499" s="1">
        <v>2004.0</v>
      </c>
      <c r="P1499" s="2">
        <v>45187.0</v>
      </c>
      <c r="Q1499" s="1" t="s">
        <v>633</v>
      </c>
      <c r="R1499" s="1" t="s">
        <v>6667</v>
      </c>
      <c r="S1499" s="1" t="s">
        <v>32</v>
      </c>
      <c r="W1499" s="1">
        <v>0.0</v>
      </c>
      <c r="X1499" s="1">
        <v>0.0</v>
      </c>
    </row>
    <row r="1500" spans="1:24" ht="15.75" customHeight="1">
      <c r="A1500" s="1">
        <v>605707.0</v>
      </c>
      <c r="B1500" s="1" t="s">
        <v>6668</v>
      </c>
      <c r="C1500" s="1" t="s">
        <v>6669</v>
      </c>
      <c r="D1500" s="1" t="s">
        <v>6670</v>
      </c>
      <c r="F1500" s="1" t="str">
        <f>"0813115353"</f>
        <v>0813115353</v>
      </c>
      <c r="G1500" s="1" t="str">
        <f>"9780813115351"</f>
        <v>9780813115351</v>
      </c>
      <c r="H1500" s="1">
        <v>0.0</v>
      </c>
      <c r="I1500" s="1">
        <v>4.0</v>
      </c>
      <c r="J1500" s="1" t="s">
        <v>6671</v>
      </c>
      <c r="K1500" s="1" t="s">
        <v>37</v>
      </c>
      <c r="L1500" s="1">
        <v>317.0</v>
      </c>
      <c r="M1500" s="1">
        <v>1985.0</v>
      </c>
      <c r="N1500" s="1">
        <v>1985.0</v>
      </c>
      <c r="P1500" s="2">
        <v>45300.0</v>
      </c>
      <c r="Q1500" s="1" t="s">
        <v>30</v>
      </c>
      <c r="R1500" s="1" t="s">
        <v>6672</v>
      </c>
      <c r="S1500" s="1" t="s">
        <v>32</v>
      </c>
      <c r="W1500" s="1">
        <v>0.0</v>
      </c>
      <c r="X1500" s="1">
        <v>0.0</v>
      </c>
    </row>
    <row r="1501" spans="1:24" ht="15.75" customHeight="1">
      <c r="A1501" s="1">
        <v>3.6526771E7</v>
      </c>
      <c r="B1501" s="1" t="s">
        <v>6673</v>
      </c>
      <c r="C1501" s="1" t="s">
        <v>6674</v>
      </c>
      <c r="D1501" s="1" t="s">
        <v>6675</v>
      </c>
      <c r="E1501" s="1" t="s">
        <v>6676</v>
      </c>
      <c r="F1501" s="1" t="str">
        <f>"8416291578"</f>
        <v>8416291578</v>
      </c>
      <c r="G1501" s="1" t="str">
        <f>"9788416291571"</f>
        <v>9788416291571</v>
      </c>
      <c r="H1501" s="1">
        <v>0.0</v>
      </c>
      <c r="I1501" s="1">
        <v>3.71</v>
      </c>
      <c r="J1501" s="1" t="s">
        <v>2639</v>
      </c>
      <c r="K1501" s="1" t="s">
        <v>44</v>
      </c>
      <c r="L1501" s="1">
        <v>288.0</v>
      </c>
      <c r="M1501" s="1">
        <v>2017.0</v>
      </c>
      <c r="N1501" s="1">
        <v>1963.0</v>
      </c>
      <c r="P1501" s="2">
        <v>44097.0</v>
      </c>
      <c r="Q1501" s="1" t="s">
        <v>32</v>
      </c>
      <c r="R1501" s="1" t="s">
        <v>6677</v>
      </c>
      <c r="S1501" s="1" t="s">
        <v>32</v>
      </c>
      <c r="W1501" s="1">
        <v>0.0</v>
      </c>
      <c r="X1501" s="1">
        <v>0.0</v>
      </c>
    </row>
    <row r="1502" spans="1:24" ht="15.75" customHeight="1">
      <c r="A1502" s="1">
        <v>2.4934647E7</v>
      </c>
      <c r="B1502" s="1" t="s">
        <v>6678</v>
      </c>
      <c r="C1502" s="1" t="s">
        <v>6679</v>
      </c>
      <c r="D1502" s="1" t="s">
        <v>6680</v>
      </c>
      <c r="F1502" s="1" t="str">
        <f>"8423349322"</f>
        <v>8423349322</v>
      </c>
      <c r="G1502" s="1" t="str">
        <f>"9788423349326"</f>
        <v>9788423349326</v>
      </c>
      <c r="H1502" s="1">
        <v>0.0</v>
      </c>
      <c r="I1502" s="1">
        <v>3.39</v>
      </c>
      <c r="J1502" s="1" t="s">
        <v>6681</v>
      </c>
      <c r="K1502" s="1" t="s">
        <v>44</v>
      </c>
      <c r="L1502" s="1">
        <v>268.0</v>
      </c>
      <c r="M1502" s="1">
        <v>2015.0</v>
      </c>
      <c r="N1502" s="1">
        <v>2015.0</v>
      </c>
      <c r="P1502" s="2">
        <v>44235.0</v>
      </c>
      <c r="Q1502" s="1" t="s">
        <v>32</v>
      </c>
      <c r="R1502" s="1" t="s">
        <v>6682</v>
      </c>
      <c r="S1502" s="1" t="s">
        <v>32</v>
      </c>
      <c r="W1502" s="1">
        <v>0.0</v>
      </c>
      <c r="X1502" s="1">
        <v>0.0</v>
      </c>
    </row>
    <row r="1503" spans="1:24" ht="15.75" customHeight="1">
      <c r="A1503" s="1">
        <v>926643.0</v>
      </c>
      <c r="B1503" s="1" t="s">
        <v>6683</v>
      </c>
      <c r="C1503" s="1" t="s">
        <v>6684</v>
      </c>
      <c r="D1503" s="1" t="s">
        <v>6685</v>
      </c>
      <c r="E1503" s="1" t="s">
        <v>6686</v>
      </c>
      <c r="F1503" s="1" t="str">
        <f>"0805031359"</f>
        <v>0805031359</v>
      </c>
      <c r="G1503" s="1" t="str">
        <f>"9780805031355"</f>
        <v>9780805031355</v>
      </c>
      <c r="H1503" s="1">
        <v>0.0</v>
      </c>
      <c r="I1503" s="1">
        <v>3.84</v>
      </c>
      <c r="J1503" s="1" t="s">
        <v>6687</v>
      </c>
      <c r="K1503" s="1" t="s">
        <v>37</v>
      </c>
      <c r="L1503" s="1">
        <v>124.0</v>
      </c>
      <c r="M1503" s="1">
        <v>1994.0</v>
      </c>
      <c r="N1503" s="1">
        <v>1994.0</v>
      </c>
      <c r="P1503" s="2">
        <v>45129.0</v>
      </c>
      <c r="Q1503" s="1" t="s">
        <v>449</v>
      </c>
      <c r="R1503" s="1" t="s">
        <v>6688</v>
      </c>
      <c r="S1503" s="1" t="s">
        <v>32</v>
      </c>
      <c r="W1503" s="1">
        <v>0.0</v>
      </c>
      <c r="X1503" s="1">
        <v>1.0</v>
      </c>
    </row>
    <row r="1504" spans="1:24" ht="15.75" customHeight="1">
      <c r="A1504" s="1">
        <v>1148851.0</v>
      </c>
      <c r="B1504" s="1" t="s">
        <v>6689</v>
      </c>
      <c r="C1504" s="1" t="s">
        <v>6690</v>
      </c>
      <c r="D1504" s="1" t="s">
        <v>6691</v>
      </c>
      <c r="F1504" s="1" t="str">
        <f>"0674541375"</f>
        <v>0674541375</v>
      </c>
      <c r="G1504" s="1" t="str">
        <f>"9780674541375"</f>
        <v>9780674541375</v>
      </c>
      <c r="H1504" s="1">
        <v>0.0</v>
      </c>
      <c r="I1504" s="1">
        <v>4.42</v>
      </c>
      <c r="J1504" s="1" t="s">
        <v>2273</v>
      </c>
      <c r="K1504" s="1" t="s">
        <v>44</v>
      </c>
      <c r="L1504" s="1">
        <v>595.0</v>
      </c>
      <c r="M1504" s="1">
        <v>1994.0</v>
      </c>
      <c r="N1504" s="1">
        <v>1992.0</v>
      </c>
      <c r="P1504" s="2">
        <v>45185.0</v>
      </c>
      <c r="Q1504" s="1" t="s">
        <v>1064</v>
      </c>
      <c r="R1504" s="1" t="s">
        <v>6692</v>
      </c>
      <c r="S1504" s="1" t="s">
        <v>32</v>
      </c>
      <c r="W1504" s="1">
        <v>0.0</v>
      </c>
      <c r="X1504" s="1">
        <v>0.0</v>
      </c>
    </row>
    <row r="1505" spans="1:24" ht="15.75" customHeight="1">
      <c r="A1505" s="1">
        <v>999506.0</v>
      </c>
      <c r="B1505" s="1" t="s">
        <v>6693</v>
      </c>
      <c r="C1505" s="1" t="s">
        <v>6694</v>
      </c>
      <c r="D1505" s="1" t="s">
        <v>6695</v>
      </c>
      <c r="F1505" s="1" t="str">
        <f>"0674022335"</f>
        <v>0674022335</v>
      </c>
      <c r="G1505" s="1" t="str">
        <f>"9780674022331"</f>
        <v>9780674022331</v>
      </c>
      <c r="H1505" s="1">
        <v>0.0</v>
      </c>
      <c r="I1505" s="1">
        <v>4.18</v>
      </c>
      <c r="J1505" s="1" t="s">
        <v>985</v>
      </c>
      <c r="K1505" s="1" t="s">
        <v>44</v>
      </c>
      <c r="L1505" s="1">
        <v>648.0</v>
      </c>
      <c r="M1505" s="1">
        <v>2006.0</v>
      </c>
      <c r="N1505" s="1">
        <v>2003.0</v>
      </c>
      <c r="P1505" s="2">
        <v>42603.0</v>
      </c>
      <c r="Q1505" s="1" t="s">
        <v>1110</v>
      </c>
      <c r="R1505" s="1" t="s">
        <v>6696</v>
      </c>
      <c r="S1505" s="1" t="s">
        <v>32</v>
      </c>
      <c r="W1505" s="1">
        <v>0.0</v>
      </c>
      <c r="X1505" s="1">
        <v>0.0</v>
      </c>
    </row>
    <row r="1506" spans="1:24" ht="15.75" customHeight="1">
      <c r="A1506" s="1">
        <v>403120.0</v>
      </c>
      <c r="B1506" s="1" t="s">
        <v>6697</v>
      </c>
      <c r="C1506" s="1" t="s">
        <v>6698</v>
      </c>
      <c r="D1506" s="1" t="s">
        <v>6699</v>
      </c>
      <c r="F1506" s="1" t="str">
        <f>"0898706041"</f>
        <v>0898706041</v>
      </c>
      <c r="G1506" s="1" t="str">
        <f>"9780898706048"</f>
        <v>9780898706048</v>
      </c>
      <c r="H1506" s="1">
        <v>0.0</v>
      </c>
      <c r="I1506" s="1">
        <v>4.38</v>
      </c>
      <c r="J1506" s="1" t="s">
        <v>6700</v>
      </c>
      <c r="K1506" s="1" t="s">
        <v>44</v>
      </c>
      <c r="L1506" s="1">
        <v>401.0</v>
      </c>
      <c r="M1506" s="1">
        <v>1998.0</v>
      </c>
      <c r="N1506" s="1">
        <v>1955.0</v>
      </c>
      <c r="P1506" s="2">
        <v>44200.0</v>
      </c>
      <c r="Q1506" s="1" t="s">
        <v>32</v>
      </c>
      <c r="R1506" s="1" t="s">
        <v>6701</v>
      </c>
      <c r="S1506" s="1" t="s">
        <v>32</v>
      </c>
      <c r="W1506" s="1">
        <v>0.0</v>
      </c>
      <c r="X1506" s="1">
        <v>0.0</v>
      </c>
    </row>
    <row r="1507" spans="1:24" ht="15.75" customHeight="1">
      <c r="A1507" s="1">
        <v>12395.0</v>
      </c>
      <c r="B1507" s="1" t="s">
        <v>6702</v>
      </c>
      <c r="C1507" s="1" t="s">
        <v>6703</v>
      </c>
      <c r="D1507" s="1" t="s">
        <v>6704</v>
      </c>
      <c r="E1507" s="1" t="s">
        <v>6705</v>
      </c>
      <c r="F1507" s="1" t="str">
        <f>"0811216543"</f>
        <v>0811216543</v>
      </c>
      <c r="G1507" s="1" t="str">
        <f>"9780811216548"</f>
        <v>9780811216548</v>
      </c>
      <c r="H1507" s="1">
        <v>0.0</v>
      </c>
      <c r="I1507" s="1">
        <v>4.2</v>
      </c>
      <c r="J1507" s="1" t="s">
        <v>419</v>
      </c>
      <c r="K1507" s="1" t="s">
        <v>44</v>
      </c>
      <c r="L1507" s="1">
        <v>453.0</v>
      </c>
      <c r="M1507" s="1">
        <v>2006.0</v>
      </c>
      <c r="N1507" s="1">
        <v>1932.0</v>
      </c>
      <c r="P1507" s="2">
        <v>41306.0</v>
      </c>
      <c r="Q1507" s="1" t="s">
        <v>502</v>
      </c>
      <c r="R1507" s="1" t="s">
        <v>6706</v>
      </c>
      <c r="S1507" s="1" t="s">
        <v>32</v>
      </c>
      <c r="W1507" s="1">
        <v>0.0</v>
      </c>
      <c r="X1507" s="1">
        <v>0.0</v>
      </c>
    </row>
    <row r="1508" spans="1:24" ht="15.75" customHeight="1">
      <c r="A1508" s="1">
        <v>247709.0</v>
      </c>
      <c r="B1508" s="1" t="s">
        <v>6707</v>
      </c>
      <c r="C1508" s="1" t="s">
        <v>6708</v>
      </c>
      <c r="D1508" s="1" t="s">
        <v>6709</v>
      </c>
      <c r="E1508" s="1" t="s">
        <v>6710</v>
      </c>
      <c r="F1508" s="1" t="str">
        <f>"1558613951"</f>
        <v>1558613951</v>
      </c>
      <c r="G1508" s="1" t="str">
        <f>"9781558613959"</f>
        <v>9781558613959</v>
      </c>
      <c r="H1508" s="1">
        <v>0.0</v>
      </c>
      <c r="I1508" s="1">
        <v>3.92</v>
      </c>
      <c r="J1508" s="1" t="s">
        <v>1525</v>
      </c>
      <c r="K1508" s="1" t="s">
        <v>44</v>
      </c>
      <c r="L1508" s="1">
        <v>304.0</v>
      </c>
      <c r="M1508" s="1">
        <v>2002.0</v>
      </c>
      <c r="N1508" s="1">
        <v>1996.0</v>
      </c>
      <c r="P1508" s="2">
        <v>44238.0</v>
      </c>
      <c r="Q1508" s="1" t="s">
        <v>55</v>
      </c>
      <c r="R1508" s="1" t="s">
        <v>6711</v>
      </c>
      <c r="S1508" s="1" t="s">
        <v>32</v>
      </c>
      <c r="W1508" s="1">
        <v>0.0</v>
      </c>
      <c r="X1508" s="1">
        <v>0.0</v>
      </c>
    </row>
    <row r="1509" spans="1:24" ht="15.75" customHeight="1">
      <c r="A1509" s="96">
        <v>3.4217599E7</v>
      </c>
      <c r="B1509" s="96" t="s">
        <v>6712</v>
      </c>
      <c r="C1509" s="96" t="s">
        <v>6713</v>
      </c>
      <c r="D1509" s="96" t="s">
        <v>6714</v>
      </c>
      <c r="E1509" s="97"/>
      <c r="F1509" s="96" t="str">
        <f>"0062694057"</f>
        <v>0062694057</v>
      </c>
      <c r="G1509" s="96" t="str">
        <f>"9780062694058"</f>
        <v>9780062694058</v>
      </c>
      <c r="H1509" s="96">
        <v>0.0</v>
      </c>
      <c r="I1509" s="96">
        <v>3.59</v>
      </c>
      <c r="J1509" s="96" t="s">
        <v>558</v>
      </c>
      <c r="K1509" s="96" t="s">
        <v>37</v>
      </c>
      <c r="L1509" s="96">
        <v>269.0</v>
      </c>
      <c r="M1509" s="96">
        <v>2017.0</v>
      </c>
      <c r="N1509" s="96">
        <v>2017.0</v>
      </c>
      <c r="O1509" s="97"/>
      <c r="P1509" s="98">
        <v>44625.0</v>
      </c>
      <c r="Q1509" s="99" t="s">
        <v>871</v>
      </c>
      <c r="R1509" s="96" t="s">
        <v>6715</v>
      </c>
      <c r="S1509" s="96" t="s">
        <v>32</v>
      </c>
      <c r="T1509" s="97"/>
      <c r="U1509" s="97"/>
      <c r="V1509" s="97"/>
      <c r="W1509" s="96">
        <v>0.0</v>
      </c>
      <c r="X1509" s="96">
        <v>0.0</v>
      </c>
    </row>
    <row r="1510" spans="1:24" ht="15.75" customHeight="1">
      <c r="A1510" s="96">
        <v>2.611643E7</v>
      </c>
      <c r="B1510" s="96" t="s">
        <v>6716</v>
      </c>
      <c r="C1510" s="96" t="s">
        <v>6713</v>
      </c>
      <c r="D1510" s="96" t="s">
        <v>6714</v>
      </c>
      <c r="E1510" s="97"/>
      <c r="F1510" s="96" t="str">
        <f>"0062277022"</f>
        <v>0062277022</v>
      </c>
      <c r="G1510" s="96" t="str">
        <f>"9780062277022"</f>
        <v>9780062277022</v>
      </c>
      <c r="H1510" s="96">
        <v>0.0</v>
      </c>
      <c r="I1510" s="96">
        <v>3.9</v>
      </c>
      <c r="J1510" s="96" t="s">
        <v>558</v>
      </c>
      <c r="K1510" s="96" t="s">
        <v>37</v>
      </c>
      <c r="L1510" s="96">
        <v>372.0</v>
      </c>
      <c r="M1510" s="96">
        <v>2016.0</v>
      </c>
      <c r="N1510" s="96">
        <v>2016.0</v>
      </c>
      <c r="O1510" s="97"/>
      <c r="P1510" s="98">
        <v>42548.0</v>
      </c>
      <c r="Q1510" s="99" t="s">
        <v>871</v>
      </c>
      <c r="R1510" s="96" t="s">
        <v>6717</v>
      </c>
      <c r="S1510" s="96" t="s">
        <v>32</v>
      </c>
      <c r="T1510" s="97"/>
      <c r="U1510" s="97"/>
      <c r="V1510" s="97"/>
      <c r="W1510" s="96">
        <v>0.0</v>
      </c>
      <c r="X1510" s="96">
        <v>0.0</v>
      </c>
    </row>
    <row r="1511" spans="1:24" ht="15.75" customHeight="1">
      <c r="A1511" s="1">
        <v>1.8850836E7</v>
      </c>
      <c r="B1511" s="1" t="s">
        <v>6718</v>
      </c>
      <c r="C1511" s="1" t="s">
        <v>6719</v>
      </c>
      <c r="D1511" s="1" t="s">
        <v>6720</v>
      </c>
      <c r="F1511" s="1" t="str">
        <f>"142141418X"</f>
        <v>142141418X</v>
      </c>
      <c r="G1511" s="1" t="str">
        <f>"9781421414188"</f>
        <v>9781421414188</v>
      </c>
      <c r="H1511" s="1">
        <v>0.0</v>
      </c>
      <c r="I1511" s="1">
        <v>3.78</v>
      </c>
      <c r="J1511" s="1" t="s">
        <v>3116</v>
      </c>
      <c r="K1511" s="1" t="s">
        <v>37</v>
      </c>
      <c r="L1511" s="1">
        <v>480.0</v>
      </c>
      <c r="M1511" s="1">
        <v>2014.0</v>
      </c>
      <c r="N1511" s="1">
        <v>1990.0</v>
      </c>
      <c r="P1511" s="2">
        <v>45120.0</v>
      </c>
      <c r="Q1511" s="1" t="s">
        <v>725</v>
      </c>
      <c r="R1511" s="1" t="s">
        <v>6721</v>
      </c>
      <c r="S1511" s="1" t="s">
        <v>32</v>
      </c>
      <c r="W1511" s="1">
        <v>0.0</v>
      </c>
      <c r="X1511" s="1">
        <v>0.0</v>
      </c>
    </row>
    <row r="1512" spans="1:24" ht="15.75" customHeight="1">
      <c r="A1512" s="1">
        <v>2170223.0</v>
      </c>
      <c r="B1512" s="1" t="s">
        <v>6722</v>
      </c>
      <c r="C1512" s="1" t="s">
        <v>6723</v>
      </c>
      <c r="D1512" s="1" t="s">
        <v>6724</v>
      </c>
      <c r="F1512" s="1" t="str">
        <f>"1585679569"</f>
        <v>1585679569</v>
      </c>
      <c r="G1512" s="1" t="str">
        <f>"9781585679560"</f>
        <v>9781585679560</v>
      </c>
      <c r="H1512" s="1">
        <v>0.0</v>
      </c>
      <c r="I1512" s="1">
        <v>4.54</v>
      </c>
      <c r="J1512" s="1" t="s">
        <v>6725</v>
      </c>
      <c r="K1512" s="1" t="s">
        <v>37</v>
      </c>
      <c r="L1512" s="1">
        <v>560.0</v>
      </c>
      <c r="M1512" s="1">
        <v>2007.0</v>
      </c>
      <c r="N1512" s="1">
        <v>1948.0</v>
      </c>
      <c r="P1512" s="2">
        <v>45147.0</v>
      </c>
      <c r="Q1512" s="1" t="s">
        <v>3356</v>
      </c>
      <c r="R1512" s="1" t="s">
        <v>6726</v>
      </c>
      <c r="S1512" s="1" t="s">
        <v>32</v>
      </c>
      <c r="W1512" s="1">
        <v>0.0</v>
      </c>
      <c r="X1512" s="1">
        <v>0.0</v>
      </c>
    </row>
    <row r="1513" spans="1:24" ht="15.75" customHeight="1">
      <c r="A1513" s="1">
        <v>330542.0</v>
      </c>
      <c r="B1513" s="1" t="s">
        <v>6727</v>
      </c>
      <c r="C1513" s="1" t="s">
        <v>6728</v>
      </c>
      <c r="D1513" s="1" t="s">
        <v>6729</v>
      </c>
      <c r="E1513" s="1" t="s">
        <v>6730</v>
      </c>
      <c r="F1513" s="1" t="str">
        <f>"082647327X"</f>
        <v>082647327X</v>
      </c>
      <c r="G1513" s="1" t="str">
        <f>"9780826473271"</f>
        <v>9780826473271</v>
      </c>
      <c r="H1513" s="1">
        <v>0.0</v>
      </c>
      <c r="I1513" s="1">
        <v>4.12</v>
      </c>
      <c r="J1513" s="1" t="s">
        <v>6731</v>
      </c>
      <c r="K1513" s="1" t="s">
        <v>44</v>
      </c>
      <c r="L1513" s="1">
        <v>198.0</v>
      </c>
      <c r="M1513" s="1">
        <v>2002.0</v>
      </c>
      <c r="N1513" s="1">
        <v>2003.0</v>
      </c>
      <c r="P1513" s="3">
        <v>43402.0</v>
      </c>
      <c r="Q1513" s="1" t="s">
        <v>32</v>
      </c>
      <c r="R1513" s="1" t="s">
        <v>6732</v>
      </c>
      <c r="S1513" s="1" t="s">
        <v>32</v>
      </c>
      <c r="W1513" s="1">
        <v>0.0</v>
      </c>
      <c r="X1513" s="1">
        <v>0.0</v>
      </c>
    </row>
    <row r="1514" spans="1:24" ht="15.75" customHeight="1">
      <c r="A1514" s="1">
        <v>5.9808489E7</v>
      </c>
      <c r="B1514" s="1" t="s">
        <v>6733</v>
      </c>
      <c r="C1514" s="1" t="s">
        <v>6734</v>
      </c>
      <c r="D1514" s="1" t="s">
        <v>6735</v>
      </c>
      <c r="F1514" s="1" t="str">
        <f>"1644452049"</f>
        <v>1644452049</v>
      </c>
      <c r="G1514" s="1" t="str">
        <f>"9781644452042"</f>
        <v>9781644452042</v>
      </c>
      <c r="H1514" s="1">
        <v>0.0</v>
      </c>
      <c r="I1514" s="1">
        <v>3.6</v>
      </c>
      <c r="J1514" s="1" t="s">
        <v>337</v>
      </c>
      <c r="K1514" s="1" t="s">
        <v>44</v>
      </c>
      <c r="L1514" s="1">
        <v>400.0</v>
      </c>
      <c r="M1514" s="1">
        <v>2022.0</v>
      </c>
      <c r="N1514" s="1">
        <v>2022.0</v>
      </c>
      <c r="P1514" s="3">
        <v>45274.0</v>
      </c>
      <c r="Q1514" s="1" t="s">
        <v>145</v>
      </c>
      <c r="R1514" s="1" t="s">
        <v>6736</v>
      </c>
      <c r="S1514" s="1" t="s">
        <v>32</v>
      </c>
      <c r="W1514" s="1">
        <v>0.0</v>
      </c>
      <c r="X1514" s="1">
        <v>0.0</v>
      </c>
    </row>
    <row r="1515" spans="1:24" ht="15.75" customHeight="1">
      <c r="A1515" s="1">
        <v>12073.0</v>
      </c>
      <c r="B1515" s="1" t="s">
        <v>6737</v>
      </c>
      <c r="C1515" s="1" t="s">
        <v>6738</v>
      </c>
      <c r="D1515" s="1" t="s">
        <v>6739</v>
      </c>
      <c r="E1515" s="1" t="s">
        <v>6740</v>
      </c>
      <c r="F1515" s="1" t="str">
        <f>"0631231277"</f>
        <v>0631231277</v>
      </c>
      <c r="G1515" s="1" t="str">
        <f>"9780631231271"</f>
        <v>9780631231271</v>
      </c>
      <c r="H1515" s="1">
        <v>0.0</v>
      </c>
      <c r="I1515" s="1">
        <v>4.26</v>
      </c>
      <c r="J1515" s="1" t="s">
        <v>6741</v>
      </c>
      <c r="K1515" s="1" t="s">
        <v>37</v>
      </c>
      <c r="L1515" s="1">
        <v>246.0</v>
      </c>
      <c r="M1515" s="1">
        <v>2001.0</v>
      </c>
      <c r="N1515" s="1">
        <v>1953.0</v>
      </c>
      <c r="P1515" s="2">
        <v>44473.0</v>
      </c>
      <c r="Q1515" s="1" t="s">
        <v>32</v>
      </c>
      <c r="R1515" s="1" t="s">
        <v>6742</v>
      </c>
      <c r="S1515" s="1" t="s">
        <v>32</v>
      </c>
      <c r="W1515" s="1">
        <v>0.0</v>
      </c>
      <c r="X1515" s="1">
        <v>0.0</v>
      </c>
    </row>
    <row r="1516" spans="1:24" ht="15.75" customHeight="1">
      <c r="A1516" s="1">
        <v>1417354.0</v>
      </c>
      <c r="B1516" s="1" t="s">
        <v>6743</v>
      </c>
      <c r="C1516" s="1" t="s">
        <v>6744</v>
      </c>
      <c r="D1516" s="1" t="s">
        <v>6745</v>
      </c>
      <c r="F1516" s="1" t="str">
        <f>"9505576706"</f>
        <v>9505576706</v>
      </c>
      <c r="G1516" s="1" t="str">
        <f>"9789505576708"</f>
        <v>9789505576708</v>
      </c>
      <c r="H1516" s="1">
        <v>0.0</v>
      </c>
      <c r="I1516" s="1">
        <v>3.14</v>
      </c>
      <c r="J1516" s="1" t="s">
        <v>6746</v>
      </c>
      <c r="K1516" s="1" t="s">
        <v>44</v>
      </c>
      <c r="M1516" s="1">
        <v>2014.0</v>
      </c>
      <c r="N1516" s="1">
        <v>1984.0</v>
      </c>
      <c r="P1516" s="2">
        <v>44166.0</v>
      </c>
      <c r="Q1516" s="1" t="s">
        <v>463</v>
      </c>
      <c r="R1516" s="1" t="s">
        <v>6747</v>
      </c>
      <c r="S1516" s="1" t="s">
        <v>32</v>
      </c>
      <c r="W1516" s="1">
        <v>0.0</v>
      </c>
      <c r="X1516" s="1">
        <v>0.0</v>
      </c>
    </row>
    <row r="1517" spans="1:24" ht="15.75" customHeight="1">
      <c r="A1517" s="1">
        <v>44039.0</v>
      </c>
      <c r="B1517" s="1" t="s">
        <v>6748</v>
      </c>
      <c r="C1517" s="1" t="s">
        <v>6749</v>
      </c>
      <c r="D1517" s="1" t="s">
        <v>6750</v>
      </c>
      <c r="E1517" s="1" t="s">
        <v>6751</v>
      </c>
      <c r="F1517" s="1" t="str">
        <f>"081121592X"</f>
        <v>081121592X</v>
      </c>
      <c r="G1517" s="1" t="str">
        <f>"9780811215923"</f>
        <v>9780811215923</v>
      </c>
      <c r="H1517" s="1">
        <v>0.0</v>
      </c>
      <c r="I1517" s="1">
        <v>3.81</v>
      </c>
      <c r="J1517" s="1" t="s">
        <v>419</v>
      </c>
      <c r="K1517" s="1" t="s">
        <v>44</v>
      </c>
      <c r="L1517" s="1">
        <v>135.0</v>
      </c>
      <c r="M1517" s="1">
        <v>2005.0</v>
      </c>
      <c r="N1517" s="1">
        <v>2000.0</v>
      </c>
      <c r="P1517" s="2">
        <v>44460.0</v>
      </c>
      <c r="Q1517" s="1" t="s">
        <v>32</v>
      </c>
      <c r="R1517" s="1" t="s">
        <v>6752</v>
      </c>
      <c r="S1517" s="1" t="s">
        <v>32</v>
      </c>
      <c r="W1517" s="1">
        <v>0.0</v>
      </c>
      <c r="X1517" s="1">
        <v>0.0</v>
      </c>
    </row>
    <row r="1518" spans="1:24" ht="15.75" customHeight="1">
      <c r="A1518" s="1">
        <v>5.9202649E7</v>
      </c>
      <c r="B1518" s="1" t="s">
        <v>6753</v>
      </c>
      <c r="C1518" s="1" t="s">
        <v>6754</v>
      </c>
      <c r="D1518" s="1" t="s">
        <v>6755</v>
      </c>
      <c r="E1518" s="1" t="s">
        <v>6756</v>
      </c>
      <c r="F1518" s="1" t="str">
        <f>"1628974184"</f>
        <v>1628974184</v>
      </c>
      <c r="G1518" s="1" t="str">
        <f>"9781628974188"</f>
        <v>9781628974188</v>
      </c>
      <c r="H1518" s="1">
        <v>0.0</v>
      </c>
      <c r="I1518" s="1">
        <v>3.54</v>
      </c>
      <c r="J1518" s="1" t="s">
        <v>2337</v>
      </c>
      <c r="K1518" s="1" t="s">
        <v>29</v>
      </c>
      <c r="L1518" s="1">
        <v>1627.0</v>
      </c>
      <c r="M1518" s="1">
        <v>2022.0</v>
      </c>
      <c r="P1518" s="2">
        <v>44869.0</v>
      </c>
      <c r="Q1518" s="1" t="s">
        <v>502</v>
      </c>
      <c r="R1518" s="1" t="s">
        <v>6757</v>
      </c>
      <c r="S1518" s="1" t="s">
        <v>32</v>
      </c>
      <c r="W1518" s="1">
        <v>0.0</v>
      </c>
      <c r="X1518" s="1">
        <v>0.0</v>
      </c>
    </row>
    <row r="1519" spans="1:24" ht="15.75" customHeight="1">
      <c r="A1519" s="1">
        <v>1.7706541E7</v>
      </c>
      <c r="B1519" s="1" t="s">
        <v>6758</v>
      </c>
      <c r="C1519" s="1" t="s">
        <v>6759</v>
      </c>
      <c r="D1519" s="1" t="s">
        <v>6760</v>
      </c>
      <c r="F1519" s="1" t="str">
        <f>"6074111197"</f>
        <v>6074111197</v>
      </c>
      <c r="G1519" s="1" t="str">
        <f>"9786074111194"</f>
        <v>9786074111194</v>
      </c>
      <c r="H1519" s="1">
        <v>0.0</v>
      </c>
      <c r="I1519" s="1">
        <v>3.7</v>
      </c>
      <c r="J1519" s="1" t="s">
        <v>6761</v>
      </c>
      <c r="K1519" s="1" t="s">
        <v>44</v>
      </c>
      <c r="L1519" s="1">
        <v>214.0</v>
      </c>
      <c r="M1519" s="1">
        <v>2013.0</v>
      </c>
      <c r="N1519" s="1">
        <v>2013.0</v>
      </c>
      <c r="P1519" s="2">
        <v>44097.0</v>
      </c>
      <c r="Q1519" s="1" t="s">
        <v>32</v>
      </c>
      <c r="R1519" s="1" t="s">
        <v>6762</v>
      </c>
      <c r="S1519" s="1" t="s">
        <v>32</v>
      </c>
      <c r="W1519" s="1">
        <v>0.0</v>
      </c>
      <c r="X1519" s="1">
        <v>0.0</v>
      </c>
    </row>
    <row r="1520" spans="1:24" ht="15.75" customHeight="1">
      <c r="A1520" s="1">
        <v>3.4757649E7</v>
      </c>
      <c r="B1520" s="1" t="s">
        <v>6763</v>
      </c>
      <c r="C1520" s="1" t="s">
        <v>6764</v>
      </c>
      <c r="D1520" s="1" t="s">
        <v>6765</v>
      </c>
      <c r="F1520" s="1" t="str">
        <f>"9507319093"</f>
        <v>9507319093</v>
      </c>
      <c r="G1520" s="1" t="str">
        <f>"9789507319099"</f>
        <v>9789507319099</v>
      </c>
      <c r="H1520" s="1">
        <v>0.0</v>
      </c>
      <c r="I1520" s="1">
        <v>4.12</v>
      </c>
      <c r="J1520" s="1" t="s">
        <v>6766</v>
      </c>
      <c r="K1520" s="1" t="s">
        <v>44</v>
      </c>
      <c r="L1520" s="1">
        <v>168.0</v>
      </c>
      <c r="M1520" s="1">
        <v>2017.0</v>
      </c>
      <c r="N1520" s="1">
        <v>2017.0</v>
      </c>
      <c r="P1520" s="2">
        <v>43968.0</v>
      </c>
      <c r="Q1520" s="1" t="s">
        <v>32</v>
      </c>
      <c r="R1520" s="1" t="s">
        <v>6767</v>
      </c>
      <c r="S1520" s="1" t="s">
        <v>32</v>
      </c>
      <c r="W1520" s="1">
        <v>0.0</v>
      </c>
      <c r="X1520" s="1">
        <v>0.0</v>
      </c>
    </row>
    <row r="1521" spans="1:24" ht="15.75" customHeight="1">
      <c r="A1521" s="1">
        <v>257887.0</v>
      </c>
      <c r="B1521" s="1" t="s">
        <v>6768</v>
      </c>
      <c r="C1521" s="1" t="s">
        <v>6769</v>
      </c>
      <c r="D1521" s="1" t="s">
        <v>6770</v>
      </c>
      <c r="F1521" s="1" t="str">
        <f>"8437618630"</f>
        <v>8437618630</v>
      </c>
      <c r="G1521" s="1" t="str">
        <f>"9788437618630"</f>
        <v>9788437618630</v>
      </c>
      <c r="H1521" s="1">
        <v>0.0</v>
      </c>
      <c r="I1521" s="1">
        <v>3.77</v>
      </c>
      <c r="J1521" s="1" t="s">
        <v>753</v>
      </c>
      <c r="K1521" s="1" t="s">
        <v>44</v>
      </c>
      <c r="L1521" s="1">
        <v>320.0</v>
      </c>
      <c r="M1521" s="1">
        <v>2005.0</v>
      </c>
      <c r="N1521" s="1">
        <v>1976.0</v>
      </c>
      <c r="P1521" s="2">
        <v>43976.0</v>
      </c>
      <c r="Q1521" s="1" t="s">
        <v>32</v>
      </c>
      <c r="R1521" s="1" t="s">
        <v>6771</v>
      </c>
      <c r="S1521" s="1" t="s">
        <v>32</v>
      </c>
      <c r="W1521" s="1">
        <v>0.0</v>
      </c>
      <c r="X1521" s="1">
        <v>0.0</v>
      </c>
    </row>
    <row r="1522" spans="1:24" ht="15.75" customHeight="1">
      <c r="A1522" s="1">
        <v>5.9883591E7</v>
      </c>
      <c r="B1522" s="1" t="s">
        <v>6772</v>
      </c>
      <c r="C1522" s="1" t="s">
        <v>6773</v>
      </c>
      <c r="D1522" s="1" t="s">
        <v>6774</v>
      </c>
      <c r="F1522" s="1" t="str">
        <f>"0593489217"</f>
        <v>0593489217</v>
      </c>
      <c r="G1522" s="1" t="str">
        <f>"9780593489215"</f>
        <v>9780593489215</v>
      </c>
      <c r="H1522" s="1">
        <v>0.0</v>
      </c>
      <c r="I1522" s="1">
        <v>4.28</v>
      </c>
      <c r="J1522" s="1" t="s">
        <v>54</v>
      </c>
      <c r="K1522" s="1" t="s">
        <v>37</v>
      </c>
      <c r="L1522" s="1">
        <v>368.0</v>
      </c>
      <c r="M1522" s="1">
        <v>2022.0</v>
      </c>
      <c r="N1522" s="1">
        <v>2022.0</v>
      </c>
      <c r="P1522" s="2">
        <v>45313.0</v>
      </c>
      <c r="Q1522" s="1" t="s">
        <v>55</v>
      </c>
      <c r="R1522" s="1" t="s">
        <v>6775</v>
      </c>
      <c r="S1522" s="1" t="s">
        <v>32</v>
      </c>
      <c r="W1522" s="1">
        <v>0.0</v>
      </c>
      <c r="X1522" s="1">
        <v>0.0</v>
      </c>
    </row>
    <row r="1523" spans="1:24" ht="15.75" customHeight="1">
      <c r="A1523" s="1">
        <v>311466.0</v>
      </c>
      <c r="B1523" s="1" t="s">
        <v>6776</v>
      </c>
      <c r="C1523" s="1" t="s">
        <v>6777</v>
      </c>
      <c r="D1523" s="1" t="s">
        <v>6778</v>
      </c>
      <c r="F1523" s="1" t="str">
        <f>"0786716568"</f>
        <v>0786716568</v>
      </c>
      <c r="G1523" s="1" t="str">
        <f>"9780786716562"</f>
        <v>9780786716562</v>
      </c>
      <c r="H1523" s="1">
        <v>0.0</v>
      </c>
      <c r="I1523" s="1">
        <v>4.01</v>
      </c>
      <c r="J1523" s="1" t="s">
        <v>564</v>
      </c>
      <c r="K1523" s="1" t="s">
        <v>44</v>
      </c>
      <c r="L1523" s="1">
        <v>496.0</v>
      </c>
      <c r="M1523" s="1">
        <v>2005.0</v>
      </c>
      <c r="N1523" s="1">
        <v>2003.0</v>
      </c>
      <c r="P1523" s="2">
        <v>45181.0</v>
      </c>
      <c r="Q1523" s="1" t="s">
        <v>1739</v>
      </c>
      <c r="R1523" s="1" t="s">
        <v>6779</v>
      </c>
      <c r="S1523" s="1" t="s">
        <v>32</v>
      </c>
      <c r="W1523" s="1">
        <v>0.0</v>
      </c>
      <c r="X1523" s="1">
        <v>0.0</v>
      </c>
    </row>
    <row r="1524" spans="1:24" ht="15.75" customHeight="1">
      <c r="A1524" s="1">
        <v>250113.0</v>
      </c>
      <c r="B1524" s="1" t="s">
        <v>6780</v>
      </c>
      <c r="C1524" s="1" t="s">
        <v>6781</v>
      </c>
      <c r="D1524" s="1" t="s">
        <v>6782</v>
      </c>
      <c r="E1524" s="1" t="s">
        <v>2340</v>
      </c>
      <c r="F1524" s="1" t="str">
        <f>"0810117096"</f>
        <v>0810117096</v>
      </c>
      <c r="G1524" s="1" t="str">
        <f>"9780810117099"</f>
        <v>9780810117099</v>
      </c>
      <c r="H1524" s="1">
        <v>0.0</v>
      </c>
      <c r="I1524" s="1">
        <v>3.83</v>
      </c>
      <c r="J1524" s="1" t="s">
        <v>229</v>
      </c>
      <c r="K1524" s="1" t="s">
        <v>44</v>
      </c>
      <c r="L1524" s="1">
        <v>204.0</v>
      </c>
      <c r="M1524" s="1">
        <v>1998.0</v>
      </c>
      <c r="N1524" s="1">
        <v>1934.0</v>
      </c>
      <c r="P1524" s="2">
        <v>41365.0</v>
      </c>
      <c r="Q1524" s="1" t="s">
        <v>502</v>
      </c>
      <c r="R1524" s="1" t="s">
        <v>6783</v>
      </c>
      <c r="S1524" s="1" t="s">
        <v>32</v>
      </c>
      <c r="W1524" s="1">
        <v>0.0</v>
      </c>
      <c r="X1524" s="1">
        <v>0.0</v>
      </c>
    </row>
    <row r="1525" spans="1:24" ht="15.75" customHeight="1">
      <c r="A1525" s="1">
        <v>865408.0</v>
      </c>
      <c r="B1525" s="1" t="s">
        <v>6784</v>
      </c>
      <c r="C1525" s="1" t="s">
        <v>6785</v>
      </c>
      <c r="D1525" s="1" t="s">
        <v>6786</v>
      </c>
      <c r="F1525" s="1" t="str">
        <f>"0198661215"</f>
        <v>0198661215</v>
      </c>
      <c r="G1525" s="1" t="str">
        <f>"9780198661214"</f>
        <v>9780198661214</v>
      </c>
      <c r="H1525" s="1">
        <v>0.0</v>
      </c>
      <c r="I1525" s="1">
        <v>4.22</v>
      </c>
      <c r="J1525" s="1" t="s">
        <v>181</v>
      </c>
      <c r="K1525" s="1" t="s">
        <v>37</v>
      </c>
      <c r="L1525" s="1">
        <v>615.0</v>
      </c>
      <c r="M1525" s="1">
        <v>1989.0</v>
      </c>
      <c r="N1525" s="1">
        <v>1989.0</v>
      </c>
      <c r="P1525" s="2">
        <v>45116.0</v>
      </c>
      <c r="Q1525" s="1" t="s">
        <v>32</v>
      </c>
      <c r="R1525" s="1" t="s">
        <v>6787</v>
      </c>
      <c r="S1525" s="1" t="s">
        <v>32</v>
      </c>
      <c r="W1525" s="1">
        <v>0.0</v>
      </c>
      <c r="X1525" s="1">
        <v>0.0</v>
      </c>
    </row>
    <row r="1526" spans="1:24" ht="15.75" customHeight="1">
      <c r="A1526" s="1">
        <v>250693.0</v>
      </c>
      <c r="B1526" s="1" t="s">
        <v>6788</v>
      </c>
      <c r="C1526" s="1" t="s">
        <v>6789</v>
      </c>
      <c r="D1526" s="1" t="s">
        <v>6790</v>
      </c>
      <c r="F1526" s="1" t="str">
        <f>"0865473366"</f>
        <v>0865473366</v>
      </c>
      <c r="G1526" s="1" t="str">
        <f>"9780865473362"</f>
        <v>9780865473362</v>
      </c>
      <c r="H1526" s="1">
        <v>0.0</v>
      </c>
      <c r="I1526" s="1">
        <v>4.15</v>
      </c>
      <c r="J1526" s="1" t="s">
        <v>6791</v>
      </c>
      <c r="K1526" s="1" t="s">
        <v>44</v>
      </c>
      <c r="L1526" s="1">
        <v>202.0</v>
      </c>
      <c r="M1526" s="1">
        <v>1988.0</v>
      </c>
      <c r="N1526" s="1">
        <v>1942.0</v>
      </c>
      <c r="P1526" s="2">
        <v>45115.0</v>
      </c>
      <c r="Q1526" s="1" t="s">
        <v>32</v>
      </c>
      <c r="R1526" s="1" t="s">
        <v>6792</v>
      </c>
      <c r="S1526" s="1" t="s">
        <v>32</v>
      </c>
      <c r="W1526" s="1">
        <v>0.0</v>
      </c>
      <c r="X1526" s="1">
        <v>0.0</v>
      </c>
    </row>
    <row r="1527" spans="1:24" ht="15.75" customHeight="1">
      <c r="A1527" s="1">
        <v>3.6236136E7</v>
      </c>
      <c r="B1527" s="1" t="s">
        <v>6793</v>
      </c>
      <c r="C1527" s="1" t="s">
        <v>6794</v>
      </c>
      <c r="D1527" s="1" t="s">
        <v>6795</v>
      </c>
      <c r="E1527" s="1" t="s">
        <v>6796</v>
      </c>
      <c r="F1527" s="1" t="str">
        <f>"0871404966"</f>
        <v>0871404966</v>
      </c>
      <c r="G1527" s="1" t="str">
        <f>"9780871404961"</f>
        <v>9780871404961</v>
      </c>
      <c r="H1527" s="1">
        <v>0.0</v>
      </c>
      <c r="I1527" s="1">
        <v>4.27</v>
      </c>
      <c r="J1527" s="1" t="s">
        <v>643</v>
      </c>
      <c r="K1527" s="1" t="s">
        <v>37</v>
      </c>
      <c r="L1527" s="1">
        <v>960.0</v>
      </c>
      <c r="M1527" s="1">
        <v>2018.0</v>
      </c>
      <c r="P1527" s="2">
        <v>45137.0</v>
      </c>
      <c r="Q1527" s="1" t="s">
        <v>32</v>
      </c>
      <c r="R1527" s="1" t="s">
        <v>6797</v>
      </c>
      <c r="S1527" s="1" t="s">
        <v>32</v>
      </c>
      <c r="W1527" s="1">
        <v>0.0</v>
      </c>
      <c r="X1527" s="1">
        <v>0.0</v>
      </c>
    </row>
    <row r="1528" spans="1:24" ht="15.75" customHeight="1">
      <c r="A1528" s="1">
        <v>5.5347007E7</v>
      </c>
      <c r="B1528" s="1" t="s">
        <v>6798</v>
      </c>
      <c r="C1528" s="1" t="s">
        <v>6799</v>
      </c>
      <c r="D1528" s="1" t="s">
        <v>6800</v>
      </c>
      <c r="F1528" s="1" t="str">
        <f>"164622017X"</f>
        <v>164622017X</v>
      </c>
      <c r="G1528" s="1" t="str">
        <f>"9781646220175"</f>
        <v>9781646220175</v>
      </c>
      <c r="H1528" s="1">
        <v>0.0</v>
      </c>
      <c r="I1528" s="1">
        <v>3.53</v>
      </c>
      <c r="J1528" s="1" t="s">
        <v>6428</v>
      </c>
      <c r="K1528" s="1" t="s">
        <v>44</v>
      </c>
      <c r="L1528" s="1">
        <v>272.0</v>
      </c>
      <c r="M1528" s="1">
        <v>2021.0</v>
      </c>
      <c r="N1528" s="1">
        <v>2021.0</v>
      </c>
      <c r="P1528" s="2">
        <v>44245.0</v>
      </c>
      <c r="Q1528" s="1" t="s">
        <v>32</v>
      </c>
      <c r="R1528" s="1" t="s">
        <v>6801</v>
      </c>
      <c r="S1528" s="1" t="s">
        <v>32</v>
      </c>
      <c r="W1528" s="1">
        <v>0.0</v>
      </c>
      <c r="X1528" s="1">
        <v>0.0</v>
      </c>
    </row>
    <row r="1529" spans="1:24" ht="15.75" customHeight="1">
      <c r="A1529" s="1">
        <v>1.8162954E7</v>
      </c>
      <c r="B1529" s="1" t="s">
        <v>6802</v>
      </c>
      <c r="C1529" s="1" t="s">
        <v>6803</v>
      </c>
      <c r="D1529" s="1" t="s">
        <v>6804</v>
      </c>
      <c r="F1529" s="1" t="str">
        <f>"1408848147"</f>
        <v>1408848147</v>
      </c>
      <c r="G1529" s="1" t="str">
        <f>""</f>
        <v/>
      </c>
      <c r="H1529" s="1">
        <v>0.0</v>
      </c>
      <c r="I1529" s="1">
        <v>3.93</v>
      </c>
      <c r="J1529" s="1" t="s">
        <v>6805</v>
      </c>
      <c r="K1529" s="1" t="s">
        <v>29</v>
      </c>
      <c r="L1529" s="1">
        <v>27.0</v>
      </c>
      <c r="M1529" s="1">
        <v>2013.0</v>
      </c>
      <c r="N1529" s="1">
        <v>2013.0</v>
      </c>
      <c r="P1529" s="2">
        <v>45109.0</v>
      </c>
      <c r="Q1529" s="1" t="s">
        <v>32</v>
      </c>
      <c r="R1529" s="1" t="s">
        <v>6806</v>
      </c>
      <c r="S1529" s="1" t="s">
        <v>32</v>
      </c>
      <c r="W1529" s="1">
        <v>0.0</v>
      </c>
      <c r="X1529" s="1">
        <v>0.0</v>
      </c>
    </row>
    <row r="1530" spans="1:24" ht="15.75" customHeight="1">
      <c r="A1530" s="1">
        <v>1.1250317E7</v>
      </c>
      <c r="B1530" s="1" t="s">
        <v>6807</v>
      </c>
      <c r="C1530" s="1" t="s">
        <v>6803</v>
      </c>
      <c r="D1530" s="1" t="s">
        <v>6804</v>
      </c>
      <c r="F1530" s="1" t="str">
        <f>"1408816032"</f>
        <v>1408816032</v>
      </c>
      <c r="G1530" s="1" t="str">
        <f>"9781408816035"</f>
        <v>9781408816035</v>
      </c>
      <c r="H1530" s="1">
        <v>0.0</v>
      </c>
      <c r="I1530" s="1">
        <v>4.33</v>
      </c>
      <c r="J1530" s="1" t="s">
        <v>2595</v>
      </c>
      <c r="K1530" s="1" t="s">
        <v>37</v>
      </c>
      <c r="L1530" s="1">
        <v>352.0</v>
      </c>
      <c r="M1530" s="1">
        <v>2011.0</v>
      </c>
      <c r="N1530" s="1">
        <v>2011.0</v>
      </c>
      <c r="P1530" s="2">
        <v>43198.0</v>
      </c>
      <c r="Q1530" s="1" t="s">
        <v>32</v>
      </c>
      <c r="R1530" s="1" t="s">
        <v>6808</v>
      </c>
      <c r="S1530" s="1" t="s">
        <v>32</v>
      </c>
      <c r="W1530" s="1">
        <v>0.0</v>
      </c>
      <c r="X1530" s="1">
        <v>0.0</v>
      </c>
    </row>
    <row r="1531" spans="1:24" ht="15.75" customHeight="1">
      <c r="A1531" s="1">
        <v>4.3715643E7</v>
      </c>
      <c r="B1531" s="1" t="s">
        <v>6809</v>
      </c>
      <c r="C1531" s="1" t="s">
        <v>6810</v>
      </c>
      <c r="D1531" s="1" t="s">
        <v>6811</v>
      </c>
      <c r="E1531" s="1" t="s">
        <v>6812</v>
      </c>
      <c r="F1531" s="1" t="str">
        <f t="shared" si="111" ref="F1531:G1531">""</f>
        <v/>
      </c>
      <c r="G1531" s="1" t="str">
        <f t="shared" si="111"/>
        <v/>
      </c>
      <c r="H1531" s="1">
        <v>0.0</v>
      </c>
      <c r="I1531" s="1">
        <v>3.76</v>
      </c>
      <c r="J1531" s="1" t="s">
        <v>823</v>
      </c>
      <c r="K1531" s="1" t="s">
        <v>29</v>
      </c>
      <c r="L1531" s="1">
        <v>223.0</v>
      </c>
      <c r="M1531" s="1">
        <v>2021.0</v>
      </c>
      <c r="P1531" s="2">
        <v>44236.0</v>
      </c>
      <c r="Q1531" s="1" t="s">
        <v>32</v>
      </c>
      <c r="R1531" s="1" t="s">
        <v>6813</v>
      </c>
      <c r="S1531" s="1" t="s">
        <v>32</v>
      </c>
      <c r="W1531" s="1">
        <v>0.0</v>
      </c>
      <c r="X1531" s="1">
        <v>0.0</v>
      </c>
    </row>
    <row r="1532" spans="1:24" ht="15.75" customHeight="1">
      <c r="A1532" s="1">
        <v>6.2819085E7</v>
      </c>
      <c r="B1532" s="1" t="s">
        <v>6814</v>
      </c>
      <c r="C1532" s="1" t="s">
        <v>6815</v>
      </c>
      <c r="D1532" s="1" t="s">
        <v>6816</v>
      </c>
      <c r="E1532" s="1" t="s">
        <v>6817</v>
      </c>
      <c r="F1532" s="1" t="str">
        <f>"1681377373"</f>
        <v>1681377373</v>
      </c>
      <c r="G1532" s="1" t="str">
        <f>"9781681377377"</f>
        <v>9781681377377</v>
      </c>
      <c r="H1532" s="1">
        <v>0.0</v>
      </c>
      <c r="I1532" s="1">
        <v>4.21</v>
      </c>
      <c r="J1532" s="1" t="s">
        <v>204</v>
      </c>
      <c r="K1532" s="1" t="s">
        <v>44</v>
      </c>
      <c r="L1532" s="1">
        <v>285.0</v>
      </c>
      <c r="M1532" s="1">
        <v>2023.0</v>
      </c>
      <c r="N1532" s="1">
        <v>1959.0</v>
      </c>
      <c r="P1532" s="2">
        <v>45102.0</v>
      </c>
      <c r="Q1532" s="1" t="s">
        <v>32</v>
      </c>
      <c r="R1532" s="1" t="s">
        <v>6818</v>
      </c>
      <c r="S1532" s="1" t="s">
        <v>32</v>
      </c>
      <c r="W1532" s="1">
        <v>0.0</v>
      </c>
      <c r="X1532" s="1">
        <v>0.0</v>
      </c>
    </row>
    <row r="1533" spans="1:24" ht="15.75" customHeight="1">
      <c r="A1533" s="1">
        <v>6.0784815E7</v>
      </c>
      <c r="B1533" s="1" t="s">
        <v>6819</v>
      </c>
      <c r="C1533" s="1" t="s">
        <v>6820</v>
      </c>
      <c r="D1533" s="1" t="s">
        <v>6821</v>
      </c>
      <c r="F1533" s="1" t="str">
        <f>"0374607958"</f>
        <v>0374607958</v>
      </c>
      <c r="G1533" s="1" t="str">
        <f>"9780374607951"</f>
        <v>9780374607951</v>
      </c>
      <c r="H1533" s="1">
        <v>0.0</v>
      </c>
      <c r="I1533" s="1">
        <v>3.8</v>
      </c>
      <c r="J1533" s="1" t="s">
        <v>438</v>
      </c>
      <c r="K1533" s="1" t="s">
        <v>37</v>
      </c>
      <c r="L1533" s="1">
        <v>128.0</v>
      </c>
      <c r="M1533" s="1">
        <v>2023.0</v>
      </c>
      <c r="N1533" s="1">
        <v>2023.0</v>
      </c>
      <c r="P1533" s="2">
        <v>45071.0</v>
      </c>
      <c r="Q1533" s="1" t="s">
        <v>32</v>
      </c>
      <c r="R1533" s="1" t="s">
        <v>6822</v>
      </c>
      <c r="S1533" s="1" t="s">
        <v>32</v>
      </c>
      <c r="W1533" s="1">
        <v>0.0</v>
      </c>
      <c r="X1533" s="1">
        <v>0.0</v>
      </c>
    </row>
    <row r="1534" spans="1:24" ht="15.75" customHeight="1">
      <c r="A1534" s="1">
        <v>6798263.0</v>
      </c>
      <c r="B1534" s="1" t="s">
        <v>6823</v>
      </c>
      <c r="C1534" s="1" t="s">
        <v>6824</v>
      </c>
      <c r="D1534" s="1" t="s">
        <v>6825</v>
      </c>
      <c r="F1534" s="1" t="str">
        <f>"1933517409"</f>
        <v>1933517409</v>
      </c>
      <c r="G1534" s="1" t="str">
        <f>"9781933517407"</f>
        <v>9781933517407</v>
      </c>
      <c r="H1534" s="1">
        <v>4.0</v>
      </c>
      <c r="I1534" s="1">
        <v>4.1</v>
      </c>
      <c r="J1534" s="1" t="s">
        <v>6826</v>
      </c>
      <c r="K1534" s="1" t="s">
        <v>44</v>
      </c>
      <c r="L1534" s="1">
        <v>112.0</v>
      </c>
      <c r="M1534" s="1">
        <v>2009.0</v>
      </c>
      <c r="N1534" s="1">
        <v>2009.0</v>
      </c>
      <c r="O1534" s="3">
        <v>44193.0</v>
      </c>
      <c r="P1534" s="3">
        <v>44192.0</v>
      </c>
      <c r="Q1534" s="1" t="s">
        <v>2362</v>
      </c>
      <c r="R1534" s="1" t="s">
        <v>6827</v>
      </c>
      <c r="S1534" s="1" t="s">
        <v>271</v>
      </c>
      <c r="T1534" s="1" t="s">
        <v>6828</v>
      </c>
      <c r="W1534" s="1">
        <v>1.0</v>
      </c>
      <c r="X1534" s="1">
        <v>1.0</v>
      </c>
    </row>
    <row r="1535" spans="1:24" ht="15.75" customHeight="1">
      <c r="A1535" s="1">
        <v>1.1107324E7</v>
      </c>
      <c r="B1535" s="1" t="s">
        <v>6829</v>
      </c>
      <c r="C1535" s="1" t="s">
        <v>6824</v>
      </c>
      <c r="D1535" s="1" t="s">
        <v>6825</v>
      </c>
      <c r="F1535" s="1" t="str">
        <f>"0393072150"</f>
        <v>0393072150</v>
      </c>
      <c r="G1535" s="1" t="str">
        <f>"9780393072150"</f>
        <v>9780393072150</v>
      </c>
      <c r="H1535" s="1">
        <v>0.0</v>
      </c>
      <c r="I1535" s="1">
        <v>4.23</v>
      </c>
      <c r="J1535" s="1" t="s">
        <v>248</v>
      </c>
      <c r="K1535" s="1" t="s">
        <v>37</v>
      </c>
      <c r="L1535" s="1">
        <v>304.0</v>
      </c>
      <c r="M1535" s="1">
        <v>2011.0</v>
      </c>
      <c r="N1535" s="1">
        <v>2011.0</v>
      </c>
      <c r="P1535" s="2">
        <v>45123.0</v>
      </c>
      <c r="Q1535" s="1" t="s">
        <v>32</v>
      </c>
      <c r="R1535" s="1" t="s">
        <v>6830</v>
      </c>
      <c r="S1535" s="1" t="s">
        <v>32</v>
      </c>
      <c r="W1535" s="1">
        <v>0.0</v>
      </c>
      <c r="X1535" s="1">
        <v>0.0</v>
      </c>
    </row>
    <row r="1536" spans="1:24" ht="15.75" customHeight="1">
      <c r="A1536" s="1">
        <v>1.6000334E7</v>
      </c>
      <c r="B1536" s="1" t="s">
        <v>6831</v>
      </c>
      <c r="C1536" s="1" t="s">
        <v>6832</v>
      </c>
      <c r="D1536" s="1" t="s">
        <v>6833</v>
      </c>
      <c r="F1536" s="1" t="str">
        <f>"1935639536"</f>
        <v>1935639536</v>
      </c>
      <c r="G1536" s="1" t="str">
        <f>"9781935639534"</f>
        <v>9781935639534</v>
      </c>
      <c r="H1536" s="1">
        <v>4.0</v>
      </c>
      <c r="I1536" s="1">
        <v>4.12</v>
      </c>
      <c r="J1536" s="1" t="s">
        <v>3038</v>
      </c>
      <c r="K1536" s="1" t="s">
        <v>44</v>
      </c>
      <c r="L1536" s="1">
        <v>187.0</v>
      </c>
      <c r="M1536" s="1">
        <v>2013.0</v>
      </c>
      <c r="N1536" s="1">
        <v>2010.0</v>
      </c>
      <c r="O1536" s="2">
        <v>41464.0</v>
      </c>
      <c r="P1536" s="2">
        <v>41456.0</v>
      </c>
      <c r="Q1536" s="1" t="s">
        <v>594</v>
      </c>
      <c r="R1536" s="1" t="s">
        <v>6834</v>
      </c>
      <c r="S1536" s="1" t="s">
        <v>271</v>
      </c>
      <c r="W1536" s="1">
        <v>1.0</v>
      </c>
      <c r="X1536" s="1">
        <v>1.0</v>
      </c>
    </row>
    <row r="1537" spans="1:24" ht="15.75" customHeight="1">
      <c r="A1537" s="1">
        <v>1.5020163E7</v>
      </c>
      <c r="B1537" s="1" t="s">
        <v>6835</v>
      </c>
      <c r="C1537" s="1" t="s">
        <v>6836</v>
      </c>
      <c r="D1537" s="1" t="s">
        <v>6837</v>
      </c>
      <c r="F1537" s="1" t="str">
        <f>"0984151397"</f>
        <v>0984151397</v>
      </c>
      <c r="G1537" s="1" t="str">
        <f>"9780984151394"</f>
        <v>9780984151394</v>
      </c>
      <c r="H1537" s="1">
        <v>0.0</v>
      </c>
      <c r="I1537" s="1">
        <v>4.4</v>
      </c>
      <c r="J1537" s="1" t="s">
        <v>6838</v>
      </c>
      <c r="K1537" s="1" t="s">
        <v>44</v>
      </c>
      <c r="L1537" s="1">
        <v>66.0</v>
      </c>
      <c r="M1537" s="1">
        <v>2010.0</v>
      </c>
      <c r="N1537" s="1">
        <v>2010.0</v>
      </c>
      <c r="P1537" s="2">
        <v>45143.0</v>
      </c>
      <c r="Q1537" s="1" t="s">
        <v>449</v>
      </c>
      <c r="R1537" s="1" t="s">
        <v>6839</v>
      </c>
      <c r="S1537" s="1" t="s">
        <v>32</v>
      </c>
      <c r="W1537" s="1">
        <v>0.0</v>
      </c>
      <c r="X1537" s="1">
        <v>1.0</v>
      </c>
    </row>
    <row r="1538" spans="1:24" ht="15.75" customHeight="1">
      <c r="A1538" s="1">
        <v>5.6587381E7</v>
      </c>
      <c r="B1538" s="1" t="s">
        <v>6840</v>
      </c>
      <c r="C1538" s="1" t="s">
        <v>6841</v>
      </c>
      <c r="D1538" s="1" t="s">
        <v>6842</v>
      </c>
      <c r="F1538" s="1" t="str">
        <f>"0241413389"</f>
        <v>0241413389</v>
      </c>
      <c r="G1538" s="1" t="str">
        <f>"9780241413388"</f>
        <v>9780241413388</v>
      </c>
      <c r="H1538" s="1">
        <v>0.0</v>
      </c>
      <c r="I1538" s="1">
        <v>3.72</v>
      </c>
      <c r="J1538" s="1" t="s">
        <v>1665</v>
      </c>
      <c r="K1538" s="1" t="s">
        <v>37</v>
      </c>
      <c r="L1538" s="1">
        <v>336.0</v>
      </c>
      <c r="M1538" s="1">
        <v>2021.0</v>
      </c>
      <c r="P1538" s="2">
        <v>44987.0</v>
      </c>
      <c r="Q1538" s="1" t="s">
        <v>463</v>
      </c>
      <c r="R1538" s="1" t="s">
        <v>6843</v>
      </c>
      <c r="S1538" s="1" t="s">
        <v>32</v>
      </c>
      <c r="W1538" s="1">
        <v>0.0</v>
      </c>
      <c r="X1538" s="1">
        <v>0.0</v>
      </c>
    </row>
    <row r="1539" spans="1:24" ht="15.75" customHeight="1">
      <c r="A1539" s="1">
        <v>6061484.0</v>
      </c>
      <c r="B1539" s="1" t="s">
        <v>6844</v>
      </c>
      <c r="C1539" s="1" t="s">
        <v>6845</v>
      </c>
      <c r="D1539" s="1" t="s">
        <v>6846</v>
      </c>
      <c r="F1539" s="1" t="str">
        <f>"0141036249"</f>
        <v>0141036249</v>
      </c>
      <c r="G1539" s="1" t="str">
        <f>"9780141036243"</f>
        <v>9780141036243</v>
      </c>
      <c r="H1539" s="1">
        <v>0.0</v>
      </c>
      <c r="I1539" s="1">
        <v>4.19</v>
      </c>
      <c r="J1539" s="1" t="s">
        <v>309</v>
      </c>
      <c r="K1539" s="1" t="s">
        <v>44</v>
      </c>
      <c r="L1539" s="1">
        <v>365.0</v>
      </c>
      <c r="M1539" s="1">
        <v>2008.0</v>
      </c>
      <c r="N1539" s="1">
        <v>2008.0</v>
      </c>
      <c r="P1539" s="2">
        <v>45113.0</v>
      </c>
      <c r="Q1539" s="1" t="s">
        <v>788</v>
      </c>
      <c r="R1539" s="1" t="s">
        <v>6847</v>
      </c>
      <c r="S1539" s="1" t="s">
        <v>32</v>
      </c>
      <c r="W1539" s="1">
        <v>0.0</v>
      </c>
      <c r="X1539" s="1">
        <v>1.0</v>
      </c>
    </row>
    <row r="1540" spans="1:24" ht="15.75" customHeight="1">
      <c r="A1540" s="1">
        <v>2456661.0</v>
      </c>
      <c r="B1540" s="1" t="s">
        <v>6848</v>
      </c>
      <c r="C1540" s="1" t="s">
        <v>6849</v>
      </c>
      <c r="D1540" s="1" t="s">
        <v>6850</v>
      </c>
      <c r="F1540" s="1" t="str">
        <f>"0297773895"</f>
        <v>0297773895</v>
      </c>
      <c r="G1540" s="1" t="str">
        <f>"9780297773894"</f>
        <v>9780297773894</v>
      </c>
      <c r="H1540" s="1">
        <v>0.0</v>
      </c>
      <c r="I1540" s="1">
        <v>4.07</v>
      </c>
      <c r="J1540" s="1" t="s">
        <v>6851</v>
      </c>
      <c r="K1540" s="1" t="s">
        <v>37</v>
      </c>
      <c r="L1540" s="1">
        <v>342.0</v>
      </c>
      <c r="M1540" s="1">
        <v>1978.0</v>
      </c>
      <c r="N1540" s="1">
        <v>1978.0</v>
      </c>
      <c r="P1540" s="2">
        <v>45299.0</v>
      </c>
      <c r="Q1540" s="1" t="s">
        <v>30</v>
      </c>
      <c r="R1540" s="1" t="s">
        <v>6852</v>
      </c>
      <c r="S1540" s="1" t="s">
        <v>32</v>
      </c>
      <c r="W1540" s="1">
        <v>0.0</v>
      </c>
      <c r="X1540" s="1">
        <v>0.0</v>
      </c>
    </row>
    <row r="1541" spans="1:24" ht="15.75" customHeight="1">
      <c r="A1541" s="1">
        <v>1.1601988E7</v>
      </c>
      <c r="B1541" s="1" t="s">
        <v>6853</v>
      </c>
      <c r="C1541" s="1" t="s">
        <v>6854</v>
      </c>
      <c r="D1541" s="1" t="s">
        <v>6855</v>
      </c>
      <c r="E1541" s="1" t="s">
        <v>6856</v>
      </c>
      <c r="F1541" s="1" t="str">
        <f>"0345532864"</f>
        <v>0345532864</v>
      </c>
      <c r="G1541" s="1" t="str">
        <f>"9780345532861"</f>
        <v>9780345532861</v>
      </c>
      <c r="H1541" s="1">
        <v>0.0</v>
      </c>
      <c r="I1541" s="1">
        <v>4.1</v>
      </c>
      <c r="J1541" s="1" t="s">
        <v>1416</v>
      </c>
      <c r="K1541" s="1" t="s">
        <v>37</v>
      </c>
      <c r="L1541" s="1">
        <v>192.0</v>
      </c>
      <c r="M1541" s="1">
        <v>2011.0</v>
      </c>
      <c r="N1541" s="1">
        <v>2011.0</v>
      </c>
      <c r="P1541" s="2">
        <v>41696.0</v>
      </c>
      <c r="Q1541" s="1" t="s">
        <v>32</v>
      </c>
      <c r="R1541" s="1" t="s">
        <v>6857</v>
      </c>
      <c r="S1541" s="1" t="s">
        <v>32</v>
      </c>
      <c r="W1541" s="1">
        <v>0.0</v>
      </c>
      <c r="X1541" s="1">
        <v>0.0</v>
      </c>
    </row>
    <row r="1542" spans="1:24" ht="15.75" customHeight="1">
      <c r="A1542" s="1">
        <v>65285.0</v>
      </c>
      <c r="B1542" s="1" t="s">
        <v>6858</v>
      </c>
      <c r="C1542" s="1" t="s">
        <v>6859</v>
      </c>
      <c r="D1542" s="1" t="s">
        <v>6860</v>
      </c>
      <c r="F1542" s="1" t="str">
        <f>"006000438X"</f>
        <v>006000438X</v>
      </c>
      <c r="G1542" s="1" t="str">
        <f>"9780060004385"</f>
        <v>9780060004385</v>
      </c>
      <c r="H1542" s="1">
        <v>0.0</v>
      </c>
      <c r="I1542" s="1">
        <v>3.61</v>
      </c>
      <c r="J1542" s="1" t="s">
        <v>917</v>
      </c>
      <c r="K1542" s="1" t="s">
        <v>44</v>
      </c>
      <c r="L1542" s="1">
        <v>301.0</v>
      </c>
      <c r="M1542" s="1">
        <v>2002.0</v>
      </c>
      <c r="N1542" s="1">
        <v>2001.0</v>
      </c>
      <c r="P1542" s="2">
        <v>41402.0</v>
      </c>
      <c r="Q1542" s="1" t="s">
        <v>32</v>
      </c>
      <c r="R1542" s="1" t="s">
        <v>6861</v>
      </c>
      <c r="S1542" s="1" t="s">
        <v>32</v>
      </c>
      <c r="W1542" s="1">
        <v>0.0</v>
      </c>
      <c r="X1542" s="1">
        <v>0.0</v>
      </c>
    </row>
    <row r="1543" spans="1:24" ht="15.75" customHeight="1">
      <c r="A1543" s="1">
        <v>2.9430716E7</v>
      </c>
      <c r="B1543" s="1" t="s">
        <v>6862</v>
      </c>
      <c r="C1543" s="1" t="s">
        <v>6863</v>
      </c>
      <c r="D1543" s="1" t="s">
        <v>6864</v>
      </c>
      <c r="F1543" s="1" t="str">
        <f>"1501134574"</f>
        <v>1501134574</v>
      </c>
      <c r="G1543" s="1" t="str">
        <f>"9781501134579"</f>
        <v>9781501134579</v>
      </c>
      <c r="H1543" s="1">
        <v>0.0</v>
      </c>
      <c r="I1543" s="1">
        <v>3.79</v>
      </c>
      <c r="J1543" s="1" t="s">
        <v>622</v>
      </c>
      <c r="K1543" s="1" t="s">
        <v>44</v>
      </c>
      <c r="L1543" s="1">
        <v>304.0</v>
      </c>
      <c r="M1543" s="1">
        <v>2017.0</v>
      </c>
      <c r="N1543" s="1">
        <v>2017.0</v>
      </c>
      <c r="P1543" s="2">
        <v>42740.0</v>
      </c>
      <c r="Q1543" s="1" t="s">
        <v>32</v>
      </c>
      <c r="R1543" s="1" t="s">
        <v>6865</v>
      </c>
      <c r="S1543" s="1" t="s">
        <v>32</v>
      </c>
      <c r="W1543" s="1">
        <v>0.0</v>
      </c>
      <c r="X1543" s="1">
        <v>0.0</v>
      </c>
    </row>
    <row r="1544" spans="1:24" ht="15.75" customHeight="1">
      <c r="A1544" s="1">
        <v>183683.0</v>
      </c>
      <c r="B1544" s="1" t="s">
        <v>6866</v>
      </c>
      <c r="C1544" s="1" t="s">
        <v>6867</v>
      </c>
      <c r="D1544" s="1" t="s">
        <v>6868</v>
      </c>
      <c r="F1544" s="1" t="str">
        <f>"1585422509"</f>
        <v>1585422509</v>
      </c>
      <c r="G1544" s="1" t="str">
        <f>"9781585422500"</f>
        <v>9781585422500</v>
      </c>
      <c r="H1544" s="1">
        <v>0.0</v>
      </c>
      <c r="I1544" s="1">
        <v>4.27</v>
      </c>
      <c r="J1544" s="1" t="s">
        <v>5470</v>
      </c>
      <c r="K1544" s="1" t="s">
        <v>44</v>
      </c>
      <c r="L1544" s="1">
        <v>768.0</v>
      </c>
      <c r="M1544" s="1">
        <v>2003.0</v>
      </c>
      <c r="N1544" s="1">
        <v>1928.0</v>
      </c>
      <c r="P1544" s="2">
        <v>45059.0</v>
      </c>
      <c r="Q1544" s="1" t="s">
        <v>32</v>
      </c>
      <c r="R1544" s="1" t="s">
        <v>6869</v>
      </c>
      <c r="S1544" s="1" t="s">
        <v>32</v>
      </c>
      <c r="W1544" s="1">
        <v>0.0</v>
      </c>
      <c r="X1544" s="1">
        <v>0.0</v>
      </c>
    </row>
    <row r="1545" spans="1:24" ht="15.75" customHeight="1">
      <c r="A1545" s="1">
        <v>6565454.0</v>
      </c>
      <c r="B1545" s="1" t="s">
        <v>6870</v>
      </c>
      <c r="C1545" s="1" t="s">
        <v>6871</v>
      </c>
      <c r="D1545" s="1" t="s">
        <v>6872</v>
      </c>
      <c r="E1545" s="1" t="s">
        <v>6873</v>
      </c>
      <c r="F1545" s="1" t="str">
        <f>"159853050X"</f>
        <v>159853050X</v>
      </c>
      <c r="G1545" s="1" t="str">
        <f>"9781598530506"</f>
        <v>9781598530506</v>
      </c>
      <c r="H1545" s="1">
        <v>0.0</v>
      </c>
      <c r="I1545" s="1">
        <v>4.35</v>
      </c>
      <c r="J1545" s="1" t="s">
        <v>6874</v>
      </c>
      <c r="K1545" s="1" t="s">
        <v>37</v>
      </c>
      <c r="L1545" s="1">
        <v>1000.0</v>
      </c>
      <c r="M1545" s="1">
        <v>2009.0</v>
      </c>
      <c r="N1545" s="1">
        <v>2009.0</v>
      </c>
      <c r="P1545" s="3">
        <v>45255.0</v>
      </c>
      <c r="Q1545" s="1" t="s">
        <v>145</v>
      </c>
      <c r="R1545" s="1" t="s">
        <v>6875</v>
      </c>
      <c r="S1545" s="1" t="s">
        <v>32</v>
      </c>
      <c r="W1545" s="1">
        <v>0.0</v>
      </c>
      <c r="X1545" s="1">
        <v>0.0</v>
      </c>
    </row>
    <row r="1546" spans="1:24" ht="15.75" customHeight="1">
      <c r="A1546" s="1">
        <v>6.0717094E7</v>
      </c>
      <c r="B1546" s="1" t="s">
        <v>6876</v>
      </c>
      <c r="C1546" s="1" t="s">
        <v>6877</v>
      </c>
      <c r="D1546" s="1" t="s">
        <v>6878</v>
      </c>
      <c r="E1546" s="1" t="s">
        <v>6879</v>
      </c>
      <c r="F1546" s="1" t="str">
        <f>""</f>
        <v/>
      </c>
      <c r="G1546" s="1" t="str">
        <f>"9781908670717"</f>
        <v>9781908670717</v>
      </c>
      <c r="H1546" s="1">
        <v>0.0</v>
      </c>
      <c r="I1546" s="1">
        <v>3.97</v>
      </c>
      <c r="J1546" s="1" t="s">
        <v>6880</v>
      </c>
      <c r="K1546" s="1" t="s">
        <v>44</v>
      </c>
      <c r="L1546" s="1">
        <v>192.0</v>
      </c>
      <c r="M1546" s="1">
        <v>2022.0</v>
      </c>
      <c r="N1546" s="1">
        <v>2020.0</v>
      </c>
      <c r="P1546" s="2">
        <v>45175.0</v>
      </c>
      <c r="Q1546" s="1" t="s">
        <v>32</v>
      </c>
      <c r="R1546" s="1" t="s">
        <v>6881</v>
      </c>
      <c r="S1546" s="1" t="s">
        <v>32</v>
      </c>
      <c r="W1546" s="1">
        <v>0.0</v>
      </c>
      <c r="X1546" s="1">
        <v>0.0</v>
      </c>
    </row>
    <row r="1547" spans="1:24" ht="15.75" customHeight="1">
      <c r="A1547" s="1">
        <v>6.2337366E7</v>
      </c>
      <c r="B1547" s="1" t="s">
        <v>6882</v>
      </c>
      <c r="C1547" s="1" t="s">
        <v>6883</v>
      </c>
      <c r="D1547" s="1" t="s">
        <v>6884</v>
      </c>
      <c r="F1547" s="1" t="str">
        <f>"164622146X"</f>
        <v>164622146X</v>
      </c>
      <c r="G1547" s="1" t="str">
        <f>"9781646221462"</f>
        <v>9781646221462</v>
      </c>
      <c r="H1547" s="1">
        <v>0.0</v>
      </c>
      <c r="I1547" s="1">
        <v>3.56</v>
      </c>
      <c r="J1547" s="1" t="s">
        <v>6428</v>
      </c>
      <c r="K1547" s="1" t="s">
        <v>37</v>
      </c>
      <c r="L1547" s="1">
        <v>208.0</v>
      </c>
      <c r="M1547" s="1">
        <v>2023.0</v>
      </c>
      <c r="N1547" s="1">
        <v>2023.0</v>
      </c>
      <c r="P1547" s="2">
        <v>45088.0</v>
      </c>
      <c r="Q1547" s="1" t="s">
        <v>6885</v>
      </c>
      <c r="R1547" s="1" t="s">
        <v>6886</v>
      </c>
      <c r="S1547" s="1" t="s">
        <v>32</v>
      </c>
      <c r="W1547" s="1">
        <v>0.0</v>
      </c>
      <c r="X1547" s="1">
        <v>0.0</v>
      </c>
    </row>
    <row r="1548" spans="1:24" ht="15.75" customHeight="1">
      <c r="A1548" s="1">
        <v>1.342278E7</v>
      </c>
      <c r="B1548" s="1" t="s">
        <v>6887</v>
      </c>
      <c r="C1548" s="1" t="s">
        <v>6888</v>
      </c>
      <c r="D1548" s="1" t="s">
        <v>6889</v>
      </c>
      <c r="F1548" s="1" t="str">
        <f t="shared" si="112" ref="F1548:G1548">""</f>
        <v/>
      </c>
      <c r="G1548" s="1" t="str">
        <f t="shared" si="112"/>
        <v/>
      </c>
      <c r="H1548" s="1">
        <v>0.0</v>
      </c>
      <c r="I1548" s="1">
        <v>4.6</v>
      </c>
      <c r="K1548" s="1" t="s">
        <v>44</v>
      </c>
      <c r="L1548" s="1">
        <v>272.0</v>
      </c>
      <c r="M1548" s="1">
        <v>1916.0</v>
      </c>
      <c r="P1548" s="2">
        <v>44206.0</v>
      </c>
      <c r="Q1548" s="1" t="s">
        <v>32</v>
      </c>
      <c r="R1548" s="1" t="s">
        <v>6890</v>
      </c>
      <c r="S1548" s="1" t="s">
        <v>32</v>
      </c>
      <c r="W1548" s="1">
        <v>0.0</v>
      </c>
      <c r="X1548" s="1">
        <v>0.0</v>
      </c>
    </row>
    <row r="1549" spans="1:24" ht="15.75" customHeight="1">
      <c r="A1549" s="1">
        <v>1.8802E7</v>
      </c>
      <c r="B1549" s="1" t="s">
        <v>6891</v>
      </c>
      <c r="C1549" s="1" t="s">
        <v>6892</v>
      </c>
      <c r="D1549" s="1" t="s">
        <v>6893</v>
      </c>
      <c r="F1549" s="1" t="str">
        <f t="shared" si="113" ref="F1549:G1549">""</f>
        <v/>
      </c>
      <c r="G1549" s="1" t="str">
        <f t="shared" si="113"/>
        <v/>
      </c>
      <c r="H1549" s="1">
        <v>0.0</v>
      </c>
      <c r="I1549" s="1">
        <v>4.0</v>
      </c>
      <c r="J1549" s="1" t="s">
        <v>6894</v>
      </c>
      <c r="K1549" s="1" t="s">
        <v>44</v>
      </c>
      <c r="L1549" s="1">
        <v>287.0</v>
      </c>
      <c r="M1549" s="1">
        <v>1978.0</v>
      </c>
      <c r="N1549" s="1">
        <v>1978.0</v>
      </c>
      <c r="P1549" s="2">
        <v>45303.0</v>
      </c>
      <c r="Q1549" s="1" t="s">
        <v>30</v>
      </c>
      <c r="R1549" s="1" t="s">
        <v>6895</v>
      </c>
      <c r="S1549" s="1" t="s">
        <v>32</v>
      </c>
      <c r="W1549" s="1">
        <v>0.0</v>
      </c>
      <c r="X1549" s="1">
        <v>0.0</v>
      </c>
    </row>
    <row r="1550" spans="1:24" ht="15.75" customHeight="1">
      <c r="A1550" s="1">
        <v>5.7070382E7</v>
      </c>
      <c r="B1550" s="1" t="s">
        <v>6896</v>
      </c>
      <c r="C1550" s="1" t="s">
        <v>6897</v>
      </c>
      <c r="D1550" s="1" t="s">
        <v>6898</v>
      </c>
      <c r="F1550" s="1" t="str">
        <f>"1620976544"</f>
        <v>1620976544</v>
      </c>
      <c r="G1550" s="1" t="str">
        <f>"9781620976548"</f>
        <v>9781620976548</v>
      </c>
      <c r="H1550" s="1">
        <v>0.0</v>
      </c>
      <c r="I1550" s="1">
        <v>4.4</v>
      </c>
      <c r="J1550" s="1" t="s">
        <v>1104</v>
      </c>
      <c r="K1550" s="1" t="s">
        <v>37</v>
      </c>
      <c r="L1550" s="1">
        <v>240.0</v>
      </c>
      <c r="M1550" s="1">
        <v>2021.0</v>
      </c>
      <c r="P1550" s="2">
        <v>44340.0</v>
      </c>
      <c r="Q1550" s="1" t="s">
        <v>32</v>
      </c>
      <c r="R1550" s="1" t="s">
        <v>6899</v>
      </c>
      <c r="S1550" s="1" t="s">
        <v>32</v>
      </c>
      <c r="W1550" s="1">
        <v>0.0</v>
      </c>
      <c r="X1550" s="1">
        <v>0.0</v>
      </c>
    </row>
    <row r="1551" spans="1:24" ht="15.75" customHeight="1">
      <c r="A1551" s="1">
        <v>5.3496557E7</v>
      </c>
      <c r="B1551" s="1" t="s">
        <v>6900</v>
      </c>
      <c r="C1551" s="1" t="s">
        <v>6901</v>
      </c>
      <c r="D1551" s="1" t="s">
        <v>6902</v>
      </c>
      <c r="E1551" s="1" t="s">
        <v>6903</v>
      </c>
      <c r="F1551" s="1" t="str">
        <f>"1620975920"</f>
        <v>1620975920</v>
      </c>
      <c r="G1551" s="1" t="str">
        <f>"9781620975923"</f>
        <v>9781620975923</v>
      </c>
      <c r="H1551" s="1">
        <v>0.0</v>
      </c>
      <c r="I1551" s="1">
        <v>4.21</v>
      </c>
      <c r="J1551" s="1" t="s">
        <v>1104</v>
      </c>
      <c r="K1551" s="1" t="s">
        <v>37</v>
      </c>
      <c r="L1551" s="1">
        <v>227.0</v>
      </c>
      <c r="M1551" s="1">
        <v>2021.0</v>
      </c>
      <c r="N1551" s="1">
        <v>2021.0</v>
      </c>
      <c r="P1551" s="3">
        <v>45246.0</v>
      </c>
      <c r="Q1551" s="1" t="s">
        <v>55</v>
      </c>
      <c r="R1551" s="1" t="s">
        <v>6904</v>
      </c>
      <c r="S1551" s="1" t="s">
        <v>32</v>
      </c>
      <c r="W1551" s="1">
        <v>0.0</v>
      </c>
      <c r="X1551" s="1">
        <v>0.0</v>
      </c>
    </row>
    <row r="1552" spans="1:24" ht="15.75" customHeight="1">
      <c r="A1552" s="1">
        <v>1.3614447E7</v>
      </c>
      <c r="B1552" s="1" t="s">
        <v>6905</v>
      </c>
      <c r="C1552" s="1" t="s">
        <v>6906</v>
      </c>
      <c r="D1552" s="1" t="s">
        <v>6907</v>
      </c>
      <c r="E1552" s="1" t="s">
        <v>6908</v>
      </c>
      <c r="F1552" s="1" t="str">
        <f>"0984115587"</f>
        <v>0984115587</v>
      </c>
      <c r="G1552" s="1" t="str">
        <f>"9780984115587"</f>
        <v>9780984115587</v>
      </c>
      <c r="H1552" s="1">
        <v>0.0</v>
      </c>
      <c r="I1552" s="1">
        <v>4.1</v>
      </c>
      <c r="J1552" s="1" t="s">
        <v>4378</v>
      </c>
      <c r="K1552" s="1" t="s">
        <v>44</v>
      </c>
      <c r="L1552" s="1">
        <v>136.0</v>
      </c>
      <c r="M1552" s="1">
        <v>2012.0</v>
      </c>
      <c r="N1552" s="1">
        <v>1894.0</v>
      </c>
      <c r="P1552" s="2">
        <v>45239.0</v>
      </c>
      <c r="Q1552" s="1" t="s">
        <v>145</v>
      </c>
      <c r="R1552" s="1" t="s">
        <v>6909</v>
      </c>
      <c r="S1552" s="1" t="s">
        <v>32</v>
      </c>
      <c r="W1552" s="1">
        <v>0.0</v>
      </c>
      <c r="X1552" s="1">
        <v>0.0</v>
      </c>
    </row>
    <row r="1553" spans="1:24" ht="15.75" customHeight="1">
      <c r="A1553" s="1">
        <v>3.427225E7</v>
      </c>
      <c r="B1553" s="1" t="s">
        <v>6910</v>
      </c>
      <c r="C1553" s="1" t="s">
        <v>6911</v>
      </c>
      <c r="D1553" s="1" t="s">
        <v>6912</v>
      </c>
      <c r="F1553" s="1" t="str">
        <f t="shared" si="114" ref="F1553:G1553">""</f>
        <v/>
      </c>
      <c r="G1553" s="1" t="str">
        <f t="shared" si="114"/>
        <v/>
      </c>
      <c r="H1553" s="1">
        <v>0.0</v>
      </c>
      <c r="I1553" s="1">
        <v>3.86</v>
      </c>
      <c r="J1553" s="1" t="s">
        <v>6913</v>
      </c>
      <c r="K1553" s="1" t="s">
        <v>29</v>
      </c>
      <c r="L1553" s="1">
        <v>120.0</v>
      </c>
      <c r="M1553" s="1">
        <v>2017.0</v>
      </c>
      <c r="P1553" s="3">
        <v>45279.0</v>
      </c>
      <c r="Q1553" s="1" t="s">
        <v>3356</v>
      </c>
      <c r="R1553" s="1" t="s">
        <v>6914</v>
      </c>
      <c r="S1553" s="1" t="s">
        <v>32</v>
      </c>
      <c r="W1553" s="1">
        <v>0.0</v>
      </c>
      <c r="X1553" s="1">
        <v>0.0</v>
      </c>
    </row>
    <row r="1554" spans="1:24" ht="15.75" customHeight="1">
      <c r="A1554" s="1">
        <v>5.2299568E7</v>
      </c>
      <c r="B1554" s="1" t="s">
        <v>6915</v>
      </c>
      <c r="C1554" s="1" t="s">
        <v>6916</v>
      </c>
      <c r="D1554" s="1" t="s">
        <v>6917</v>
      </c>
      <c r="F1554" s="1" t="str">
        <f>"1612198627"</f>
        <v>1612198627</v>
      </c>
      <c r="G1554" s="1" t="str">
        <f>""</f>
        <v/>
      </c>
      <c r="H1554" s="1">
        <v>0.0</v>
      </c>
      <c r="I1554" s="1">
        <v>4.2</v>
      </c>
      <c r="J1554" s="1" t="s">
        <v>2462</v>
      </c>
      <c r="K1554" s="1" t="s">
        <v>37</v>
      </c>
      <c r="M1554" s="1">
        <v>2021.0</v>
      </c>
      <c r="N1554" s="1">
        <v>2021.0</v>
      </c>
      <c r="P1554" s="2">
        <v>44216.0</v>
      </c>
      <c r="Q1554" s="1" t="s">
        <v>32</v>
      </c>
      <c r="R1554" s="1" t="s">
        <v>6918</v>
      </c>
      <c r="S1554" s="1" t="s">
        <v>32</v>
      </c>
      <c r="W1554" s="1">
        <v>0.0</v>
      </c>
      <c r="X1554" s="1">
        <v>0.0</v>
      </c>
    </row>
    <row r="1555" spans="1:24" ht="15.75" customHeight="1">
      <c r="A1555" s="1">
        <v>30659.0</v>
      </c>
      <c r="B1555" s="1" t="s">
        <v>6919</v>
      </c>
      <c r="C1555" s="1" t="s">
        <v>6920</v>
      </c>
      <c r="D1555" s="1" t="s">
        <v>6921</v>
      </c>
      <c r="E1555" s="1" t="s">
        <v>6922</v>
      </c>
      <c r="F1555" s="1" t="str">
        <f>"0140449337"</f>
        <v>0140449337</v>
      </c>
      <c r="G1555" s="1" t="str">
        <f>"9780140449334"</f>
        <v>9780140449334</v>
      </c>
      <c r="H1555" s="1">
        <v>0.0</v>
      </c>
      <c r="I1555" s="1">
        <v>4.28</v>
      </c>
      <c r="J1555" s="1" t="s">
        <v>309</v>
      </c>
      <c r="K1555" s="1" t="s">
        <v>44</v>
      </c>
      <c r="L1555" s="1">
        <v>254.0</v>
      </c>
      <c r="M1555" s="1">
        <v>2006.0</v>
      </c>
      <c r="N1555" s="1">
        <v>-180.0</v>
      </c>
      <c r="P1555" s="2">
        <v>41612.0</v>
      </c>
      <c r="Q1555" s="1" t="s">
        <v>32</v>
      </c>
      <c r="R1555" s="1" t="s">
        <v>6923</v>
      </c>
      <c r="S1555" s="1" t="s">
        <v>32</v>
      </c>
      <c r="W1555" s="1">
        <v>0.0</v>
      </c>
      <c r="X1555" s="1">
        <v>0.0</v>
      </c>
    </row>
    <row r="1556" spans="1:24" ht="15.75" customHeight="1">
      <c r="A1556" s="1">
        <v>17645.0</v>
      </c>
      <c r="B1556" s="1" t="s">
        <v>6924</v>
      </c>
      <c r="C1556" s="1" t="s">
        <v>6925</v>
      </c>
      <c r="D1556" s="1" t="s">
        <v>6926</v>
      </c>
      <c r="F1556" s="1" t="str">
        <f>"1841957178"</f>
        <v>1841957178</v>
      </c>
      <c r="G1556" s="1" t="str">
        <f>"9781841957173"</f>
        <v>9781841957173</v>
      </c>
      <c r="H1556" s="1">
        <v>0.0</v>
      </c>
      <c r="I1556" s="1">
        <v>3.72</v>
      </c>
      <c r="J1556" s="1" t="s">
        <v>6927</v>
      </c>
      <c r="K1556" s="1" t="s">
        <v>37</v>
      </c>
      <c r="L1556" s="1">
        <v>198.0</v>
      </c>
      <c r="M1556" s="1">
        <v>2005.0</v>
      </c>
      <c r="N1556" s="1">
        <v>2005.0</v>
      </c>
      <c r="P1556" s="2">
        <v>45112.0</v>
      </c>
      <c r="Q1556" s="1" t="s">
        <v>1979</v>
      </c>
      <c r="R1556" s="1" t="s">
        <v>6928</v>
      </c>
      <c r="S1556" s="1" t="s">
        <v>32</v>
      </c>
      <c r="W1556" s="1">
        <v>0.0</v>
      </c>
      <c r="X1556" s="1">
        <v>0.0</v>
      </c>
    </row>
    <row r="1557" spans="1:24" ht="15.75" customHeight="1">
      <c r="A1557" s="1">
        <v>4.2975172E7</v>
      </c>
      <c r="B1557" s="1" t="s">
        <v>6929</v>
      </c>
      <c r="C1557" s="1" t="s">
        <v>6925</v>
      </c>
      <c r="D1557" s="1" t="s">
        <v>6926</v>
      </c>
      <c r="F1557" s="1" t="str">
        <f t="shared" si="115" ref="F1557:G1557">""</f>
        <v/>
      </c>
      <c r="G1557" s="1" t="str">
        <f t="shared" si="115"/>
        <v/>
      </c>
      <c r="H1557" s="1">
        <v>0.0</v>
      </c>
      <c r="I1557" s="1">
        <v>4.19</v>
      </c>
      <c r="J1557" s="1" t="s">
        <v>1978</v>
      </c>
      <c r="K1557" s="1" t="s">
        <v>37</v>
      </c>
      <c r="L1557" s="1">
        <v>422.0</v>
      </c>
      <c r="M1557" s="1">
        <v>2019.0</v>
      </c>
      <c r="N1557" s="1">
        <v>2019.0</v>
      </c>
      <c r="P1557" s="2">
        <v>45111.0</v>
      </c>
      <c r="Q1557" s="1" t="s">
        <v>261</v>
      </c>
      <c r="R1557" s="1" t="s">
        <v>6930</v>
      </c>
      <c r="S1557" s="1" t="s">
        <v>32</v>
      </c>
      <c r="W1557" s="1">
        <v>0.0</v>
      </c>
      <c r="X1557" s="1">
        <v>0.0</v>
      </c>
    </row>
    <row r="1558" spans="1:24" ht="15.75" customHeight="1">
      <c r="A1558" s="1">
        <v>78433.0</v>
      </c>
      <c r="B1558" s="1" t="s">
        <v>6931</v>
      </c>
      <c r="C1558" s="1" t="s">
        <v>6925</v>
      </c>
      <c r="D1558" s="1" t="s">
        <v>6926</v>
      </c>
      <c r="F1558" s="1" t="str">
        <f t="shared" si="116" ref="F1558:G1558">""</f>
        <v/>
      </c>
      <c r="G1558" s="1" t="str">
        <f t="shared" si="116"/>
        <v/>
      </c>
      <c r="H1558" s="1">
        <v>0.0</v>
      </c>
      <c r="I1558" s="1">
        <v>3.96</v>
      </c>
      <c r="J1558" s="1" t="s">
        <v>6932</v>
      </c>
      <c r="K1558" s="1" t="s">
        <v>44</v>
      </c>
      <c r="L1558" s="1">
        <v>637.0</v>
      </c>
      <c r="M1558" s="1">
        <v>2001.0</v>
      </c>
      <c r="N1558" s="1">
        <v>2000.0</v>
      </c>
      <c r="P1558" s="2">
        <v>45111.0</v>
      </c>
      <c r="Q1558" s="1" t="s">
        <v>261</v>
      </c>
      <c r="R1558" s="1" t="s">
        <v>6933</v>
      </c>
      <c r="S1558" s="1" t="s">
        <v>32</v>
      </c>
      <c r="W1558" s="1">
        <v>0.0</v>
      </c>
      <c r="X1558" s="1">
        <v>0.0</v>
      </c>
    </row>
    <row r="1559" spans="1:24" ht="15.75" customHeight="1">
      <c r="A1559" s="1">
        <v>17647.0</v>
      </c>
      <c r="B1559" s="1" t="s">
        <v>6934</v>
      </c>
      <c r="C1559" s="1" t="s">
        <v>6925</v>
      </c>
      <c r="D1559" s="1" t="s">
        <v>6926</v>
      </c>
      <c r="F1559" s="1" t="str">
        <f>"1844080277"</f>
        <v>1844080277</v>
      </c>
      <c r="G1559" s="1" t="str">
        <f>"9781844080274"</f>
        <v>9781844080274</v>
      </c>
      <c r="H1559" s="1">
        <v>0.0</v>
      </c>
      <c r="I1559" s="1">
        <v>3.9</v>
      </c>
      <c r="J1559" s="1" t="s">
        <v>6935</v>
      </c>
      <c r="K1559" s="1" t="s">
        <v>44</v>
      </c>
      <c r="L1559" s="1">
        <v>198.0</v>
      </c>
      <c r="M1559" s="1">
        <v>2003.0</v>
      </c>
      <c r="N1559" s="1">
        <v>2002.0</v>
      </c>
      <c r="P1559" s="2">
        <v>42345.0</v>
      </c>
      <c r="Q1559" s="1" t="s">
        <v>32</v>
      </c>
      <c r="R1559" s="1" t="s">
        <v>6936</v>
      </c>
      <c r="S1559" s="1" t="s">
        <v>32</v>
      </c>
      <c r="W1559" s="1">
        <v>0.0</v>
      </c>
      <c r="X1559" s="1">
        <v>0.0</v>
      </c>
    </row>
    <row r="1560" spans="1:24" ht="15.75" customHeight="1">
      <c r="A1560" s="1">
        <v>305483.0</v>
      </c>
      <c r="B1560" s="1" t="s">
        <v>6937</v>
      </c>
      <c r="C1560" s="1" t="s">
        <v>6938</v>
      </c>
      <c r="D1560" s="1" t="s">
        <v>6939</v>
      </c>
      <c r="F1560" s="1" t="str">
        <f>"0198614535"</f>
        <v>0198614535</v>
      </c>
      <c r="G1560" s="1" t="str">
        <f>"9780198614531"</f>
        <v>9780198614531</v>
      </c>
      <c r="H1560" s="1">
        <v>0.0</v>
      </c>
      <c r="I1560" s="1">
        <v>4.17</v>
      </c>
      <c r="J1560" s="1" t="s">
        <v>181</v>
      </c>
      <c r="K1560" s="1" t="s">
        <v>37</v>
      </c>
      <c r="L1560" s="1">
        <v>1184.0</v>
      </c>
      <c r="M1560" s="1">
        <v>2006.0</v>
      </c>
      <c r="N1560" s="1">
        <v>1985.0</v>
      </c>
      <c r="P1560" s="2">
        <v>45116.0</v>
      </c>
      <c r="Q1560" s="1" t="s">
        <v>32</v>
      </c>
      <c r="R1560" s="1" t="s">
        <v>6940</v>
      </c>
      <c r="S1560" s="1" t="s">
        <v>32</v>
      </c>
      <c r="W1560" s="1">
        <v>0.0</v>
      </c>
      <c r="X1560" s="1">
        <v>0.0</v>
      </c>
    </row>
    <row r="1561" spans="1:24" ht="15.75" customHeight="1">
      <c r="A1561" s="1">
        <v>6668872.0</v>
      </c>
      <c r="B1561" s="1" t="s">
        <v>6941</v>
      </c>
      <c r="C1561" s="1" t="s">
        <v>6942</v>
      </c>
      <c r="D1561" s="1" t="s">
        <v>6943</v>
      </c>
      <c r="F1561" s="1" t="str">
        <f>"0691135983"</f>
        <v>0691135983</v>
      </c>
      <c r="G1561" s="1" t="str">
        <f>"9780691135984"</f>
        <v>9780691135984</v>
      </c>
      <c r="H1561" s="1">
        <v>0.0</v>
      </c>
      <c r="I1561" s="1">
        <v>4.1</v>
      </c>
      <c r="J1561" s="1" t="s">
        <v>1011</v>
      </c>
      <c r="K1561" s="1" t="s">
        <v>37</v>
      </c>
      <c r="L1561" s="1">
        <v>296.0</v>
      </c>
      <c r="M1561" s="1">
        <v>2009.0</v>
      </c>
      <c r="N1561" s="1">
        <v>2009.0</v>
      </c>
      <c r="P1561" s="2">
        <v>43117.0</v>
      </c>
      <c r="Q1561" s="1" t="s">
        <v>32</v>
      </c>
      <c r="R1561" s="1" t="s">
        <v>6944</v>
      </c>
      <c r="S1561" s="1" t="s">
        <v>32</v>
      </c>
      <c r="W1561" s="1">
        <v>0.0</v>
      </c>
      <c r="X1561" s="1">
        <v>0.0</v>
      </c>
    </row>
    <row r="1562" spans="1:24" ht="15.75" customHeight="1">
      <c r="A1562" s="1">
        <v>4.9393809E7</v>
      </c>
      <c r="B1562" s="1" t="s">
        <v>6945</v>
      </c>
      <c r="C1562" s="1" t="s">
        <v>6946</v>
      </c>
      <c r="D1562" s="1" t="s">
        <v>6947</v>
      </c>
      <c r="E1562" s="1" t="s">
        <v>6948</v>
      </c>
      <c r="F1562" s="1" t="str">
        <f>"0375700528"</f>
        <v>0375700528</v>
      </c>
      <c r="G1562" s="1" t="str">
        <f>"9780375700521"</f>
        <v>9780375700521</v>
      </c>
      <c r="H1562" s="1">
        <v>0.0</v>
      </c>
      <c r="I1562" s="1">
        <v>3.73</v>
      </c>
      <c r="J1562" s="1" t="s">
        <v>4417</v>
      </c>
      <c r="K1562" s="1" t="s">
        <v>44</v>
      </c>
      <c r="L1562" s="1">
        <v>117.0</v>
      </c>
      <c r="M1562" s="1">
        <v>1998.0</v>
      </c>
      <c r="N1562" s="1">
        <v>1984.0</v>
      </c>
      <c r="P1562" s="2">
        <v>45105.0</v>
      </c>
      <c r="Q1562" s="1" t="s">
        <v>32</v>
      </c>
      <c r="R1562" s="1" t="s">
        <v>6949</v>
      </c>
      <c r="S1562" s="1" t="s">
        <v>32</v>
      </c>
      <c r="W1562" s="1">
        <v>0.0</v>
      </c>
      <c r="X1562" s="1">
        <v>0.0</v>
      </c>
    </row>
    <row r="1563" spans="1:24" ht="15.75" customHeight="1">
      <c r="A1563" s="1">
        <v>284483.0</v>
      </c>
      <c r="B1563" s="1" t="s">
        <v>6950</v>
      </c>
      <c r="C1563" s="1" t="s">
        <v>6951</v>
      </c>
      <c r="D1563" s="1" t="s">
        <v>6952</v>
      </c>
      <c r="F1563" s="1" t="str">
        <f>"0195134168"</f>
        <v>0195134168</v>
      </c>
      <c r="G1563" s="1" t="str">
        <f>"9780195134162"</f>
        <v>9780195134162</v>
      </c>
      <c r="H1563" s="1">
        <v>0.0</v>
      </c>
      <c r="I1563" s="1">
        <v>4.24</v>
      </c>
      <c r="J1563" s="1" t="s">
        <v>181</v>
      </c>
      <c r="K1563" s="1" t="s">
        <v>44</v>
      </c>
      <c r="L1563" s="1">
        <v>320.0</v>
      </c>
      <c r="M1563" s="1">
        <v>1999.0</v>
      </c>
      <c r="N1563" s="1">
        <v>1998.0</v>
      </c>
      <c r="P1563" s="3">
        <v>43087.0</v>
      </c>
      <c r="Q1563" s="1" t="s">
        <v>2129</v>
      </c>
      <c r="R1563" s="1" t="s">
        <v>6953</v>
      </c>
      <c r="S1563" s="1" t="s">
        <v>32</v>
      </c>
      <c r="W1563" s="1">
        <v>0.0</v>
      </c>
      <c r="X1563" s="1">
        <v>0.0</v>
      </c>
    </row>
    <row r="1564" spans="1:24" ht="15.75" customHeight="1">
      <c r="A1564" s="1">
        <v>2.0204808E7</v>
      </c>
      <c r="B1564" s="1" t="s">
        <v>6954</v>
      </c>
      <c r="C1564" s="1" t="s">
        <v>6951</v>
      </c>
      <c r="D1564" s="1" t="s">
        <v>6952</v>
      </c>
      <c r="F1564" s="1" t="str">
        <f t="shared" si="117" ref="F1564:G1564">""</f>
        <v/>
      </c>
      <c r="G1564" s="1" t="str">
        <f t="shared" si="117"/>
        <v/>
      </c>
      <c r="H1564" s="1">
        <v>0.0</v>
      </c>
      <c r="I1564" s="1">
        <v>4.48</v>
      </c>
      <c r="J1564" s="1" t="s">
        <v>181</v>
      </c>
      <c r="K1564" s="1" t="s">
        <v>29</v>
      </c>
      <c r="L1564" s="1">
        <v>409.0</v>
      </c>
      <c r="M1564" s="1">
        <v>2011.0</v>
      </c>
      <c r="N1564" s="1">
        <v>2011.0</v>
      </c>
      <c r="P1564" s="3">
        <v>45214.0</v>
      </c>
      <c r="Q1564" s="1" t="s">
        <v>3356</v>
      </c>
      <c r="R1564" s="1" t="s">
        <v>6955</v>
      </c>
      <c r="S1564" s="1" t="s">
        <v>32</v>
      </c>
      <c r="W1564" s="1">
        <v>0.0</v>
      </c>
      <c r="X1564" s="1">
        <v>0.0</v>
      </c>
    </row>
    <row r="1565" spans="1:24" ht="15.75" customHeight="1">
      <c r="A1565" s="1">
        <v>1.27774117E8</v>
      </c>
      <c r="B1565" s="1" t="s">
        <v>6956</v>
      </c>
      <c r="C1565" s="1" t="s">
        <v>6957</v>
      </c>
      <c r="D1565" s="1" t="s">
        <v>6958</v>
      </c>
      <c r="F1565" s="1" t="str">
        <f t="shared" si="118" ref="F1565:G1565">""</f>
        <v/>
      </c>
      <c r="G1565" s="1" t="str">
        <f t="shared" si="118"/>
        <v/>
      </c>
      <c r="H1565" s="1">
        <v>0.0</v>
      </c>
      <c r="I1565" s="1">
        <v>3.71</v>
      </c>
      <c r="J1565" s="1" t="s">
        <v>1234</v>
      </c>
      <c r="K1565" s="1" t="s">
        <v>44</v>
      </c>
      <c r="L1565" s="1">
        <v>0.0</v>
      </c>
      <c r="M1565" s="1">
        <v>1970.0</v>
      </c>
      <c r="N1565" s="1">
        <v>1947.0</v>
      </c>
      <c r="P1565" s="2">
        <v>45163.0</v>
      </c>
      <c r="Q1565" s="1" t="s">
        <v>115</v>
      </c>
      <c r="R1565" s="1" t="s">
        <v>6959</v>
      </c>
      <c r="S1565" s="1" t="s">
        <v>32</v>
      </c>
      <c r="V1565" s="1" t="s">
        <v>3620</v>
      </c>
      <c r="W1565" s="1">
        <v>0.0</v>
      </c>
      <c r="X1565" s="1">
        <v>1.0</v>
      </c>
    </row>
    <row r="1566" spans="1:24" ht="15.75" customHeight="1">
      <c r="A1566" s="1">
        <v>1.25351784E8</v>
      </c>
      <c r="B1566" s="1" t="s">
        <v>6960</v>
      </c>
      <c r="C1566" s="1" t="s">
        <v>6961</v>
      </c>
      <c r="D1566" s="1" t="s">
        <v>6962</v>
      </c>
      <c r="F1566" s="1" t="str">
        <f t="shared" si="119" ref="F1566:G1566">""</f>
        <v/>
      </c>
      <c r="G1566" s="1" t="str">
        <f t="shared" si="119"/>
        <v/>
      </c>
      <c r="H1566" s="1">
        <v>0.0</v>
      </c>
      <c r="I1566" s="1">
        <v>4.26</v>
      </c>
      <c r="J1566" s="1" t="s">
        <v>2337</v>
      </c>
      <c r="K1566" s="1" t="s">
        <v>44</v>
      </c>
      <c r="M1566" s="1">
        <v>1980.0</v>
      </c>
      <c r="N1566" s="1">
        <v>1965.0</v>
      </c>
      <c r="P1566" s="2">
        <v>45114.0</v>
      </c>
      <c r="Q1566" s="1" t="s">
        <v>818</v>
      </c>
      <c r="R1566" s="1" t="s">
        <v>6963</v>
      </c>
      <c r="S1566" s="1" t="s">
        <v>32</v>
      </c>
      <c r="W1566" s="1">
        <v>1.0</v>
      </c>
      <c r="X1566" s="1">
        <v>1.0</v>
      </c>
    </row>
    <row r="1567" spans="1:24" ht="15.75" customHeight="1">
      <c r="A1567" s="1">
        <v>596522.0</v>
      </c>
      <c r="B1567" s="1" t="s">
        <v>6964</v>
      </c>
      <c r="C1567" s="1" t="s">
        <v>6961</v>
      </c>
      <c r="D1567" s="1" t="s">
        <v>6962</v>
      </c>
      <c r="F1567" s="1" t="str">
        <f>"1564780147"</f>
        <v>1564780147</v>
      </c>
      <c r="G1567" s="1" t="str">
        <f>"9781564780140"</f>
        <v>9781564780140</v>
      </c>
      <c r="H1567" s="1">
        <v>0.0</v>
      </c>
      <c r="I1567" s="1">
        <v>4.43</v>
      </c>
      <c r="J1567" s="1" t="s">
        <v>2337</v>
      </c>
      <c r="K1567" s="1" t="s">
        <v>44</v>
      </c>
      <c r="L1567" s="1">
        <v>580.0</v>
      </c>
      <c r="M1567" s="1">
        <v>1993.0</v>
      </c>
      <c r="N1567" s="1">
        <v>1965.0</v>
      </c>
      <c r="P1567" s="2">
        <v>45114.0</v>
      </c>
      <c r="Q1567" s="1" t="s">
        <v>818</v>
      </c>
      <c r="R1567" s="1" t="s">
        <v>6965</v>
      </c>
      <c r="S1567" s="1" t="s">
        <v>32</v>
      </c>
      <c r="W1567" s="1">
        <v>0.0</v>
      </c>
      <c r="X1567" s="1">
        <v>1.0</v>
      </c>
    </row>
    <row r="1568" spans="1:24" ht="15.75" customHeight="1">
      <c r="A1568" s="1">
        <v>1100618.0</v>
      </c>
      <c r="B1568" s="1" t="s">
        <v>6966</v>
      </c>
      <c r="C1568" s="1" t="s">
        <v>6967</v>
      </c>
      <c r="D1568" s="1" t="s">
        <v>6968</v>
      </c>
      <c r="E1568" s="1" t="s">
        <v>6969</v>
      </c>
      <c r="F1568" s="1" t="str">
        <f>"0374503486"</f>
        <v>0374503486</v>
      </c>
      <c r="G1568" s="1" t="str">
        <f>"9780374503482"</f>
        <v>9780374503482</v>
      </c>
      <c r="H1568" s="1">
        <v>0.0</v>
      </c>
      <c r="I1568" s="1">
        <v>4.23</v>
      </c>
      <c r="J1568" s="1" t="s">
        <v>438</v>
      </c>
      <c r="K1568" s="1" t="s">
        <v>44</v>
      </c>
      <c r="L1568" s="1">
        <v>347.0</v>
      </c>
      <c r="M1568" s="1">
        <v>1990.0</v>
      </c>
      <c r="N1568" s="1">
        <v>1951.0</v>
      </c>
      <c r="P1568" s="2">
        <v>45113.0</v>
      </c>
      <c r="Q1568" s="1" t="s">
        <v>4539</v>
      </c>
      <c r="R1568" s="1" t="s">
        <v>6970</v>
      </c>
      <c r="S1568" s="1" t="s">
        <v>32</v>
      </c>
      <c r="W1568" s="1">
        <v>0.0</v>
      </c>
      <c r="X1568" s="1">
        <v>1.0</v>
      </c>
    </row>
    <row r="1569" spans="1:24" ht="15.75" customHeight="1">
      <c r="A1569" s="1">
        <v>271487.0</v>
      </c>
      <c r="B1569" s="1" t="s">
        <v>6971</v>
      </c>
      <c r="C1569" s="1" t="s">
        <v>6972</v>
      </c>
      <c r="D1569" s="1" t="s">
        <v>6973</v>
      </c>
      <c r="F1569" s="1" t="str">
        <f>"015601226X"</f>
        <v>015601226X</v>
      </c>
      <c r="G1569" s="1" t="str">
        <f>"9780156012263"</f>
        <v>9780156012263</v>
      </c>
      <c r="H1569" s="1">
        <v>0.0</v>
      </c>
      <c r="I1569" s="1">
        <v>3.91</v>
      </c>
      <c r="J1569" s="1" t="s">
        <v>6974</v>
      </c>
      <c r="K1569" s="1" t="s">
        <v>44</v>
      </c>
      <c r="L1569" s="1">
        <v>565.0</v>
      </c>
      <c r="M1569" s="1">
        <v>2003.0</v>
      </c>
      <c r="N1569" s="1">
        <v>2001.0</v>
      </c>
      <c r="P1569" s="2">
        <v>43922.0</v>
      </c>
      <c r="Q1569" s="1" t="s">
        <v>218</v>
      </c>
      <c r="R1569" s="1" t="s">
        <v>6975</v>
      </c>
      <c r="S1569" s="1" t="s">
        <v>32</v>
      </c>
      <c r="W1569" s="1">
        <v>0.0</v>
      </c>
      <c r="X1569" s="1">
        <v>0.0</v>
      </c>
    </row>
    <row r="1570" spans="1:24" ht="15.75" customHeight="1">
      <c r="A1570" s="1">
        <v>6.389426E7</v>
      </c>
      <c r="B1570" s="1" t="s">
        <v>6976</v>
      </c>
      <c r="C1570" s="1" t="s">
        <v>6977</v>
      </c>
      <c r="D1570" s="1" t="s">
        <v>6978</v>
      </c>
      <c r="F1570" s="1" t="str">
        <f>"8412466977"</f>
        <v>8412466977</v>
      </c>
      <c r="G1570" s="1" t="str">
        <f>"9788412466973"</f>
        <v>9788412466973</v>
      </c>
      <c r="H1570" s="1">
        <v>0.0</v>
      </c>
      <c r="I1570" s="1">
        <v>4.83</v>
      </c>
      <c r="J1570" s="1" t="s">
        <v>6979</v>
      </c>
      <c r="K1570" s="1" t="s">
        <v>44</v>
      </c>
      <c r="L1570" s="1">
        <v>286.0</v>
      </c>
      <c r="M1570" s="1">
        <v>2022.0</v>
      </c>
      <c r="P1570" s="3">
        <v>44918.0</v>
      </c>
      <c r="Q1570" s="1" t="s">
        <v>32</v>
      </c>
      <c r="R1570" s="1" t="s">
        <v>6980</v>
      </c>
      <c r="S1570" s="1" t="s">
        <v>32</v>
      </c>
      <c r="W1570" s="1">
        <v>0.0</v>
      </c>
      <c r="X1570" s="1">
        <v>0.0</v>
      </c>
    </row>
    <row r="1571" spans="1:24" ht="15.75" customHeight="1">
      <c r="A1571" s="1">
        <v>6301511.0</v>
      </c>
      <c r="B1571" s="1" t="s">
        <v>6981</v>
      </c>
      <c r="C1571" s="1" t="s">
        <v>6982</v>
      </c>
      <c r="D1571" s="1" t="s">
        <v>6983</v>
      </c>
      <c r="F1571" s="1" t="str">
        <f>"8478441182"</f>
        <v>8478441182</v>
      </c>
      <c r="G1571" s="1" t="str">
        <f>"9788478441181"</f>
        <v>9788478441181</v>
      </c>
      <c r="H1571" s="1">
        <v>0.0</v>
      </c>
      <c r="I1571" s="1">
        <v>3.85</v>
      </c>
      <c r="J1571" s="1" t="s">
        <v>6984</v>
      </c>
      <c r="K1571" s="1" t="s">
        <v>44</v>
      </c>
      <c r="L1571" s="1">
        <v>153.0</v>
      </c>
      <c r="M1571" s="1">
        <v>1992.0</v>
      </c>
      <c r="N1571" s="1">
        <v>1992.0</v>
      </c>
      <c r="P1571" s="2">
        <v>43976.0</v>
      </c>
      <c r="Q1571" s="1" t="s">
        <v>32</v>
      </c>
      <c r="R1571" s="1" t="s">
        <v>6985</v>
      </c>
      <c r="S1571" s="1" t="s">
        <v>32</v>
      </c>
      <c r="W1571" s="1">
        <v>0.0</v>
      </c>
      <c r="X1571" s="1">
        <v>0.0</v>
      </c>
    </row>
    <row r="1572" spans="1:24" ht="15.75" customHeight="1">
      <c r="A1572" s="1">
        <v>1254348.0</v>
      </c>
      <c r="B1572" s="1" t="s">
        <v>6986</v>
      </c>
      <c r="C1572" s="1" t="s">
        <v>6982</v>
      </c>
      <c r="D1572" s="1" t="s">
        <v>6983</v>
      </c>
      <c r="E1572" s="1" t="s">
        <v>6987</v>
      </c>
      <c r="F1572" s="1" t="str">
        <f>"9681611241"</f>
        <v>9681611241</v>
      </c>
      <c r="G1572" s="1" t="str">
        <f>"9789681611248"</f>
        <v>9789681611248</v>
      </c>
      <c r="H1572" s="1">
        <v>0.0</v>
      </c>
      <c r="I1572" s="1">
        <v>4.22</v>
      </c>
      <c r="J1572" s="1" t="s">
        <v>6057</v>
      </c>
      <c r="K1572" s="1" t="s">
        <v>44</v>
      </c>
      <c r="L1572" s="1">
        <v>416.0</v>
      </c>
      <c r="M1572" s="1">
        <v>2013.0</v>
      </c>
      <c r="N1572" s="1">
        <v>1992.0</v>
      </c>
      <c r="P1572" s="2">
        <v>43976.0</v>
      </c>
      <c r="Q1572" s="1" t="s">
        <v>32</v>
      </c>
      <c r="R1572" s="1" t="s">
        <v>6988</v>
      </c>
      <c r="S1572" s="1" t="s">
        <v>32</v>
      </c>
      <c r="W1572" s="1">
        <v>0.0</v>
      </c>
      <c r="X1572" s="1">
        <v>0.0</v>
      </c>
    </row>
    <row r="1573" spans="1:24" ht="15.75" customHeight="1">
      <c r="A1573" s="1">
        <v>1254328.0</v>
      </c>
      <c r="B1573" s="1" t="s">
        <v>6989</v>
      </c>
      <c r="C1573" s="1" t="s">
        <v>6982</v>
      </c>
      <c r="D1573" s="1" t="s">
        <v>6983</v>
      </c>
      <c r="F1573" s="1" t="str">
        <f>"8476581009"</f>
        <v>8476581009</v>
      </c>
      <c r="G1573" s="1" t="str">
        <f>"9788476581001"</f>
        <v>9788476581001</v>
      </c>
      <c r="H1573" s="1">
        <v>0.0</v>
      </c>
      <c r="I1573" s="1">
        <v>4.02</v>
      </c>
      <c r="J1573" s="1" t="s">
        <v>5946</v>
      </c>
      <c r="K1573" s="1" t="s">
        <v>44</v>
      </c>
      <c r="L1573" s="1">
        <v>168.0</v>
      </c>
      <c r="M1573" s="1">
        <v>1988.0</v>
      </c>
      <c r="N1573" s="1">
        <v>1958.0</v>
      </c>
      <c r="P1573" s="2">
        <v>43976.0</v>
      </c>
      <c r="Q1573" s="1" t="s">
        <v>32</v>
      </c>
      <c r="R1573" s="1" t="s">
        <v>6990</v>
      </c>
      <c r="S1573" s="1" t="s">
        <v>32</v>
      </c>
      <c r="W1573" s="1">
        <v>0.0</v>
      </c>
      <c r="X1573" s="1">
        <v>0.0</v>
      </c>
    </row>
    <row r="1574" spans="1:24" ht="15.75" customHeight="1">
      <c r="A1574" s="1">
        <v>2.8787166E7</v>
      </c>
      <c r="B1574" s="1" t="s">
        <v>6991</v>
      </c>
      <c r="C1574" s="1" t="s">
        <v>6992</v>
      </c>
      <c r="D1574" s="1" t="s">
        <v>6993</v>
      </c>
      <c r="F1574" s="1" t="str">
        <f>"8433998064"</f>
        <v>8433998064</v>
      </c>
      <c r="G1574" s="1" t="str">
        <f>"9788433998064"</f>
        <v>9788433998064</v>
      </c>
      <c r="H1574" s="1">
        <v>0.0</v>
      </c>
      <c r="I1574" s="1">
        <v>4.07</v>
      </c>
      <c r="J1574" s="1" t="s">
        <v>6994</v>
      </c>
      <c r="K1574" s="1" t="s">
        <v>44</v>
      </c>
      <c r="L1574" s="1">
        <v>200.0</v>
      </c>
      <c r="M1574" s="1">
        <v>2016.0</v>
      </c>
      <c r="N1574" s="1">
        <v>2016.0</v>
      </c>
      <c r="P1574" s="2">
        <v>43922.0</v>
      </c>
      <c r="Q1574" s="1" t="s">
        <v>127</v>
      </c>
      <c r="R1574" s="1" t="s">
        <v>6995</v>
      </c>
      <c r="S1574" s="1" t="s">
        <v>32</v>
      </c>
      <c r="W1574" s="1">
        <v>0.0</v>
      </c>
      <c r="X1574" s="1">
        <v>0.0</v>
      </c>
    </row>
    <row r="1575" spans="1:24" ht="15.75" customHeight="1">
      <c r="A1575" s="1">
        <v>6.0776294E7</v>
      </c>
      <c r="B1575" s="1" t="s">
        <v>6996</v>
      </c>
      <c r="C1575" s="1" t="s">
        <v>6992</v>
      </c>
      <c r="D1575" s="1" t="s">
        <v>6993</v>
      </c>
      <c r="F1575" s="1" t="str">
        <f>"9566045263"</f>
        <v>9566045263</v>
      </c>
      <c r="G1575" s="1" t="str">
        <f>"9789566045267"</f>
        <v>9789566045267</v>
      </c>
      <c r="H1575" s="1">
        <v>4.0</v>
      </c>
      <c r="I1575" s="1">
        <v>4.31</v>
      </c>
      <c r="J1575" s="1" t="s">
        <v>275</v>
      </c>
      <c r="K1575" s="1" t="s">
        <v>44</v>
      </c>
      <c r="L1575" s="1">
        <v>680.0</v>
      </c>
      <c r="M1575" s="1">
        <v>2019.0</v>
      </c>
      <c r="N1575" s="1">
        <v>2019.0</v>
      </c>
      <c r="O1575" s="2">
        <v>44019.0</v>
      </c>
      <c r="P1575" s="2">
        <v>43950.0</v>
      </c>
      <c r="Q1575" s="1" t="s">
        <v>4139</v>
      </c>
      <c r="R1575" s="1" t="s">
        <v>6997</v>
      </c>
      <c r="S1575" s="1" t="s">
        <v>271</v>
      </c>
      <c r="T1575" s="1" t="s">
        <v>6998</v>
      </c>
      <c r="W1575" s="1">
        <v>1.0</v>
      </c>
      <c r="X1575" s="1">
        <v>1.0</v>
      </c>
    </row>
    <row r="1576" spans="1:24" ht="15.75" customHeight="1">
      <c r="A1576" s="1">
        <v>3.3533956E7</v>
      </c>
      <c r="B1576" s="1" t="s">
        <v>6999</v>
      </c>
      <c r="C1576" s="1" t="s">
        <v>6992</v>
      </c>
      <c r="D1576" s="1" t="s">
        <v>6993</v>
      </c>
      <c r="F1576" s="1" t="str">
        <f>"8433998242"</f>
        <v>8433998242</v>
      </c>
      <c r="G1576" s="1" t="str">
        <f>"9788433998248"</f>
        <v>9788433998248</v>
      </c>
      <c r="H1576" s="1">
        <v>4.0</v>
      </c>
      <c r="I1576" s="1">
        <v>3.82</v>
      </c>
      <c r="J1576" s="1" t="s">
        <v>275</v>
      </c>
      <c r="K1576" s="1" t="s">
        <v>44</v>
      </c>
      <c r="L1576" s="1">
        <v>232.0</v>
      </c>
      <c r="M1576" s="1">
        <v>2017.0</v>
      </c>
      <c r="N1576" s="1">
        <v>2009.0</v>
      </c>
      <c r="O1576" s="2">
        <v>44138.0</v>
      </c>
      <c r="P1576" s="2">
        <v>44103.0</v>
      </c>
      <c r="Q1576" s="1" t="s">
        <v>7000</v>
      </c>
      <c r="R1576" s="1" t="s">
        <v>7001</v>
      </c>
      <c r="S1576" s="1" t="s">
        <v>271</v>
      </c>
      <c r="W1576" s="1">
        <v>1.0</v>
      </c>
      <c r="X1576" s="1">
        <v>1.0</v>
      </c>
    </row>
    <row r="1577" spans="1:24" ht="15.75" customHeight="1">
      <c r="A1577" s="104">
        <v>1.312196E7</v>
      </c>
      <c r="B1577" s="104" t="s">
        <v>6999</v>
      </c>
      <c r="C1577" s="104" t="s">
        <v>6992</v>
      </c>
      <c r="D1577" s="104" t="s">
        <v>6993</v>
      </c>
      <c r="E1577" s="105"/>
      <c r="F1577" s="104" t="str">
        <f>"9500432129"</f>
        <v>9500432129</v>
      </c>
      <c r="G1577" s="104" t="str">
        <f>"9789500432122"</f>
        <v>9789500432122</v>
      </c>
      <c r="H1577" s="104">
        <v>0.0</v>
      </c>
      <c r="I1577" s="104">
        <v>3.82</v>
      </c>
      <c r="J1577" s="104" t="s">
        <v>5711</v>
      </c>
      <c r="K1577" s="104" t="s">
        <v>44</v>
      </c>
      <c r="L1577" s="104">
        <v>221.0</v>
      </c>
      <c r="M1577" s="104">
        <v>2009.0</v>
      </c>
      <c r="N1577" s="104">
        <v>2009.0</v>
      </c>
      <c r="O1577" s="105"/>
      <c r="P1577" s="106">
        <v>43954.0</v>
      </c>
      <c r="Q1577" s="107" t="s">
        <v>569</v>
      </c>
      <c r="R1577" s="104" t="s">
        <v>7002</v>
      </c>
      <c r="S1577" s="104" t="s">
        <v>32</v>
      </c>
      <c r="T1577" s="105"/>
      <c r="U1577" s="105"/>
      <c r="V1577" s="105"/>
      <c r="W1577" s="104">
        <v>0.0</v>
      </c>
      <c r="X1577" s="104">
        <v>0.0</v>
      </c>
    </row>
    <row r="1578" spans="1:24" ht="15.75" customHeight="1">
      <c r="A1578" s="104">
        <v>4.0314099E7</v>
      </c>
      <c r="B1578" s="104" t="s">
        <v>7003</v>
      </c>
      <c r="C1578" s="104" t="s">
        <v>6992</v>
      </c>
      <c r="D1578" s="104" t="s">
        <v>6993</v>
      </c>
      <c r="E1578" s="105"/>
      <c r="F1578" s="104" t="str">
        <f>"8433939483"</f>
        <v>8433939483</v>
      </c>
      <c r="G1578" s="104" t="str">
        <f>"9788433939487"</f>
        <v>9788433939487</v>
      </c>
      <c r="H1578" s="104">
        <v>0.0</v>
      </c>
      <c r="I1578" s="104">
        <v>4.28</v>
      </c>
      <c r="J1578" s="104" t="s">
        <v>275</v>
      </c>
      <c r="K1578" s="104" t="s">
        <v>29</v>
      </c>
      <c r="L1578" s="104">
        <v>173.0</v>
      </c>
      <c r="M1578" s="104">
        <v>2018.0</v>
      </c>
      <c r="N1578" s="104">
        <v>2014.0</v>
      </c>
      <c r="O1578" s="105"/>
      <c r="P1578" s="106">
        <v>43954.0</v>
      </c>
      <c r="Q1578" s="107" t="s">
        <v>569</v>
      </c>
      <c r="R1578" s="104" t="s">
        <v>7004</v>
      </c>
      <c r="S1578" s="104" t="s">
        <v>32</v>
      </c>
      <c r="T1578" s="105"/>
      <c r="U1578" s="105"/>
      <c r="V1578" s="105"/>
      <c r="W1578" s="104">
        <v>0.0</v>
      </c>
      <c r="X1578" s="104">
        <v>0.0</v>
      </c>
    </row>
    <row r="1579" spans="1:24" ht="15.75" customHeight="1">
      <c r="A1579" s="104">
        <v>3.4953392E7</v>
      </c>
      <c r="B1579" s="104" t="s">
        <v>7005</v>
      </c>
      <c r="C1579" s="104" t="s">
        <v>6992</v>
      </c>
      <c r="D1579" s="104" t="s">
        <v>6993</v>
      </c>
      <c r="E1579" s="105"/>
      <c r="F1579" s="104" t="str">
        <f t="shared" si="120" ref="F1579:G1579">""</f>
        <v/>
      </c>
      <c r="G1579" s="104" t="str">
        <f t="shared" si="120"/>
        <v/>
      </c>
      <c r="H1579" s="104">
        <v>0.0</v>
      </c>
      <c r="I1579" s="104">
        <v>3.5</v>
      </c>
      <c r="J1579" s="104" t="s">
        <v>2148</v>
      </c>
      <c r="K1579" s="104" t="s">
        <v>29</v>
      </c>
      <c r="L1579" s="104">
        <v>108.0</v>
      </c>
      <c r="M1579" s="104">
        <v>2017.0</v>
      </c>
      <c r="N1579" s="104">
        <v>2017.0</v>
      </c>
      <c r="O1579" s="105"/>
      <c r="P1579" s="106">
        <v>43950.0</v>
      </c>
      <c r="Q1579" s="107" t="s">
        <v>569</v>
      </c>
      <c r="R1579" s="104" t="s">
        <v>7006</v>
      </c>
      <c r="S1579" s="104" t="s">
        <v>32</v>
      </c>
      <c r="T1579" s="105"/>
      <c r="U1579" s="105"/>
      <c r="V1579" s="105"/>
      <c r="W1579" s="104">
        <v>0.0</v>
      </c>
      <c r="X1579" s="104">
        <v>0.0</v>
      </c>
    </row>
    <row r="1580" spans="1:24" ht="15.75" customHeight="1">
      <c r="A1580" s="1">
        <v>3.4464546E7</v>
      </c>
      <c r="B1580" s="1" t="s">
        <v>7007</v>
      </c>
      <c r="C1580" s="1" t="s">
        <v>7008</v>
      </c>
      <c r="D1580" s="1" t="s">
        <v>7009</v>
      </c>
      <c r="F1580" s="1" t="str">
        <f>""</f>
        <v/>
      </c>
      <c r="G1580" s="1" t="str">
        <f>"9786077455691"</f>
        <v>9786077455691</v>
      </c>
      <c r="H1580" s="1">
        <v>0.0</v>
      </c>
      <c r="I1580" s="1">
        <v>3.88</v>
      </c>
      <c r="J1580" s="1" t="s">
        <v>7010</v>
      </c>
      <c r="K1580" s="1" t="s">
        <v>44</v>
      </c>
      <c r="L1580" s="1">
        <v>105.0</v>
      </c>
      <c r="M1580" s="1">
        <v>2017.0</v>
      </c>
      <c r="P1580" s="2">
        <v>43968.0</v>
      </c>
      <c r="Q1580" s="1" t="s">
        <v>32</v>
      </c>
      <c r="R1580" s="1" t="s">
        <v>7011</v>
      </c>
      <c r="S1580" s="1" t="s">
        <v>32</v>
      </c>
      <c r="W1580" s="1">
        <v>0.0</v>
      </c>
      <c r="X1580" s="1">
        <v>0.0</v>
      </c>
    </row>
    <row r="1581" spans="1:24" ht="15.75" customHeight="1">
      <c r="A1581" s="1">
        <v>5.4716655E7</v>
      </c>
      <c r="B1581" s="1" t="s">
        <v>7012</v>
      </c>
      <c r="C1581" s="1" t="s">
        <v>7013</v>
      </c>
      <c r="D1581" s="1" t="s">
        <v>7014</v>
      </c>
      <c r="F1581" s="1" t="str">
        <f>"1718501188"</f>
        <v>1718501188</v>
      </c>
      <c r="G1581" s="1" t="str">
        <f>"9781718501188"</f>
        <v>9781718501188</v>
      </c>
      <c r="H1581" s="1">
        <v>0.0</v>
      </c>
      <c r="I1581" s="1">
        <v>4.16</v>
      </c>
      <c r="J1581" s="1" t="s">
        <v>808</v>
      </c>
      <c r="K1581" s="1" t="s">
        <v>44</v>
      </c>
      <c r="L1581" s="1">
        <v>248.0</v>
      </c>
      <c r="M1581" s="1">
        <v>2021.0</v>
      </c>
      <c r="P1581" s="3">
        <v>44846.0</v>
      </c>
      <c r="Q1581" s="1" t="s">
        <v>32</v>
      </c>
      <c r="R1581" s="1" t="s">
        <v>7015</v>
      </c>
      <c r="S1581" s="1" t="s">
        <v>32</v>
      </c>
      <c r="W1581" s="1">
        <v>0.0</v>
      </c>
      <c r="X1581" s="1">
        <v>0.0</v>
      </c>
    </row>
    <row r="1582" spans="1:24" ht="15.75" customHeight="1">
      <c r="A1582" s="1">
        <v>5.6921681E7</v>
      </c>
      <c r="B1582" s="1" t="s">
        <v>7016</v>
      </c>
      <c r="C1582" s="1" t="s">
        <v>431</v>
      </c>
      <c r="D1582" s="1" t="s">
        <v>7017</v>
      </c>
      <c r="E1582" s="1" t="s">
        <v>7018</v>
      </c>
      <c r="F1582" s="1" t="str">
        <f>"9502813901"</f>
        <v>9502813901</v>
      </c>
      <c r="G1582" s="1" t="str">
        <f>"9789502813905"</f>
        <v>9789502813905</v>
      </c>
      <c r="H1582" s="1">
        <v>0.0</v>
      </c>
      <c r="I1582" s="1">
        <v>4.16</v>
      </c>
      <c r="J1582" s="1" t="s">
        <v>7019</v>
      </c>
      <c r="K1582" s="1" t="s">
        <v>44</v>
      </c>
      <c r="L1582" s="1">
        <v>480.0</v>
      </c>
      <c r="M1582" s="1">
        <v>2021.0</v>
      </c>
      <c r="N1582" s="1">
        <v>2020.0</v>
      </c>
      <c r="P1582" s="2">
        <v>44814.0</v>
      </c>
      <c r="Q1582" s="1" t="s">
        <v>1268</v>
      </c>
      <c r="R1582" s="1" t="s">
        <v>7020</v>
      </c>
      <c r="S1582" s="1" t="s">
        <v>32</v>
      </c>
      <c r="W1582" s="1">
        <v>0.0</v>
      </c>
      <c r="X1582" s="1">
        <v>1.0</v>
      </c>
    </row>
    <row r="1583" spans="1:24" ht="15.75" customHeight="1">
      <c r="A1583" s="1">
        <v>2915224.0</v>
      </c>
      <c r="B1583" s="1" t="s">
        <v>7021</v>
      </c>
      <c r="C1583" s="1" t="s">
        <v>7022</v>
      </c>
      <c r="D1583" s="1" t="s">
        <v>7023</v>
      </c>
      <c r="F1583" s="1" t="str">
        <f>"0804740607"</f>
        <v>0804740607</v>
      </c>
      <c r="G1583" s="1" t="str">
        <f>"9780804740609"</f>
        <v>9780804740609</v>
      </c>
      <c r="H1583" s="1">
        <v>0.0</v>
      </c>
      <c r="I1583" s="1">
        <v>4.0</v>
      </c>
      <c r="J1583" s="1" t="s">
        <v>3889</v>
      </c>
      <c r="K1583" s="1" t="s">
        <v>44</v>
      </c>
      <c r="L1583" s="1">
        <v>330.0</v>
      </c>
      <c r="M1583" s="1">
        <v>2002.0</v>
      </c>
      <c r="N1583" s="1">
        <v>2002.0</v>
      </c>
      <c r="P1583" s="3">
        <v>45260.0</v>
      </c>
      <c r="Q1583" s="1" t="s">
        <v>3356</v>
      </c>
      <c r="R1583" s="1" t="s">
        <v>7024</v>
      </c>
      <c r="S1583" s="1" t="s">
        <v>32</v>
      </c>
      <c r="W1583" s="1">
        <v>0.0</v>
      </c>
      <c r="X1583" s="1">
        <v>0.0</v>
      </c>
    </row>
    <row r="1584" spans="1:24" ht="15.75" customHeight="1">
      <c r="A1584" s="1">
        <v>1.5802011E7</v>
      </c>
      <c r="B1584" s="1" t="s">
        <v>7025</v>
      </c>
      <c r="C1584" s="1" t="s">
        <v>7026</v>
      </c>
      <c r="D1584" s="1" t="s">
        <v>7027</v>
      </c>
      <c r="F1584" s="1" t="str">
        <f>"1439110190"</f>
        <v>1439110190</v>
      </c>
      <c r="G1584" s="1" t="str">
        <f>"9781439110195"</f>
        <v>9781439110195</v>
      </c>
      <c r="H1584" s="1">
        <v>0.0</v>
      </c>
      <c r="I1584" s="1">
        <v>4.19</v>
      </c>
      <c r="J1584" s="1" t="s">
        <v>622</v>
      </c>
      <c r="K1584" s="1" t="s">
        <v>37</v>
      </c>
      <c r="L1584" s="1">
        <v>314.0</v>
      </c>
      <c r="M1584" s="1">
        <v>1999.0</v>
      </c>
      <c r="N1584" s="1">
        <v>2013.0</v>
      </c>
      <c r="P1584" s="2">
        <v>45235.0</v>
      </c>
      <c r="Q1584" s="1" t="s">
        <v>55</v>
      </c>
      <c r="R1584" s="1" t="s">
        <v>7028</v>
      </c>
      <c r="S1584" s="1" t="s">
        <v>32</v>
      </c>
      <c r="W1584" s="1">
        <v>0.0</v>
      </c>
      <c r="X1584" s="1">
        <v>0.0</v>
      </c>
    </row>
    <row r="1585" spans="1:24" ht="15.75" customHeight="1">
      <c r="A1585" s="1">
        <v>2.0893797E7</v>
      </c>
      <c r="B1585" s="1" t="s">
        <v>7029</v>
      </c>
      <c r="C1585" s="1" t="s">
        <v>7030</v>
      </c>
      <c r="D1585" s="1" t="s">
        <v>7031</v>
      </c>
      <c r="E1585" s="1" t="s">
        <v>7032</v>
      </c>
      <c r="F1585" s="1" t="str">
        <f>"1931883394"</f>
        <v>1931883394</v>
      </c>
      <c r="G1585" s="1" t="str">
        <f>"9781931883399"</f>
        <v>9781931883399</v>
      </c>
      <c r="H1585" s="1">
        <v>0.0</v>
      </c>
      <c r="I1585" s="1">
        <v>3.67</v>
      </c>
      <c r="J1585" s="1" t="s">
        <v>1440</v>
      </c>
      <c r="K1585" s="1" t="s">
        <v>44</v>
      </c>
      <c r="L1585" s="1">
        <v>120.0</v>
      </c>
      <c r="M1585" s="1">
        <v>2014.0</v>
      </c>
      <c r="N1585" s="1">
        <v>2005.0</v>
      </c>
      <c r="P1585" s="3">
        <v>45291.0</v>
      </c>
      <c r="Q1585" s="1" t="s">
        <v>145</v>
      </c>
      <c r="R1585" s="1" t="s">
        <v>7033</v>
      </c>
      <c r="S1585" s="1" t="s">
        <v>32</v>
      </c>
      <c r="W1585" s="1">
        <v>0.0</v>
      </c>
      <c r="X1585" s="1">
        <v>0.0</v>
      </c>
    </row>
    <row r="1586" spans="1:24" ht="15.75" customHeight="1">
      <c r="A1586" s="1">
        <v>566087.0</v>
      </c>
      <c r="B1586" s="1" t="s">
        <v>7034</v>
      </c>
      <c r="C1586" s="1" t="s">
        <v>7035</v>
      </c>
      <c r="D1586" s="1" t="s">
        <v>7036</v>
      </c>
      <c r="F1586" s="1" t="str">
        <f>""</f>
        <v/>
      </c>
      <c r="G1586" s="1" t="str">
        <f>"9780919123045"</f>
        <v>9780919123045</v>
      </c>
      <c r="H1586" s="1">
        <v>0.0</v>
      </c>
      <c r="I1586" s="1">
        <v>4.38</v>
      </c>
      <c r="J1586" s="1" t="s">
        <v>7037</v>
      </c>
      <c r="K1586" s="1" t="s">
        <v>44</v>
      </c>
      <c r="L1586" s="1">
        <v>272.0</v>
      </c>
      <c r="M1586" s="1">
        <v>1980.0</v>
      </c>
      <c r="N1586" s="1">
        <v>1981.0</v>
      </c>
      <c r="P1586" s="2">
        <v>44809.0</v>
      </c>
      <c r="Q1586" s="1" t="s">
        <v>935</v>
      </c>
      <c r="R1586" s="1" t="s">
        <v>7038</v>
      </c>
      <c r="S1586" s="1" t="s">
        <v>32</v>
      </c>
      <c r="W1586" s="1">
        <v>0.0</v>
      </c>
      <c r="X1586" s="1">
        <v>0.0</v>
      </c>
    </row>
    <row r="1587" spans="1:24" ht="15.75" customHeight="1">
      <c r="A1587" s="1">
        <v>8910666.0</v>
      </c>
      <c r="B1587" s="1" t="s">
        <v>7039</v>
      </c>
      <c r="C1587" s="1" t="s">
        <v>7040</v>
      </c>
      <c r="D1587" s="1" t="s">
        <v>7041</v>
      </c>
      <c r="F1587" s="1" t="str">
        <f>"1593272820"</f>
        <v>1593272820</v>
      </c>
      <c r="G1587" s="1" t="str">
        <f>"9781593272821"</f>
        <v>9781593272821</v>
      </c>
      <c r="H1587" s="1">
        <v>0.0</v>
      </c>
      <c r="I1587" s="1">
        <v>4.15</v>
      </c>
      <c r="J1587" s="1" t="s">
        <v>808</v>
      </c>
      <c r="K1587" s="1" t="s">
        <v>44</v>
      </c>
      <c r="L1587" s="1">
        <v>224.0</v>
      </c>
      <c r="M1587" s="1">
        <v>2011.0</v>
      </c>
      <c r="N1587" s="1">
        <v>2010.0</v>
      </c>
      <c r="P1587" s="2">
        <v>43999.0</v>
      </c>
      <c r="Q1587" s="1" t="s">
        <v>32</v>
      </c>
      <c r="R1587" s="1" t="s">
        <v>7042</v>
      </c>
      <c r="S1587" s="1" t="s">
        <v>32</v>
      </c>
      <c r="W1587" s="1">
        <v>0.0</v>
      </c>
      <c r="X1587" s="1">
        <v>0.0</v>
      </c>
    </row>
    <row r="1588" spans="1:24" ht="15.75" customHeight="1">
      <c r="A1588" s="1">
        <v>114809.0</v>
      </c>
      <c r="B1588" s="1" t="s">
        <v>7043</v>
      </c>
      <c r="C1588" s="1" t="s">
        <v>7044</v>
      </c>
      <c r="D1588" s="1" t="s">
        <v>7045</v>
      </c>
      <c r="F1588" s="1" t="str">
        <f>"0312425325"</f>
        <v>0312425325</v>
      </c>
      <c r="G1588" s="1" t="str">
        <f>"9780312425326"</f>
        <v>9780312425326</v>
      </c>
      <c r="H1588" s="1">
        <v>0.0</v>
      </c>
      <c r="I1588" s="1">
        <v>4.11</v>
      </c>
      <c r="J1588" s="1" t="s">
        <v>1006</v>
      </c>
      <c r="K1588" s="1" t="s">
        <v>44</v>
      </c>
      <c r="L1588" s="1">
        <v>263.0</v>
      </c>
      <c r="M1588" s="1">
        <v>2005.0</v>
      </c>
      <c r="N1588" s="1">
        <v>1998.0</v>
      </c>
      <c r="P1588" s="2">
        <v>45059.0</v>
      </c>
      <c r="Q1588" s="1" t="s">
        <v>338</v>
      </c>
      <c r="R1588" s="1" t="s">
        <v>7046</v>
      </c>
      <c r="S1588" s="1" t="s">
        <v>32</v>
      </c>
      <c r="W1588" s="1">
        <v>0.0</v>
      </c>
      <c r="X1588" s="1">
        <v>0.0</v>
      </c>
    </row>
    <row r="1589" spans="1:24" ht="15.75" customHeight="1">
      <c r="A1589" s="1">
        <v>1.2095063E7</v>
      </c>
      <c r="B1589" s="1" t="s">
        <v>7047</v>
      </c>
      <c r="C1589" s="1" t="s">
        <v>7044</v>
      </c>
      <c r="D1589" s="1" t="s">
        <v>7045</v>
      </c>
      <c r="F1589" s="1" t="str">
        <f>"0374298785"</f>
        <v>0374298785</v>
      </c>
      <c r="G1589" s="1" t="str">
        <f>"9780374298784"</f>
        <v>9780374298784</v>
      </c>
      <c r="H1589" s="1">
        <v>0.0</v>
      </c>
      <c r="I1589" s="1">
        <v>3.88</v>
      </c>
      <c r="J1589" s="1" t="s">
        <v>438</v>
      </c>
      <c r="K1589" s="1" t="s">
        <v>37</v>
      </c>
      <c r="L1589" s="1">
        <v>224.0</v>
      </c>
      <c r="M1589" s="1">
        <v>2012.0</v>
      </c>
      <c r="N1589" s="1">
        <v>2012.0</v>
      </c>
      <c r="P1589" s="2">
        <v>43982.0</v>
      </c>
      <c r="Q1589" s="1" t="s">
        <v>32</v>
      </c>
      <c r="R1589" s="1" t="s">
        <v>7048</v>
      </c>
      <c r="S1589" s="1" t="s">
        <v>32</v>
      </c>
      <c r="W1589" s="1">
        <v>0.0</v>
      </c>
      <c r="X1589" s="1">
        <v>0.0</v>
      </c>
    </row>
    <row r="1590" spans="1:24" ht="15.75" customHeight="1">
      <c r="A1590" s="1">
        <v>2.3848586E7</v>
      </c>
      <c r="B1590" s="1" t="s">
        <v>7049</v>
      </c>
      <c r="C1590" s="1" t="s">
        <v>7044</v>
      </c>
      <c r="D1590" s="1" t="s">
        <v>7045</v>
      </c>
      <c r="F1590" s="1" t="str">
        <f>"0374298475"</f>
        <v>0374298475</v>
      </c>
      <c r="G1590" s="1" t="str">
        <f>"9780374298470"</f>
        <v>9780374298470</v>
      </c>
      <c r="H1590" s="1">
        <v>0.0</v>
      </c>
      <c r="I1590" s="1">
        <v>3.97</v>
      </c>
      <c r="J1590" s="1" t="s">
        <v>438</v>
      </c>
      <c r="K1590" s="1" t="s">
        <v>37</v>
      </c>
      <c r="L1590" s="1">
        <v>286.0</v>
      </c>
      <c r="M1590" s="1">
        <v>2015.0</v>
      </c>
      <c r="N1590" s="1">
        <v>2015.0</v>
      </c>
      <c r="P1590" s="2">
        <v>43919.0</v>
      </c>
      <c r="Q1590" s="1" t="s">
        <v>32</v>
      </c>
      <c r="R1590" s="1" t="s">
        <v>7050</v>
      </c>
      <c r="S1590" s="1" t="s">
        <v>32</v>
      </c>
      <c r="W1590" s="1">
        <v>0.0</v>
      </c>
      <c r="X1590" s="1">
        <v>0.0</v>
      </c>
    </row>
    <row r="1591" spans="1:24" ht="15.75" customHeight="1">
      <c r="A1591" s="1">
        <v>1003878.0</v>
      </c>
      <c r="B1591" s="1" t="s">
        <v>7051</v>
      </c>
      <c r="C1591" s="1" t="s">
        <v>7052</v>
      </c>
      <c r="D1591" s="1" t="s">
        <v>7053</v>
      </c>
      <c r="F1591" s="1" t="str">
        <f>"1904859585"</f>
        <v>1904859585</v>
      </c>
      <c r="G1591" s="1" t="str">
        <f>"9781904859581"</f>
        <v>9781904859581</v>
      </c>
      <c r="H1591" s="1">
        <v>0.0</v>
      </c>
      <c r="I1591" s="1">
        <v>3.92</v>
      </c>
      <c r="J1591" s="1" t="s">
        <v>7054</v>
      </c>
      <c r="K1591" s="1" t="s">
        <v>44</v>
      </c>
      <c r="L1591" s="1">
        <v>255.0</v>
      </c>
      <c r="M1591" s="1">
        <v>2006.0</v>
      </c>
      <c r="N1591" s="1">
        <v>2006.0</v>
      </c>
      <c r="P1591" s="3">
        <v>43022.0</v>
      </c>
      <c r="Q1591" s="1" t="s">
        <v>32</v>
      </c>
      <c r="R1591" s="1" t="s">
        <v>7055</v>
      </c>
      <c r="S1591" s="1" t="s">
        <v>32</v>
      </c>
      <c r="W1591" s="1">
        <v>0.0</v>
      </c>
      <c r="X1591" s="1">
        <v>0.0</v>
      </c>
    </row>
    <row r="1592" spans="1:24" ht="15.75" customHeight="1">
      <c r="A1592" s="1">
        <v>1.5826372E7</v>
      </c>
      <c r="B1592" s="1" t="s">
        <v>7056</v>
      </c>
      <c r="C1592" s="1" t="s">
        <v>7057</v>
      </c>
      <c r="D1592" s="1" t="s">
        <v>7058</v>
      </c>
      <c r="F1592" s="1" t="str">
        <f>"841560100X"</f>
        <v>841560100X</v>
      </c>
      <c r="G1592" s="1" t="str">
        <f>"9788415601005"</f>
        <v>9788415601005</v>
      </c>
      <c r="H1592" s="1">
        <v>0.0</v>
      </c>
      <c r="I1592" s="1">
        <v>3.63</v>
      </c>
      <c r="J1592" s="1" t="s">
        <v>7059</v>
      </c>
      <c r="K1592" s="1" t="s">
        <v>44</v>
      </c>
      <c r="L1592" s="1">
        <v>280.0</v>
      </c>
      <c r="M1592" s="1">
        <v>2012.0</v>
      </c>
      <c r="N1592" s="1">
        <v>2012.0</v>
      </c>
      <c r="P1592" s="2">
        <v>44097.0</v>
      </c>
      <c r="Q1592" s="1" t="s">
        <v>32</v>
      </c>
      <c r="R1592" s="1" t="s">
        <v>7060</v>
      </c>
      <c r="S1592" s="1" t="s">
        <v>32</v>
      </c>
      <c r="W1592" s="1">
        <v>0.0</v>
      </c>
      <c r="X1592" s="1">
        <v>0.0</v>
      </c>
    </row>
    <row r="1593" spans="1:24" ht="15.75" customHeight="1">
      <c r="A1593" s="1">
        <v>3.1573608E7</v>
      </c>
      <c r="B1593" s="1" t="s">
        <v>7061</v>
      </c>
      <c r="C1593" s="1" t="s">
        <v>7062</v>
      </c>
      <c r="D1593" s="1" t="s">
        <v>7063</v>
      </c>
      <c r="E1593" s="1" t="s">
        <v>7064</v>
      </c>
      <c r="F1593" s="1" t="str">
        <f>"0745399525"</f>
        <v>0745399525</v>
      </c>
      <c r="G1593" s="1" t="str">
        <f>"9780745399522"</f>
        <v>9780745399522</v>
      </c>
      <c r="H1593" s="1">
        <v>0.0</v>
      </c>
      <c r="I1593" s="1">
        <v>3.96</v>
      </c>
      <c r="J1593" s="1" t="s">
        <v>4559</v>
      </c>
      <c r="K1593" s="1" t="s">
        <v>37</v>
      </c>
      <c r="L1593" s="1">
        <v>272.0</v>
      </c>
      <c r="M1593" s="1">
        <v>2018.0</v>
      </c>
      <c r="N1593" s="1">
        <v>1977.0</v>
      </c>
      <c r="P1593" s="2">
        <v>43139.0</v>
      </c>
      <c r="Q1593" s="1" t="s">
        <v>1110</v>
      </c>
      <c r="R1593" s="1" t="s">
        <v>7065</v>
      </c>
      <c r="S1593" s="1" t="s">
        <v>32</v>
      </c>
      <c r="W1593" s="1">
        <v>0.0</v>
      </c>
      <c r="X1593" s="1">
        <v>0.0</v>
      </c>
    </row>
    <row r="1594" spans="1:24" ht="15.75" customHeight="1">
      <c r="A1594" s="1">
        <v>53925.0</v>
      </c>
      <c r="B1594" s="1" t="s">
        <v>7066</v>
      </c>
      <c r="C1594" s="1" t="s">
        <v>6076</v>
      </c>
      <c r="D1594" s="1" t="s">
        <v>7067</v>
      </c>
      <c r="F1594" s="1" t="str">
        <f>"0571139612"</f>
        <v>0571139612</v>
      </c>
      <c r="G1594" s="1" t="str">
        <f>"9780571139613"</f>
        <v>9780571139613</v>
      </c>
      <c r="H1594" s="1">
        <v>0.0</v>
      </c>
      <c r="I1594" s="1">
        <v>4.24</v>
      </c>
      <c r="J1594" s="1" t="s">
        <v>7068</v>
      </c>
      <c r="K1594" s="1" t="s">
        <v>44</v>
      </c>
      <c r="L1594" s="1">
        <v>568.0</v>
      </c>
      <c r="M1594" s="1">
        <v>1986.0</v>
      </c>
      <c r="N1594" s="1">
        <v>1981.0</v>
      </c>
      <c r="P1594" s="2">
        <v>41494.0</v>
      </c>
      <c r="Q1594" s="1" t="s">
        <v>633</v>
      </c>
      <c r="R1594" s="1" t="s">
        <v>7069</v>
      </c>
      <c r="S1594" s="1" t="s">
        <v>32</v>
      </c>
      <c r="W1594" s="1">
        <v>0.0</v>
      </c>
      <c r="X1594" s="1">
        <v>0.0</v>
      </c>
    </row>
    <row r="1595" spans="1:24" ht="15.75" customHeight="1">
      <c r="A1595" s="1">
        <v>60142.0</v>
      </c>
      <c r="B1595" s="1" t="s">
        <v>7070</v>
      </c>
      <c r="C1595" s="1" t="s">
        <v>6076</v>
      </c>
      <c r="D1595" s="1" t="s">
        <v>7067</v>
      </c>
      <c r="F1595" s="1" t="str">
        <f>"8466309152"</f>
        <v>8466309152</v>
      </c>
      <c r="G1595" s="1" t="str">
        <f>"9788466309158"</f>
        <v>9788466309158</v>
      </c>
      <c r="H1595" s="1">
        <v>0.0</v>
      </c>
      <c r="I1595" s="1">
        <v>4.16</v>
      </c>
      <c r="J1595" s="1" t="s">
        <v>5935</v>
      </c>
      <c r="K1595" s="1" t="s">
        <v>1225</v>
      </c>
      <c r="L1595" s="1">
        <v>446.0</v>
      </c>
      <c r="M1595" s="1">
        <v>2000.0</v>
      </c>
      <c r="N1595" s="1">
        <v>1963.0</v>
      </c>
      <c r="P1595" s="2">
        <v>43970.0</v>
      </c>
      <c r="Q1595" s="1" t="s">
        <v>32</v>
      </c>
      <c r="R1595" s="1" t="s">
        <v>7071</v>
      </c>
      <c r="S1595" s="1" t="s">
        <v>32</v>
      </c>
      <c r="W1595" s="1">
        <v>0.0</v>
      </c>
      <c r="X1595" s="1">
        <v>0.0</v>
      </c>
    </row>
    <row r="1596" spans="1:24" ht="15.75" customHeight="1">
      <c r="A1596" s="1">
        <v>3483.0</v>
      </c>
      <c r="B1596" s="1" t="s">
        <v>7072</v>
      </c>
      <c r="C1596" s="1" t="s">
        <v>7073</v>
      </c>
      <c r="D1596" s="1" t="s">
        <v>7074</v>
      </c>
      <c r="F1596" s="1" t="str">
        <f>"067003777X"</f>
        <v>067003777X</v>
      </c>
      <c r="G1596" s="1" t="str">
        <f>"9780670037773"</f>
        <v>9780670037773</v>
      </c>
      <c r="H1596" s="1">
        <v>0.0</v>
      </c>
      <c r="I1596" s="1">
        <v>3.7</v>
      </c>
      <c r="J1596" s="1" t="s">
        <v>1063</v>
      </c>
      <c r="K1596" s="1" t="s">
        <v>37</v>
      </c>
      <c r="L1596" s="1">
        <v>514.0</v>
      </c>
      <c r="M1596" s="1">
        <v>2006.0</v>
      </c>
      <c r="N1596" s="1">
        <v>2006.0</v>
      </c>
      <c r="P1596" s="2">
        <v>41778.0</v>
      </c>
      <c r="Q1596" s="1" t="s">
        <v>502</v>
      </c>
      <c r="R1596" s="1" t="s">
        <v>7075</v>
      </c>
      <c r="S1596" s="1" t="s">
        <v>32</v>
      </c>
      <c r="W1596" s="1">
        <v>0.0</v>
      </c>
      <c r="X1596" s="1">
        <v>0.0</v>
      </c>
    </row>
    <row r="1597" spans="1:24" ht="15.75" customHeight="1">
      <c r="A1597" s="1">
        <v>4472257.0</v>
      </c>
      <c r="B1597" s="1" t="s">
        <v>7076</v>
      </c>
      <c r="C1597" s="1" t="s">
        <v>7077</v>
      </c>
      <c r="D1597" s="1" t="s">
        <v>7078</v>
      </c>
      <c r="F1597" s="1" t="str">
        <f>"8478443681"</f>
        <v>8478443681</v>
      </c>
      <c r="G1597" s="1" t="str">
        <f>"9788478443680"</f>
        <v>9788478443680</v>
      </c>
      <c r="H1597" s="1">
        <v>0.0</v>
      </c>
      <c r="I1597" s="1">
        <v>4.36</v>
      </c>
      <c r="J1597" s="1" t="s">
        <v>638</v>
      </c>
      <c r="K1597" s="1" t="s">
        <v>44</v>
      </c>
      <c r="L1597" s="1">
        <v>508.0</v>
      </c>
      <c r="M1597" s="1">
        <v>2010.0</v>
      </c>
      <c r="N1597" s="1">
        <v>1946.0</v>
      </c>
      <c r="P1597" s="2">
        <v>45070.0</v>
      </c>
      <c r="Q1597" s="1" t="s">
        <v>32</v>
      </c>
      <c r="R1597" s="1" t="s">
        <v>7079</v>
      </c>
      <c r="S1597" s="1" t="s">
        <v>32</v>
      </c>
      <c r="W1597" s="1">
        <v>0.0</v>
      </c>
      <c r="X1597" s="1">
        <v>0.0</v>
      </c>
    </row>
    <row r="1598" spans="1:24" ht="15.75" customHeight="1">
      <c r="A1598" s="1">
        <v>1.3206167E7</v>
      </c>
      <c r="B1598" s="1" t="s">
        <v>7080</v>
      </c>
      <c r="C1598" s="1" t="s">
        <v>7081</v>
      </c>
      <c r="D1598" s="1" t="s">
        <v>7082</v>
      </c>
      <c r="F1598" s="1" t="str">
        <f>"0822348837"</f>
        <v>0822348837</v>
      </c>
      <c r="G1598" s="1" t="str">
        <f>"9780822348832"</f>
        <v>9780822348832</v>
      </c>
      <c r="H1598" s="1">
        <v>0.0</v>
      </c>
      <c r="I1598" s="1">
        <v>3.17</v>
      </c>
      <c r="J1598" s="1" t="s">
        <v>1341</v>
      </c>
      <c r="K1598" s="1" t="s">
        <v>37</v>
      </c>
      <c r="L1598" s="1">
        <v>416.0</v>
      </c>
      <c r="M1598" s="1">
        <v>2011.0</v>
      </c>
      <c r="N1598" s="1">
        <v>2011.0</v>
      </c>
      <c r="P1598" s="3">
        <v>45214.0</v>
      </c>
      <c r="Q1598" s="1" t="s">
        <v>32</v>
      </c>
      <c r="R1598" s="1" t="s">
        <v>7083</v>
      </c>
      <c r="S1598" s="1" t="s">
        <v>32</v>
      </c>
      <c r="W1598" s="1">
        <v>0.0</v>
      </c>
      <c r="X1598" s="1">
        <v>0.0</v>
      </c>
    </row>
    <row r="1599" spans="1:24" ht="15.75" customHeight="1">
      <c r="A1599" s="1">
        <v>481881.0</v>
      </c>
      <c r="B1599" s="1" t="s">
        <v>7084</v>
      </c>
      <c r="C1599" s="1" t="s">
        <v>7085</v>
      </c>
      <c r="D1599" s="1" t="s">
        <v>7086</v>
      </c>
      <c r="F1599" s="1" t="str">
        <f>"1590171527"</f>
        <v>1590171527</v>
      </c>
      <c r="G1599" s="1" t="str">
        <f>"9781590171523"</f>
        <v>9781590171523</v>
      </c>
      <c r="H1599" s="1">
        <v>0.0</v>
      </c>
      <c r="I1599" s="1">
        <v>3.77</v>
      </c>
      <c r="J1599" s="1" t="s">
        <v>823</v>
      </c>
      <c r="K1599" s="1" t="s">
        <v>44</v>
      </c>
      <c r="L1599" s="1">
        <v>608.0</v>
      </c>
      <c r="M1599" s="1">
        <v>2004.0</v>
      </c>
      <c r="N1599" s="1">
        <v>2004.0</v>
      </c>
      <c r="P1599" s="2">
        <v>45308.0</v>
      </c>
      <c r="Q1599" s="1" t="s">
        <v>30</v>
      </c>
      <c r="R1599" s="1" t="s">
        <v>7087</v>
      </c>
      <c r="S1599" s="1" t="s">
        <v>32</v>
      </c>
      <c r="W1599" s="1">
        <v>0.0</v>
      </c>
      <c r="X1599" s="1">
        <v>0.0</v>
      </c>
    </row>
    <row r="1600" spans="1:24" ht="15.75" customHeight="1">
      <c r="A1600" s="1">
        <v>6.3208852E7</v>
      </c>
      <c r="B1600" s="1" t="s">
        <v>7088</v>
      </c>
      <c r="C1600" s="1" t="s">
        <v>7089</v>
      </c>
      <c r="D1600" s="1" t="s">
        <v>7090</v>
      </c>
      <c r="F1600" s="1" t="str">
        <f>"1955904227"</f>
        <v>1955904227</v>
      </c>
      <c r="G1600" s="1" t="str">
        <f>"9781955904223"</f>
        <v>9781955904223</v>
      </c>
      <c r="H1600" s="1">
        <v>0.0</v>
      </c>
      <c r="I1600" s="1">
        <v>3.93</v>
      </c>
      <c r="J1600" s="1" t="s">
        <v>7091</v>
      </c>
      <c r="K1600" s="1" t="s">
        <v>44</v>
      </c>
      <c r="L1600" s="1">
        <v>728.0</v>
      </c>
      <c r="M1600" s="1">
        <v>2022.0</v>
      </c>
      <c r="N1600" s="1">
        <v>2022.0</v>
      </c>
      <c r="P1600" s="2">
        <v>45129.0</v>
      </c>
      <c r="Q1600" s="1" t="s">
        <v>145</v>
      </c>
      <c r="R1600" s="1" t="s">
        <v>7092</v>
      </c>
      <c r="S1600" s="1" t="s">
        <v>32</v>
      </c>
      <c r="W1600" s="1">
        <v>0.0</v>
      </c>
      <c r="X1600" s="1">
        <v>0.0</v>
      </c>
    </row>
    <row r="1601" spans="1:24" ht="15.75" customHeight="1">
      <c r="A1601" s="1">
        <v>16200.0</v>
      </c>
      <c r="B1601" s="1" t="s">
        <v>7093</v>
      </c>
      <c r="C1601" s="1" t="s">
        <v>7094</v>
      </c>
      <c r="D1601" s="1" t="s">
        <v>7095</v>
      </c>
      <c r="F1601" s="1" t="str">
        <f>"0385722435"</f>
        <v>0385722435</v>
      </c>
      <c r="G1601" s="1" t="str">
        <f>"9780385722438"</f>
        <v>9780385722438</v>
      </c>
      <c r="H1601" s="1">
        <v>0.0</v>
      </c>
      <c r="I1601" s="1">
        <v>3.93</v>
      </c>
      <c r="J1601" s="1" t="s">
        <v>69</v>
      </c>
      <c r="K1601" s="1" t="s">
        <v>44</v>
      </c>
      <c r="L1601" s="1">
        <v>208.0</v>
      </c>
      <c r="M1601" s="1">
        <v>2002.0</v>
      </c>
      <c r="N1601" s="1">
        <v>2001.0</v>
      </c>
      <c r="P1601" s="2">
        <v>43939.0</v>
      </c>
      <c r="Q1601" s="1" t="s">
        <v>32</v>
      </c>
      <c r="R1601" s="1" t="s">
        <v>7096</v>
      </c>
      <c r="S1601" s="1" t="s">
        <v>32</v>
      </c>
      <c r="W1601" s="1">
        <v>0.0</v>
      </c>
      <c r="X1601" s="1">
        <v>0.0</v>
      </c>
    </row>
    <row r="1602" spans="1:24" ht="15.75" customHeight="1">
      <c r="A1602" s="1">
        <v>2.9845449E7</v>
      </c>
      <c r="B1602" s="1" t="s">
        <v>7097</v>
      </c>
      <c r="C1602" s="1" t="s">
        <v>7098</v>
      </c>
      <c r="D1602" s="1" t="s">
        <v>7099</v>
      </c>
      <c r="F1602" s="1" t="str">
        <f>"1910924385"</f>
        <v>1910924385</v>
      </c>
      <c r="G1602" s="1" t="str">
        <f>"9781910924389"</f>
        <v>9781910924389</v>
      </c>
      <c r="H1602" s="1">
        <v>0.0</v>
      </c>
      <c r="I1602" s="1">
        <v>4.03</v>
      </c>
      <c r="J1602" s="1" t="s">
        <v>7100</v>
      </c>
      <c r="K1602" s="1" t="s">
        <v>44</v>
      </c>
      <c r="L1602" s="1">
        <v>134.0</v>
      </c>
      <c r="M1602" s="1">
        <v>2017.0</v>
      </c>
      <c r="N1602" s="1">
        <v>2016.0</v>
      </c>
      <c r="P1602" s="2">
        <v>45123.0</v>
      </c>
      <c r="Q1602" s="1" t="s">
        <v>32</v>
      </c>
      <c r="R1602" s="1" t="s">
        <v>7101</v>
      </c>
      <c r="S1602" s="1" t="s">
        <v>32</v>
      </c>
      <c r="W1602" s="1">
        <v>0.0</v>
      </c>
      <c r="X1602" s="1">
        <v>0.0</v>
      </c>
    </row>
    <row r="1603" spans="1:24" ht="15.75" customHeight="1">
      <c r="A1603" s="1">
        <v>2.6095252E7</v>
      </c>
      <c r="B1603" s="1" t="s">
        <v>7102</v>
      </c>
      <c r="C1603" s="1" t="s">
        <v>7103</v>
      </c>
      <c r="D1603" s="1" t="s">
        <v>7104</v>
      </c>
      <c r="F1603" s="1" t="str">
        <f>"1782791329"</f>
        <v>1782791329</v>
      </c>
      <c r="G1603" s="1" t="str">
        <f>"9781782791324"</f>
        <v>9781782791324</v>
      </c>
      <c r="H1603" s="1">
        <v>0.0</v>
      </c>
      <c r="I1603" s="1">
        <v>3.5</v>
      </c>
      <c r="J1603" s="1" t="s">
        <v>777</v>
      </c>
      <c r="K1603" s="1" t="s">
        <v>420</v>
      </c>
      <c r="L1603" s="1">
        <v>165.0</v>
      </c>
      <c r="M1603" s="1">
        <v>2015.0</v>
      </c>
      <c r="N1603" s="1">
        <v>2015.0</v>
      </c>
      <c r="P1603" s="2">
        <v>43101.0</v>
      </c>
      <c r="Q1603" s="1" t="s">
        <v>32</v>
      </c>
      <c r="R1603" s="1" t="s">
        <v>7105</v>
      </c>
      <c r="S1603" s="1" t="s">
        <v>32</v>
      </c>
      <c r="W1603" s="1">
        <v>0.0</v>
      </c>
      <c r="X1603" s="1">
        <v>0.0</v>
      </c>
    </row>
    <row r="1604" spans="1:24" ht="15.75" customHeight="1">
      <c r="A1604" s="1">
        <v>8727129.0</v>
      </c>
      <c r="B1604" s="1" t="s">
        <v>7106</v>
      </c>
      <c r="C1604" s="1" t="s">
        <v>7107</v>
      </c>
      <c r="D1604" s="1" t="s">
        <v>7108</v>
      </c>
      <c r="E1604" s="1" t="s">
        <v>7109</v>
      </c>
      <c r="F1604" s="1" t="str">
        <f>"0982597711"</f>
        <v>0982597711</v>
      </c>
      <c r="G1604" s="1" t="str">
        <f>"9780982597712"</f>
        <v>9780982597712</v>
      </c>
      <c r="H1604" s="1">
        <v>0.0</v>
      </c>
      <c r="I1604" s="1">
        <v>3.29</v>
      </c>
      <c r="J1604" s="1" t="s">
        <v>7110</v>
      </c>
      <c r="K1604" s="1" t="s">
        <v>44</v>
      </c>
      <c r="L1604" s="1">
        <v>200.0</v>
      </c>
      <c r="M1604" s="1">
        <v>2010.0</v>
      </c>
      <c r="N1604" s="1">
        <v>2010.0</v>
      </c>
      <c r="P1604" s="2">
        <v>45113.0</v>
      </c>
      <c r="Q1604" s="1" t="s">
        <v>32</v>
      </c>
      <c r="R1604" s="1" t="s">
        <v>7111</v>
      </c>
      <c r="S1604" s="1" t="s">
        <v>32</v>
      </c>
      <c r="W1604" s="1">
        <v>0.0</v>
      </c>
      <c r="X1604" s="1">
        <v>0.0</v>
      </c>
    </row>
    <row r="1605" spans="1:24" ht="15.75" customHeight="1">
      <c r="A1605" s="1">
        <v>3347.0</v>
      </c>
      <c r="B1605" s="1" t="s">
        <v>7112</v>
      </c>
      <c r="C1605" s="1" t="s">
        <v>7113</v>
      </c>
      <c r="D1605" s="1" t="s">
        <v>7114</v>
      </c>
      <c r="F1605" s="1" t="str">
        <f>"0140298517"</f>
        <v>0140298517</v>
      </c>
      <c r="G1605" s="1" t="str">
        <f>"9780140298512"</f>
        <v>9780140298512</v>
      </c>
      <c r="H1605" s="1">
        <v>0.0</v>
      </c>
      <c r="I1605" s="1">
        <v>3.87</v>
      </c>
      <c r="J1605" s="1" t="s">
        <v>309</v>
      </c>
      <c r="K1605" s="1" t="s">
        <v>44</v>
      </c>
      <c r="L1605" s="1">
        <v>400.0</v>
      </c>
      <c r="M1605" s="1">
        <v>2001.0</v>
      </c>
      <c r="N1605" s="1">
        <v>1999.0</v>
      </c>
      <c r="P1605" s="2">
        <v>45143.0</v>
      </c>
      <c r="Q1605" s="1" t="s">
        <v>32</v>
      </c>
      <c r="R1605" s="1" t="s">
        <v>7115</v>
      </c>
      <c r="S1605" s="1" t="s">
        <v>32</v>
      </c>
      <c r="W1605" s="1">
        <v>0.0</v>
      </c>
      <c r="X1605" s="1">
        <v>0.0</v>
      </c>
    </row>
    <row r="1606" spans="1:24" ht="15.75" customHeight="1">
      <c r="A1606" s="1">
        <v>720591.0</v>
      </c>
      <c r="B1606" s="1" t="s">
        <v>7116</v>
      </c>
      <c r="C1606" s="1" t="s">
        <v>7117</v>
      </c>
      <c r="D1606" s="1" t="s">
        <v>7118</v>
      </c>
      <c r="F1606" s="1" t="str">
        <f>"000715612X"</f>
        <v>000715612X</v>
      </c>
      <c r="G1606" s="1" t="str">
        <f>"9780007156122"</f>
        <v>9780007156122</v>
      </c>
      <c r="H1606" s="1">
        <v>0.0</v>
      </c>
      <c r="I1606" s="1">
        <v>3.64</v>
      </c>
      <c r="J1606" s="1" t="s">
        <v>917</v>
      </c>
      <c r="K1606" s="1" t="s">
        <v>44</v>
      </c>
      <c r="L1606" s="1">
        <v>368.0</v>
      </c>
      <c r="M1606" s="1">
        <v>2004.0</v>
      </c>
      <c r="N1606" s="1">
        <v>2003.0</v>
      </c>
      <c r="P1606" s="2">
        <v>44257.0</v>
      </c>
      <c r="Q1606" s="1" t="s">
        <v>32</v>
      </c>
      <c r="R1606" s="1" t="s">
        <v>7119</v>
      </c>
      <c r="S1606" s="1" t="s">
        <v>32</v>
      </c>
      <c r="W1606" s="1">
        <v>0.0</v>
      </c>
      <c r="X1606" s="1">
        <v>0.0</v>
      </c>
    </row>
    <row r="1607" spans="1:24" ht="15.75" customHeight="1">
      <c r="A1607" s="1">
        <v>5.2534874E7</v>
      </c>
      <c r="B1607" s="1" t="s">
        <v>7120</v>
      </c>
      <c r="C1607" s="1" t="s">
        <v>7121</v>
      </c>
      <c r="D1607" s="1" t="s">
        <v>7122</v>
      </c>
      <c r="F1607" s="1" t="str">
        <f>"1944700994"</f>
        <v>1944700994</v>
      </c>
      <c r="G1607" s="1" t="str">
        <f>"9781944700997"</f>
        <v>9781944700997</v>
      </c>
      <c r="H1607" s="1">
        <v>0.0</v>
      </c>
      <c r="I1607" s="1">
        <v>3.97</v>
      </c>
      <c r="J1607" s="1" t="s">
        <v>7123</v>
      </c>
      <c r="K1607" s="1" t="s">
        <v>7124</v>
      </c>
      <c r="L1607" s="1">
        <v>295.0</v>
      </c>
      <c r="M1607" s="1">
        <v>2020.0</v>
      </c>
      <c r="P1607" s="2">
        <v>43921.0</v>
      </c>
      <c r="Q1607" s="1" t="s">
        <v>32</v>
      </c>
      <c r="R1607" s="1" t="s">
        <v>7125</v>
      </c>
      <c r="S1607" s="1" t="s">
        <v>32</v>
      </c>
      <c r="W1607" s="1">
        <v>0.0</v>
      </c>
      <c r="X1607" s="1">
        <v>0.0</v>
      </c>
    </row>
    <row r="1608" spans="1:24" ht="15.75" customHeight="1">
      <c r="A1608" s="1">
        <v>5.3642061E7</v>
      </c>
      <c r="B1608" s="1" t="s">
        <v>7126</v>
      </c>
      <c r="C1608" s="1" t="s">
        <v>7127</v>
      </c>
      <c r="D1608" s="1" t="s">
        <v>7128</v>
      </c>
      <c r="F1608" s="1" t="str">
        <f>"0393542017"</f>
        <v>0393542017</v>
      </c>
      <c r="G1608" s="1" t="str">
        <f>"9780393542011"</f>
        <v>9780393542011</v>
      </c>
      <c r="H1608" s="1">
        <v>0.0</v>
      </c>
      <c r="I1608" s="1">
        <v>4.27</v>
      </c>
      <c r="J1608" s="1" t="s">
        <v>248</v>
      </c>
      <c r="K1608" s="1" t="s">
        <v>37</v>
      </c>
      <c r="L1608" s="1">
        <v>432.0</v>
      </c>
      <c r="M1608" s="1">
        <v>2021.0</v>
      </c>
      <c r="N1608" s="1">
        <v>2021.0</v>
      </c>
      <c r="P1608" s="2">
        <v>45168.0</v>
      </c>
      <c r="Q1608" s="1" t="s">
        <v>32</v>
      </c>
      <c r="R1608" s="1" t="s">
        <v>7129</v>
      </c>
      <c r="S1608" s="1" t="s">
        <v>32</v>
      </c>
      <c r="W1608" s="1">
        <v>0.0</v>
      </c>
      <c r="X1608" s="1">
        <v>0.0</v>
      </c>
    </row>
    <row r="1609" spans="1:24" ht="15.75" customHeight="1">
      <c r="A1609" s="1">
        <v>826706.0</v>
      </c>
      <c r="B1609" s="1" t="s">
        <v>7130</v>
      </c>
      <c r="C1609" s="1" t="s">
        <v>7131</v>
      </c>
      <c r="D1609" s="1" t="s">
        <v>7132</v>
      </c>
      <c r="F1609" s="1" t="str">
        <f>"0898702682"</f>
        <v>0898702682</v>
      </c>
      <c r="G1609" s="1" t="str">
        <f>"9780898702682"</f>
        <v>9780898702682</v>
      </c>
      <c r="H1609" s="1">
        <v>0.0</v>
      </c>
      <c r="I1609" s="1">
        <v>4.11</v>
      </c>
      <c r="J1609" s="1" t="s">
        <v>6700</v>
      </c>
      <c r="K1609" s="1" t="s">
        <v>44</v>
      </c>
      <c r="L1609" s="1">
        <v>452.0</v>
      </c>
      <c r="M1609" s="1">
        <v>1989.0</v>
      </c>
      <c r="N1609" s="1">
        <v>1896.0</v>
      </c>
      <c r="P1609" s="2">
        <v>44222.0</v>
      </c>
      <c r="Q1609" s="1" t="s">
        <v>32</v>
      </c>
      <c r="R1609" s="1" t="s">
        <v>7133</v>
      </c>
      <c r="S1609" s="1" t="s">
        <v>32</v>
      </c>
      <c r="W1609" s="1">
        <v>0.0</v>
      </c>
      <c r="X1609" s="1">
        <v>0.0</v>
      </c>
    </row>
    <row r="1610" spans="1:24" ht="15.75" customHeight="1">
      <c r="A1610" s="1">
        <v>24800.0</v>
      </c>
      <c r="B1610" s="1" t="s">
        <v>7134</v>
      </c>
      <c r="C1610" s="1" t="s">
        <v>7135</v>
      </c>
      <c r="D1610" s="1" t="s">
        <v>7136</v>
      </c>
      <c r="F1610" s="1" t="str">
        <f t="shared" si="121" ref="F1610:G1610">""</f>
        <v/>
      </c>
      <c r="G1610" s="1" t="str">
        <f t="shared" si="121"/>
        <v/>
      </c>
      <c r="H1610" s="1">
        <v>0.0</v>
      </c>
      <c r="I1610" s="1">
        <v>4.09</v>
      </c>
      <c r="J1610" s="1" t="s">
        <v>1189</v>
      </c>
      <c r="K1610" s="1" t="s">
        <v>44</v>
      </c>
      <c r="L1610" s="1">
        <v>710.0</v>
      </c>
      <c r="M1610" s="1">
        <v>2000.0</v>
      </c>
      <c r="N1610" s="1">
        <v>2000.0</v>
      </c>
      <c r="P1610" s="2">
        <v>41663.0</v>
      </c>
      <c r="Q1610" s="1" t="s">
        <v>818</v>
      </c>
      <c r="R1610" s="1" t="s">
        <v>7137</v>
      </c>
      <c r="S1610" s="1" t="s">
        <v>32</v>
      </c>
      <c r="W1610" s="1">
        <v>0.0</v>
      </c>
      <c r="X1610" s="1">
        <v>1.0</v>
      </c>
    </row>
    <row r="1611" spans="1:24" ht="15.75" customHeight="1">
      <c r="A1611" s="1">
        <v>1118668.0</v>
      </c>
      <c r="B1611" s="1" t="s">
        <v>7138</v>
      </c>
      <c r="C1611" s="1" t="s">
        <v>7139</v>
      </c>
      <c r="D1611" s="1" t="s">
        <v>7140</v>
      </c>
      <c r="F1611" s="1" t="str">
        <f t="shared" si="122" ref="F1611:G1611">""</f>
        <v/>
      </c>
      <c r="G1611" s="1" t="str">
        <f t="shared" si="122"/>
        <v/>
      </c>
      <c r="H1611" s="1">
        <v>5.0</v>
      </c>
      <c r="I1611" s="1">
        <v>4.39</v>
      </c>
      <c r="J1611" s="1" t="s">
        <v>530</v>
      </c>
      <c r="K1611" s="1" t="s">
        <v>44</v>
      </c>
      <c r="L1611" s="1">
        <v>550.0</v>
      </c>
      <c r="M1611" s="1">
        <v>2007.0</v>
      </c>
      <c r="N1611" s="1">
        <v>2005.0</v>
      </c>
      <c r="P1611" s="2">
        <v>41171.0</v>
      </c>
      <c r="S1611" s="1" t="s">
        <v>271</v>
      </c>
      <c r="T1611" s="1" t="s">
        <v>7141</v>
      </c>
      <c r="W1611" s="1">
        <v>1.0</v>
      </c>
      <c r="X1611" s="1">
        <v>0.0</v>
      </c>
    </row>
    <row r="1612" spans="1:24" ht="15.75" customHeight="1">
      <c r="A1612" s="1">
        <v>2.0893314E7</v>
      </c>
      <c r="B1612" s="1" t="s">
        <v>7142</v>
      </c>
      <c r="C1612" s="1" t="s">
        <v>7143</v>
      </c>
      <c r="D1612" s="1" t="s">
        <v>7144</v>
      </c>
      <c r="F1612" s="1" t="str">
        <f>"159448600X"</f>
        <v>159448600X</v>
      </c>
      <c r="G1612" s="1" t="str">
        <f>"9781594486005"</f>
        <v>9781594486005</v>
      </c>
      <c r="H1612" s="1">
        <v>0.0</v>
      </c>
      <c r="I1612" s="1">
        <v>3.89</v>
      </c>
      <c r="J1612" s="1" t="s">
        <v>2218</v>
      </c>
      <c r="K1612" s="1" t="s">
        <v>37</v>
      </c>
      <c r="L1612" s="1">
        <v>688.0</v>
      </c>
      <c r="M1612" s="1">
        <v>2014.0</v>
      </c>
      <c r="N1612" s="1">
        <v>2014.0</v>
      </c>
      <c r="P1612" s="2">
        <v>45111.0</v>
      </c>
      <c r="Q1612" s="1" t="s">
        <v>261</v>
      </c>
      <c r="R1612" s="1" t="s">
        <v>7145</v>
      </c>
      <c r="S1612" s="1" t="s">
        <v>32</v>
      </c>
      <c r="W1612" s="1">
        <v>0.0</v>
      </c>
      <c r="X1612" s="1">
        <v>0.0</v>
      </c>
    </row>
    <row r="1613" spans="1:24" ht="15.75" customHeight="1">
      <c r="A1613" s="1">
        <v>2.107418E7</v>
      </c>
      <c r="B1613" s="1" t="s">
        <v>7146</v>
      </c>
      <c r="C1613" s="1" t="s">
        <v>7147</v>
      </c>
      <c r="D1613" s="1" t="s">
        <v>7148</v>
      </c>
      <c r="F1613" s="1" t="str">
        <f>"1408830167"</f>
        <v>1408830167</v>
      </c>
      <c r="G1613" s="1" t="str">
        <f>"9781408830161"</f>
        <v>9781408830161</v>
      </c>
      <c r="H1613" s="1">
        <v>0.0</v>
      </c>
      <c r="I1613" s="1">
        <v>3.7</v>
      </c>
      <c r="J1613" s="1" t="s">
        <v>6805</v>
      </c>
      <c r="K1613" s="1" t="s">
        <v>29</v>
      </c>
      <c r="L1613" s="1">
        <v>396.0</v>
      </c>
      <c r="M1613" s="1">
        <v>2012.0</v>
      </c>
      <c r="N1613" s="1">
        <v>2002.0</v>
      </c>
      <c r="P1613" s="2">
        <v>45154.0</v>
      </c>
      <c r="Q1613" s="1" t="s">
        <v>32</v>
      </c>
      <c r="R1613" s="1" t="s">
        <v>7149</v>
      </c>
      <c r="S1613" s="1" t="s">
        <v>32</v>
      </c>
      <c r="W1613" s="1">
        <v>0.0</v>
      </c>
      <c r="X1613" s="1">
        <v>0.0</v>
      </c>
    </row>
    <row r="1614" spans="1:24" ht="15.75" customHeight="1">
      <c r="A1614" s="1">
        <v>2.6014318E7</v>
      </c>
      <c r="B1614" s="1" t="s">
        <v>7150</v>
      </c>
      <c r="C1614" s="1" t="s">
        <v>7151</v>
      </c>
      <c r="D1614" s="1" t="s">
        <v>7152</v>
      </c>
      <c r="F1614" s="1" t="str">
        <f>"9871156936"</f>
        <v>9871156936</v>
      </c>
      <c r="G1614" s="1" t="str">
        <f>"9789871156931"</f>
        <v>9789871156931</v>
      </c>
      <c r="H1614" s="1">
        <v>0.0</v>
      </c>
      <c r="I1614" s="1">
        <v>4.48</v>
      </c>
      <c r="J1614" s="1" t="s">
        <v>7153</v>
      </c>
      <c r="K1614" s="1" t="s">
        <v>44</v>
      </c>
      <c r="L1614" s="1">
        <v>672.0</v>
      </c>
      <c r="M1614" s="1">
        <v>2008.0</v>
      </c>
      <c r="N1614" s="1">
        <v>2000.0</v>
      </c>
      <c r="P1614" s="2">
        <v>45129.0</v>
      </c>
      <c r="Q1614" s="1" t="s">
        <v>145</v>
      </c>
      <c r="R1614" s="1" t="s">
        <v>7154</v>
      </c>
      <c r="S1614" s="1" t="s">
        <v>32</v>
      </c>
      <c r="W1614" s="1">
        <v>0.0</v>
      </c>
      <c r="X1614" s="1">
        <v>0.0</v>
      </c>
    </row>
    <row r="1615" spans="1:24" ht="15.75" customHeight="1">
      <c r="A1615" s="1">
        <v>4.3985446E7</v>
      </c>
      <c r="B1615" s="1" t="s">
        <v>7155</v>
      </c>
      <c r="C1615" s="1" t="s">
        <v>7156</v>
      </c>
      <c r="D1615" s="1" t="s">
        <v>7157</v>
      </c>
      <c r="F1615" s="1" t="str">
        <f>"0889775842"</f>
        <v>0889775842</v>
      </c>
      <c r="G1615" s="1" t="str">
        <f>"9780889775848"</f>
        <v>9780889775848</v>
      </c>
      <c r="H1615" s="1">
        <v>0.0</v>
      </c>
      <c r="I1615" s="1">
        <v>3.7</v>
      </c>
      <c r="J1615" s="1" t="s">
        <v>7158</v>
      </c>
      <c r="K1615" s="1" t="s">
        <v>44</v>
      </c>
      <c r="L1615" s="1">
        <v>356.0</v>
      </c>
      <c r="M1615" s="1">
        <v>2019.0</v>
      </c>
      <c r="N1615" s="1">
        <v>2019.0</v>
      </c>
      <c r="P1615" s="2">
        <v>43961.0</v>
      </c>
      <c r="Q1615" s="1" t="s">
        <v>32</v>
      </c>
      <c r="R1615" s="1" t="s">
        <v>7159</v>
      </c>
      <c r="S1615" s="1" t="s">
        <v>32</v>
      </c>
      <c r="W1615" s="1">
        <v>0.0</v>
      </c>
      <c r="X1615" s="1">
        <v>0.0</v>
      </c>
    </row>
    <row r="1616" spans="1:24" ht="15.75" customHeight="1">
      <c r="A1616" s="1">
        <v>226714.0</v>
      </c>
      <c r="B1616" s="1" t="s">
        <v>7160</v>
      </c>
      <c r="C1616" s="1" t="s">
        <v>7161</v>
      </c>
      <c r="D1616" s="1" t="s">
        <v>7162</v>
      </c>
      <c r="F1616" s="1" t="str">
        <f>"0195074858"</f>
        <v>0195074858</v>
      </c>
      <c r="G1616" s="1" t="str">
        <f>"9780195074857"</f>
        <v>9780195074857</v>
      </c>
      <c r="H1616" s="1">
        <v>0.0</v>
      </c>
      <c r="I1616" s="1">
        <v>4.1</v>
      </c>
      <c r="J1616" s="1" t="s">
        <v>181</v>
      </c>
      <c r="K1616" s="1" t="s">
        <v>44</v>
      </c>
      <c r="L1616" s="1">
        <v>432.0</v>
      </c>
      <c r="M1616" s="1">
        <v>1992.0</v>
      </c>
      <c r="N1616" s="1">
        <v>1990.0</v>
      </c>
      <c r="P1616" s="2">
        <v>45143.0</v>
      </c>
      <c r="Q1616" s="1" t="s">
        <v>553</v>
      </c>
      <c r="R1616" s="1" t="s">
        <v>7163</v>
      </c>
      <c r="S1616" s="1" t="s">
        <v>32</v>
      </c>
      <c r="W1616" s="1">
        <v>0.0</v>
      </c>
      <c r="X1616" s="1">
        <v>0.0</v>
      </c>
    </row>
    <row r="1617" spans="1:24" ht="15.75" customHeight="1">
      <c r="A1617" s="1">
        <v>7231024.0</v>
      </c>
      <c r="B1617" s="1" t="s">
        <v>7164</v>
      </c>
      <c r="C1617" s="1" t="s">
        <v>7161</v>
      </c>
      <c r="D1617" s="1" t="s">
        <v>7162</v>
      </c>
      <c r="F1617" s="1" t="str">
        <f>"0195305310"</f>
        <v>0195305310</v>
      </c>
      <c r="G1617" s="1" t="str">
        <f>"9780195305319"</f>
        <v>9780195305319</v>
      </c>
      <c r="H1617" s="1">
        <v>0.0</v>
      </c>
      <c r="I1617" s="1">
        <v>4.0</v>
      </c>
      <c r="J1617" s="1" t="s">
        <v>181</v>
      </c>
      <c r="K1617" s="1" t="s">
        <v>37</v>
      </c>
      <c r="L1617" s="1">
        <v>209.0</v>
      </c>
      <c r="M1617" s="1">
        <v>2010.0</v>
      </c>
      <c r="N1617" s="1">
        <v>2010.0</v>
      </c>
      <c r="P1617" s="2">
        <v>45143.0</v>
      </c>
      <c r="Q1617" s="1" t="s">
        <v>5810</v>
      </c>
      <c r="R1617" s="1" t="s">
        <v>7165</v>
      </c>
      <c r="S1617" s="1" t="s">
        <v>32</v>
      </c>
      <c r="W1617" s="1">
        <v>0.0</v>
      </c>
      <c r="X1617" s="1">
        <v>1.0</v>
      </c>
    </row>
    <row r="1618" spans="1:24" ht="15.75" customHeight="1">
      <c r="A1618" s="65">
        <v>3.4625037E7</v>
      </c>
      <c r="B1618" s="65" t="s">
        <v>7166</v>
      </c>
      <c r="C1618" s="65" t="s">
        <v>7161</v>
      </c>
      <c r="D1618" s="65" t="s">
        <v>7162</v>
      </c>
      <c r="E1618" s="65" t="s">
        <v>7167</v>
      </c>
      <c r="F1618" s="65" t="str">
        <f>"0190600233"</f>
        <v>0190600233</v>
      </c>
      <c r="G1618" s="65" t="str">
        <f>"9780190600235"</f>
        <v>9780190600235</v>
      </c>
      <c r="H1618" s="65">
        <v>0.0</v>
      </c>
      <c r="I1618" s="65">
        <v>3.48</v>
      </c>
      <c r="J1618" s="65" t="s">
        <v>181</v>
      </c>
      <c r="K1618" s="65" t="s">
        <v>37</v>
      </c>
      <c r="L1618" s="65">
        <v>264.0</v>
      </c>
      <c r="M1618" s="65">
        <v>2017.0</v>
      </c>
      <c r="N1618" s="66"/>
      <c r="O1618" s="66"/>
      <c r="P1618" s="67">
        <v>45143.0</v>
      </c>
      <c r="Q1618" s="68" t="s">
        <v>871</v>
      </c>
      <c r="R1618" s="65" t="s">
        <v>7168</v>
      </c>
      <c r="S1618" s="65" t="s">
        <v>32</v>
      </c>
      <c r="T1618" s="66"/>
      <c r="U1618" s="66"/>
      <c r="V1618" s="66"/>
      <c r="W1618" s="65">
        <v>0.0</v>
      </c>
      <c r="X1618" s="65">
        <v>0.0</v>
      </c>
    </row>
    <row r="1619" spans="1:24" ht="15.75" customHeight="1">
      <c r="A1619" s="65">
        <v>226712.0</v>
      </c>
      <c r="B1619" s="65" t="s">
        <v>7169</v>
      </c>
      <c r="C1619" s="65" t="s">
        <v>7161</v>
      </c>
      <c r="D1619" s="65" t="s">
        <v>7162</v>
      </c>
      <c r="E1619" s="66"/>
      <c r="F1619" s="65" t="str">
        <f>"0807041092"</f>
        <v>0807041092</v>
      </c>
      <c r="G1619" s="65" t="str">
        <f>"9780807041093"</f>
        <v>9780807041093</v>
      </c>
      <c r="H1619" s="65">
        <v>0.0</v>
      </c>
      <c r="I1619" s="65">
        <v>3.77</v>
      </c>
      <c r="J1619" s="65" t="s">
        <v>758</v>
      </c>
      <c r="K1619" s="65" t="s">
        <v>44</v>
      </c>
      <c r="L1619" s="65">
        <v>168.0</v>
      </c>
      <c r="M1619" s="65">
        <v>1997.0</v>
      </c>
      <c r="N1619" s="65">
        <v>1996.0</v>
      </c>
      <c r="O1619" s="66"/>
      <c r="P1619" s="67">
        <v>45143.0</v>
      </c>
      <c r="Q1619" s="68" t="s">
        <v>871</v>
      </c>
      <c r="R1619" s="65" t="s">
        <v>7170</v>
      </c>
      <c r="S1619" s="65" t="s">
        <v>32</v>
      </c>
      <c r="T1619" s="66"/>
      <c r="U1619" s="66"/>
      <c r="V1619" s="66"/>
      <c r="W1619" s="65">
        <v>0.0</v>
      </c>
      <c r="X1619" s="65">
        <v>0.0</v>
      </c>
    </row>
    <row r="1620" spans="1:24" ht="15.75" customHeight="1">
      <c r="A1620" s="1">
        <v>146224.0</v>
      </c>
      <c r="B1620" s="1" t="s">
        <v>7171</v>
      </c>
      <c r="C1620" s="1" t="s">
        <v>7172</v>
      </c>
      <c r="D1620" s="1" t="s">
        <v>7173</v>
      </c>
      <c r="F1620" s="1" t="str">
        <f>"006251184X"</f>
        <v>006251184X</v>
      </c>
      <c r="G1620" s="1" t="str">
        <f>"9780062511843"</f>
        <v>9780062511843</v>
      </c>
      <c r="H1620" s="1">
        <v>0.0</v>
      </c>
      <c r="I1620" s="1">
        <v>3.97</v>
      </c>
      <c r="J1620" s="1" t="s">
        <v>525</v>
      </c>
      <c r="K1620" s="1" t="s">
        <v>44</v>
      </c>
      <c r="L1620" s="1">
        <v>201.0</v>
      </c>
      <c r="M1620" s="1">
        <v>1995.0</v>
      </c>
      <c r="N1620" s="1">
        <v>1995.0</v>
      </c>
      <c r="P1620" s="2">
        <v>45180.0</v>
      </c>
      <c r="Q1620" s="1" t="s">
        <v>249</v>
      </c>
      <c r="R1620" s="1" t="s">
        <v>7174</v>
      </c>
      <c r="S1620" s="1" t="s">
        <v>32</v>
      </c>
      <c r="W1620" s="1">
        <v>0.0</v>
      </c>
      <c r="X1620" s="1">
        <v>0.0</v>
      </c>
    </row>
    <row r="1621" spans="1:24" ht="15.75" customHeight="1">
      <c r="A1621" s="1">
        <v>1.374776E7</v>
      </c>
      <c r="B1621" s="1" t="s">
        <v>7175</v>
      </c>
      <c r="C1621" s="1" t="s">
        <v>7176</v>
      </c>
      <c r="D1621" s="1" t="s">
        <v>7177</v>
      </c>
      <c r="F1621" s="1" t="str">
        <f>"0674064372"</f>
        <v>0674064372</v>
      </c>
      <c r="G1621" s="1" t="str">
        <f>"9780674064379"</f>
        <v>9780674064379</v>
      </c>
      <c r="H1621" s="1">
        <v>0.0</v>
      </c>
      <c r="I1621" s="1">
        <v>3.39</v>
      </c>
      <c r="J1621" s="1" t="s">
        <v>2273</v>
      </c>
      <c r="K1621" s="1" t="s">
        <v>37</v>
      </c>
      <c r="L1621" s="1">
        <v>304.0</v>
      </c>
      <c r="M1621" s="1">
        <v>2012.0</v>
      </c>
      <c r="N1621" s="1">
        <v>2010.0</v>
      </c>
      <c r="P1621" s="2">
        <v>45081.0</v>
      </c>
      <c r="Q1621" s="1" t="s">
        <v>7178</v>
      </c>
      <c r="R1621" s="1" t="s">
        <v>7179</v>
      </c>
      <c r="S1621" s="1" t="s">
        <v>32</v>
      </c>
      <c r="W1621" s="1">
        <v>0.0</v>
      </c>
      <c r="X1621" s="1">
        <v>0.0</v>
      </c>
    </row>
    <row r="1622" spans="1:24" ht="15.75" customHeight="1">
      <c r="A1622" s="1">
        <v>551866.0</v>
      </c>
      <c r="B1622" s="1" t="s">
        <v>7180</v>
      </c>
      <c r="C1622" s="1" t="s">
        <v>7181</v>
      </c>
      <c r="D1622" s="1" t="s">
        <v>7182</v>
      </c>
      <c r="E1622" s="1" t="s">
        <v>7183</v>
      </c>
      <c r="F1622" s="1" t="str">
        <f>"0684717255"</f>
        <v>0684717255</v>
      </c>
      <c r="G1622" s="1" t="str">
        <f>"9780684717258"</f>
        <v>9780684717258</v>
      </c>
      <c r="H1622" s="1">
        <v>0.0</v>
      </c>
      <c r="I1622" s="1">
        <v>4.08</v>
      </c>
      <c r="J1622" s="1" t="s">
        <v>7184</v>
      </c>
      <c r="K1622" s="1" t="s">
        <v>44</v>
      </c>
      <c r="L1622" s="1">
        <v>185.0</v>
      </c>
      <c r="M1622" s="1">
        <v>1971.0</v>
      </c>
      <c r="N1622" s="1">
        <v>1923.0</v>
      </c>
      <c r="P1622" s="2">
        <v>43952.0</v>
      </c>
      <c r="Q1622" s="1" t="s">
        <v>32</v>
      </c>
      <c r="R1622" s="1" t="s">
        <v>7185</v>
      </c>
      <c r="S1622" s="1" t="s">
        <v>32</v>
      </c>
      <c r="W1622" s="1">
        <v>0.0</v>
      </c>
      <c r="X1622" s="1">
        <v>0.0</v>
      </c>
    </row>
    <row r="1623" spans="1:24" ht="15.75" customHeight="1">
      <c r="A1623" s="1">
        <v>5.8705696E7</v>
      </c>
      <c r="B1623" s="1" t="s">
        <v>7186</v>
      </c>
      <c r="C1623" s="1" t="s">
        <v>7187</v>
      </c>
      <c r="D1623" s="1" t="s">
        <v>7188</v>
      </c>
      <c r="F1623" s="1" t="str">
        <f t="shared" si="123" ref="F1623:G1623">""</f>
        <v/>
      </c>
      <c r="G1623" s="1" t="str">
        <f t="shared" si="123"/>
        <v/>
      </c>
      <c r="H1623" s="1">
        <v>0.0</v>
      </c>
      <c r="I1623" s="1">
        <v>4.39</v>
      </c>
      <c r="J1623" s="1" t="s">
        <v>7189</v>
      </c>
      <c r="K1623" s="1" t="s">
        <v>44</v>
      </c>
      <c r="L1623" s="1">
        <v>680.0</v>
      </c>
      <c r="M1623" s="1">
        <v>2021.0</v>
      </c>
      <c r="N1623" s="1">
        <v>2021.0</v>
      </c>
      <c r="P1623" s="2">
        <v>45318.0</v>
      </c>
      <c r="Q1623" s="1" t="s">
        <v>32</v>
      </c>
      <c r="R1623" s="1" t="s">
        <v>7190</v>
      </c>
      <c r="S1623" s="1" t="s">
        <v>32</v>
      </c>
      <c r="W1623" s="1">
        <v>0.0</v>
      </c>
      <c r="X1623" s="1">
        <v>0.0</v>
      </c>
    </row>
    <row r="1624" spans="1:24" ht="15.75" customHeight="1">
      <c r="A1624" s="1">
        <v>239930.0</v>
      </c>
      <c r="B1624" s="1" t="s">
        <v>7191</v>
      </c>
      <c r="C1624" s="1" t="s">
        <v>7192</v>
      </c>
      <c r="D1624" s="1" t="s">
        <v>7193</v>
      </c>
      <c r="F1624" s="1" t="str">
        <f>"0814718752"</f>
        <v>0814718752</v>
      </c>
      <c r="G1624" s="1" t="str">
        <f>"9780814718759"</f>
        <v>9780814718759</v>
      </c>
      <c r="H1624" s="1">
        <v>0.0</v>
      </c>
      <c r="I1624" s="1">
        <v>4.17</v>
      </c>
      <c r="J1624" s="1" t="s">
        <v>1719</v>
      </c>
      <c r="K1624" s="1" t="s">
        <v>44</v>
      </c>
      <c r="L1624" s="1">
        <v>678.0</v>
      </c>
      <c r="M1624" s="1">
        <v>1997.0</v>
      </c>
      <c r="N1624" s="1">
        <v>1997.0</v>
      </c>
      <c r="P1624" s="2">
        <v>44214.0</v>
      </c>
      <c r="Q1624" s="1" t="s">
        <v>32</v>
      </c>
      <c r="R1624" s="1" t="s">
        <v>7194</v>
      </c>
      <c r="S1624" s="1" t="s">
        <v>32</v>
      </c>
      <c r="W1624" s="1">
        <v>0.0</v>
      </c>
      <c r="X1624" s="1">
        <v>0.0</v>
      </c>
    </row>
    <row r="1625" spans="1:24" ht="15.75" customHeight="1">
      <c r="A1625" s="1">
        <v>44953.0</v>
      </c>
      <c r="B1625" s="1" t="s">
        <v>7195</v>
      </c>
      <c r="C1625" s="1" t="s">
        <v>7196</v>
      </c>
      <c r="D1625" s="1" t="s">
        <v>7197</v>
      </c>
      <c r="F1625" s="1" t="str">
        <f>"0486247619"</f>
        <v>0486247619</v>
      </c>
      <c r="G1625" s="1" t="str">
        <f>"9780486247618"</f>
        <v>9780486247618</v>
      </c>
      <c r="H1625" s="1">
        <v>0.0</v>
      </c>
      <c r="I1625" s="1">
        <v>3.88</v>
      </c>
      <c r="J1625" s="1" t="s">
        <v>910</v>
      </c>
      <c r="K1625" s="1" t="s">
        <v>44</v>
      </c>
      <c r="L1625" s="1">
        <v>96.0</v>
      </c>
      <c r="M1625" s="1">
        <v>1984.0</v>
      </c>
      <c r="N1625" s="1">
        <v>1972.0</v>
      </c>
      <c r="P1625" s="2">
        <v>45160.0</v>
      </c>
      <c r="Q1625" s="1" t="s">
        <v>32</v>
      </c>
      <c r="R1625" s="1" t="s">
        <v>7198</v>
      </c>
      <c r="S1625" s="1" t="s">
        <v>32</v>
      </c>
      <c r="W1625" s="1">
        <v>0.0</v>
      </c>
      <c r="X1625" s="1">
        <v>0.0</v>
      </c>
    </row>
    <row r="1626" spans="1:24" ht="15.75" customHeight="1">
      <c r="A1626" s="1">
        <v>257146.0</v>
      </c>
      <c r="B1626" s="1" t="s">
        <v>7199</v>
      </c>
      <c r="C1626" s="1" t="s">
        <v>7200</v>
      </c>
      <c r="D1626" s="1" t="s">
        <v>7201</v>
      </c>
      <c r="F1626" s="1" t="str">
        <f>"006090528X"</f>
        <v>006090528X</v>
      </c>
      <c r="G1626" s="1" t="str">
        <f>"9780060905286"</f>
        <v>9780060905286</v>
      </c>
      <c r="H1626" s="1">
        <v>0.0</v>
      </c>
      <c r="I1626" s="1">
        <v>4.12</v>
      </c>
      <c r="J1626" s="1" t="s">
        <v>917</v>
      </c>
      <c r="K1626" s="1" t="s">
        <v>44</v>
      </c>
      <c r="L1626" s="1">
        <v>252.0</v>
      </c>
      <c r="M1626" s="1">
        <v>1968.0</v>
      </c>
      <c r="N1626" s="1">
        <v>1952.0</v>
      </c>
      <c r="P1626" s="2">
        <v>45129.0</v>
      </c>
      <c r="Q1626" s="1" t="s">
        <v>1207</v>
      </c>
      <c r="R1626" s="1" t="s">
        <v>7202</v>
      </c>
      <c r="S1626" s="1" t="s">
        <v>32</v>
      </c>
      <c r="W1626" s="1">
        <v>0.0</v>
      </c>
      <c r="X1626" s="1">
        <v>1.0</v>
      </c>
    </row>
    <row r="1627" spans="1:24" ht="15.75" customHeight="1">
      <c r="A1627" s="1">
        <v>203310.0</v>
      </c>
      <c r="B1627" s="1" t="s">
        <v>7203</v>
      </c>
      <c r="C1627" s="1" t="s">
        <v>7200</v>
      </c>
      <c r="D1627" s="1" t="s">
        <v>7201</v>
      </c>
      <c r="E1627" s="1" t="s">
        <v>7204</v>
      </c>
      <c r="F1627" s="1" t="str">
        <f t="shared" si="124" ref="F1627:G1627">""</f>
        <v/>
      </c>
      <c r="G1627" s="1" t="str">
        <f t="shared" si="124"/>
        <v/>
      </c>
      <c r="H1627" s="1">
        <v>0.0</v>
      </c>
      <c r="I1627" s="1">
        <v>4.11</v>
      </c>
      <c r="J1627" s="1" t="s">
        <v>397</v>
      </c>
      <c r="K1627" s="1" t="s">
        <v>44</v>
      </c>
      <c r="L1627" s="1">
        <v>256.0</v>
      </c>
      <c r="M1627" s="1">
        <v>2013.0</v>
      </c>
      <c r="N1627" s="1">
        <v>1971.0</v>
      </c>
      <c r="P1627" s="2">
        <v>42816.0</v>
      </c>
      <c r="Q1627" s="1" t="s">
        <v>32</v>
      </c>
      <c r="R1627" s="1" t="s">
        <v>7205</v>
      </c>
      <c r="S1627" s="1" t="s">
        <v>32</v>
      </c>
      <c r="W1627" s="1">
        <v>0.0</v>
      </c>
      <c r="X1627" s="1">
        <v>0.0</v>
      </c>
    </row>
    <row r="1628" spans="1:24" ht="15.75" customHeight="1">
      <c r="A1628" s="1">
        <v>1675340.0</v>
      </c>
      <c r="B1628" s="1" t="s">
        <v>7206</v>
      </c>
      <c r="C1628" s="1" t="s">
        <v>7207</v>
      </c>
      <c r="D1628" s="1" t="s">
        <v>7208</v>
      </c>
      <c r="F1628" s="1" t="str">
        <f t="shared" si="125" ref="F1628:G1628">""</f>
        <v/>
      </c>
      <c r="G1628" s="1" t="str">
        <f t="shared" si="125"/>
        <v/>
      </c>
      <c r="H1628" s="1">
        <v>0.0</v>
      </c>
      <c r="I1628" s="1">
        <v>3.72</v>
      </c>
      <c r="J1628" s="1" t="s">
        <v>6068</v>
      </c>
      <c r="K1628" s="1" t="s">
        <v>44</v>
      </c>
      <c r="L1628" s="1">
        <v>192.0</v>
      </c>
      <c r="M1628" s="1">
        <v>2005.0</v>
      </c>
      <c r="N1628" s="1">
        <v>2002.0</v>
      </c>
      <c r="P1628" s="3">
        <v>45228.0</v>
      </c>
      <c r="Q1628" s="1" t="s">
        <v>7209</v>
      </c>
      <c r="R1628" s="1" t="s">
        <v>7210</v>
      </c>
      <c r="S1628" s="1" t="s">
        <v>32</v>
      </c>
      <c r="W1628" s="1">
        <v>0.0</v>
      </c>
      <c r="X1628" s="1">
        <v>0.0</v>
      </c>
    </row>
    <row r="1629" spans="1:24" ht="15.75" customHeight="1">
      <c r="A1629" s="1">
        <v>144930.0</v>
      </c>
      <c r="B1629" s="1" t="s">
        <v>7211</v>
      </c>
      <c r="C1629" s="1" t="s">
        <v>7212</v>
      </c>
      <c r="D1629" s="1" t="s">
        <v>7213</v>
      </c>
      <c r="F1629" s="1" t="str">
        <f>"188775279X"</f>
        <v>188775279X</v>
      </c>
      <c r="G1629" s="1" t="str">
        <f>"9781887752794"</f>
        <v>9781887752794</v>
      </c>
      <c r="H1629" s="1">
        <v>0.0</v>
      </c>
      <c r="I1629" s="1">
        <v>4.3</v>
      </c>
      <c r="J1629" s="1" t="s">
        <v>7214</v>
      </c>
      <c r="K1629" s="1" t="s">
        <v>44</v>
      </c>
      <c r="L1629" s="1">
        <v>160.0</v>
      </c>
      <c r="M1629" s="1">
        <v>2006.0</v>
      </c>
      <c r="N1629" s="1">
        <v>1991.0</v>
      </c>
      <c r="P1629" s="2">
        <v>45169.0</v>
      </c>
      <c r="Q1629" s="1" t="s">
        <v>32</v>
      </c>
      <c r="R1629" s="1" t="s">
        <v>7215</v>
      </c>
      <c r="S1629" s="1" t="s">
        <v>32</v>
      </c>
      <c r="W1629" s="1">
        <v>0.0</v>
      </c>
      <c r="X1629" s="1">
        <v>0.0</v>
      </c>
    </row>
    <row r="1630" spans="1:24" ht="15.75" customHeight="1">
      <c r="A1630" s="1">
        <v>1295517.0</v>
      </c>
      <c r="B1630" s="1" t="s">
        <v>7216</v>
      </c>
      <c r="C1630" s="1" t="s">
        <v>7217</v>
      </c>
      <c r="D1630" s="1" t="s">
        <v>7218</v>
      </c>
      <c r="E1630" s="1" t="s">
        <v>7219</v>
      </c>
      <c r="F1630" s="1" t="str">
        <f>"0814746950"</f>
        <v>0814746950</v>
      </c>
      <c r="G1630" s="1" t="str">
        <f>"9780814746950"</f>
        <v>9780814746950</v>
      </c>
      <c r="H1630" s="1">
        <v>0.0</v>
      </c>
      <c r="I1630" s="1">
        <v>3.73</v>
      </c>
      <c r="J1630" s="1" t="s">
        <v>1719</v>
      </c>
      <c r="K1630" s="1" t="s">
        <v>44</v>
      </c>
      <c r="L1630" s="1">
        <v>274.0</v>
      </c>
      <c r="M1630" s="1">
        <v>1998.0</v>
      </c>
      <c r="N1630" s="1">
        <v>1988.0</v>
      </c>
      <c r="P1630" s="3">
        <v>43039.0</v>
      </c>
      <c r="Q1630" s="1" t="s">
        <v>1110</v>
      </c>
      <c r="R1630" s="1" t="s">
        <v>7220</v>
      </c>
      <c r="S1630" s="1" t="s">
        <v>32</v>
      </c>
      <c r="W1630" s="1">
        <v>0.0</v>
      </c>
      <c r="X1630" s="1">
        <v>0.0</v>
      </c>
    </row>
    <row r="1631" spans="1:24" ht="15.75" customHeight="1">
      <c r="A1631" s="1">
        <v>60656.0</v>
      </c>
      <c r="B1631" s="1" t="s">
        <v>7221</v>
      </c>
      <c r="C1631" s="1" t="s">
        <v>7222</v>
      </c>
      <c r="D1631" s="1" t="s">
        <v>7223</v>
      </c>
      <c r="F1631" s="1" t="str">
        <f>"067972849X"</f>
        <v>067972849X</v>
      </c>
      <c r="G1631" s="1" t="str">
        <f>"9780679728498"</f>
        <v>9780679728498</v>
      </c>
      <c r="H1631" s="1">
        <v>0.0</v>
      </c>
      <c r="I1631" s="1">
        <v>4.09</v>
      </c>
      <c r="J1631" s="1" t="s">
        <v>69</v>
      </c>
      <c r="K1631" s="1" t="s">
        <v>44</v>
      </c>
      <c r="L1631" s="1">
        <v>368.0</v>
      </c>
      <c r="M1631" s="1">
        <v>1991.0</v>
      </c>
      <c r="N1631" s="1">
        <v>1977.0</v>
      </c>
      <c r="P1631" s="2">
        <v>45166.0</v>
      </c>
      <c r="Q1631" s="1" t="s">
        <v>4319</v>
      </c>
      <c r="R1631" s="1" t="s">
        <v>7224</v>
      </c>
      <c r="S1631" s="1" t="s">
        <v>32</v>
      </c>
      <c r="W1631" s="1">
        <v>0.0</v>
      </c>
      <c r="X1631" s="1">
        <v>0.0</v>
      </c>
    </row>
    <row r="1632" spans="1:24" ht="15.75" customHeight="1">
      <c r="A1632" s="1">
        <v>4.8767793E7</v>
      </c>
      <c r="B1632" s="1" t="s">
        <v>7225</v>
      </c>
      <c r="C1632" s="1" t="s">
        <v>7226</v>
      </c>
      <c r="D1632" s="1" t="s">
        <v>7227</v>
      </c>
      <c r="F1632" s="1" t="str">
        <f>"088079416X"</f>
        <v>088079416X</v>
      </c>
      <c r="G1632" s="1" t="str">
        <f>"9780880794169"</f>
        <v>9780880794169</v>
      </c>
      <c r="H1632" s="1">
        <v>0.0</v>
      </c>
      <c r="I1632" s="1">
        <v>4.1</v>
      </c>
      <c r="J1632" s="1" t="s">
        <v>7228</v>
      </c>
      <c r="K1632" s="1" t="s">
        <v>7229</v>
      </c>
      <c r="L1632" s="1">
        <v>340.0</v>
      </c>
      <c r="M1632" s="1">
        <v>2002.0</v>
      </c>
      <c r="P1632" s="2">
        <v>44814.0</v>
      </c>
      <c r="Q1632" s="1" t="s">
        <v>32</v>
      </c>
      <c r="R1632" s="1" t="s">
        <v>7230</v>
      </c>
      <c r="S1632" s="1" t="s">
        <v>32</v>
      </c>
      <c r="W1632" s="1">
        <v>0.0</v>
      </c>
      <c r="X1632" s="1">
        <v>0.0</v>
      </c>
    </row>
    <row r="1633" spans="1:24" ht="15.75" customHeight="1">
      <c r="A1633" s="1">
        <v>1.5797986E7</v>
      </c>
      <c r="B1633" s="1" t="s">
        <v>7231</v>
      </c>
      <c r="C1633" s="1" t="s">
        <v>7232</v>
      </c>
      <c r="D1633" s="1" t="s">
        <v>7233</v>
      </c>
      <c r="E1633" s="1" t="s">
        <v>7234</v>
      </c>
      <c r="F1633" s="1" t="str">
        <f>"1612191940"</f>
        <v>1612191940</v>
      </c>
      <c r="G1633" s="1" t="str">
        <f>"9781612191942"</f>
        <v>9781612191942</v>
      </c>
      <c r="H1633" s="1">
        <v>0.0</v>
      </c>
      <c r="I1633" s="1">
        <v>3.57</v>
      </c>
      <c r="J1633" s="1" t="s">
        <v>2462</v>
      </c>
      <c r="K1633" s="1" t="s">
        <v>44</v>
      </c>
      <c r="L1633" s="1">
        <v>162.0</v>
      </c>
      <c r="M1633" s="1">
        <v>2013.0</v>
      </c>
      <c r="N1633" s="1">
        <v>1902.0</v>
      </c>
      <c r="P1633" s="2">
        <v>42603.0</v>
      </c>
      <c r="Q1633" s="1" t="s">
        <v>32</v>
      </c>
      <c r="R1633" s="1" t="s">
        <v>7235</v>
      </c>
      <c r="S1633" s="1" t="s">
        <v>32</v>
      </c>
      <c r="W1633" s="1">
        <v>0.0</v>
      </c>
      <c r="X1633" s="1">
        <v>0.0</v>
      </c>
    </row>
    <row r="1634" spans="1:24" ht="15.75" customHeight="1">
      <c r="A1634" s="1">
        <v>2.6532019E7</v>
      </c>
      <c r="B1634" s="1" t="s">
        <v>7236</v>
      </c>
      <c r="C1634" s="1" t="s">
        <v>7237</v>
      </c>
      <c r="D1634" s="1" t="s">
        <v>7238</v>
      </c>
      <c r="F1634" s="1" t="str">
        <f>"0199752052"</f>
        <v>0199752052</v>
      </c>
      <c r="G1634" s="1" t="str">
        <f>"9780199752058"</f>
        <v>9780199752058</v>
      </c>
      <c r="H1634" s="1">
        <v>0.0</v>
      </c>
      <c r="I1634" s="1">
        <v>3.5</v>
      </c>
      <c r="J1634" s="1" t="s">
        <v>181</v>
      </c>
      <c r="K1634" s="1" t="s">
        <v>37</v>
      </c>
      <c r="L1634" s="1">
        <v>318.0</v>
      </c>
      <c r="M1634" s="1">
        <v>2015.0</v>
      </c>
      <c r="N1634" s="1">
        <v>2016.0</v>
      </c>
      <c r="P1634" s="2">
        <v>45191.0</v>
      </c>
      <c r="Q1634" s="1" t="s">
        <v>725</v>
      </c>
      <c r="R1634" s="1" t="s">
        <v>7239</v>
      </c>
      <c r="S1634" s="1" t="s">
        <v>32</v>
      </c>
      <c r="W1634" s="1">
        <v>0.0</v>
      </c>
      <c r="X1634" s="1">
        <v>0.0</v>
      </c>
    </row>
    <row r="1635" spans="1:24" ht="15.75" customHeight="1">
      <c r="A1635" s="1">
        <v>116760.0</v>
      </c>
      <c r="B1635" s="1" t="s">
        <v>7240</v>
      </c>
      <c r="C1635" s="1" t="s">
        <v>7241</v>
      </c>
      <c r="D1635" s="1" t="s">
        <v>7242</v>
      </c>
      <c r="F1635" s="1" t="str">
        <f>"1582432554"</f>
        <v>1582432554</v>
      </c>
      <c r="G1635" s="1" t="str">
        <f>"9781582432557"</f>
        <v>9781582432557</v>
      </c>
      <c r="H1635" s="1">
        <v>0.0</v>
      </c>
      <c r="I1635" s="1">
        <v>3.75</v>
      </c>
      <c r="J1635" s="1" t="s">
        <v>7243</v>
      </c>
      <c r="K1635" s="1" t="s">
        <v>44</v>
      </c>
      <c r="L1635" s="1">
        <v>208.0</v>
      </c>
      <c r="M1635" s="1">
        <v>2002.0</v>
      </c>
      <c r="N1635" s="1">
        <v>2001.0</v>
      </c>
      <c r="P1635" s="2">
        <v>44235.0</v>
      </c>
      <c r="Q1635" s="1" t="s">
        <v>32</v>
      </c>
      <c r="R1635" s="1" t="s">
        <v>7244</v>
      </c>
      <c r="S1635" s="1" t="s">
        <v>32</v>
      </c>
      <c r="W1635" s="1">
        <v>0.0</v>
      </c>
      <c r="X1635" s="1">
        <v>0.0</v>
      </c>
    </row>
    <row r="1636" spans="1:24" ht="15.75" customHeight="1">
      <c r="A1636" s="1">
        <v>1.2327311E8</v>
      </c>
      <c r="B1636" s="1" t="s">
        <v>7245</v>
      </c>
      <c r="C1636" s="1" t="s">
        <v>7246</v>
      </c>
      <c r="D1636" s="1" t="s">
        <v>7247</v>
      </c>
      <c r="F1636" s="1" t="str">
        <f>"1950268845"</f>
        <v>1950268845</v>
      </c>
      <c r="G1636" s="1" t="str">
        <f>"9781950268849"</f>
        <v>9781950268849</v>
      </c>
      <c r="H1636" s="1">
        <v>0.0</v>
      </c>
      <c r="I1636" s="1">
        <v>4.57</v>
      </c>
      <c r="J1636" s="1" t="s">
        <v>6826</v>
      </c>
      <c r="K1636" s="1" t="s">
        <v>37</v>
      </c>
      <c r="L1636" s="1">
        <v>96.0</v>
      </c>
      <c r="M1636" s="1">
        <v>2023.0</v>
      </c>
      <c r="P1636" s="3">
        <v>45291.0</v>
      </c>
      <c r="Q1636" s="1" t="s">
        <v>145</v>
      </c>
      <c r="R1636" s="1" t="s">
        <v>7248</v>
      </c>
      <c r="S1636" s="1" t="s">
        <v>32</v>
      </c>
      <c r="W1636" s="1">
        <v>0.0</v>
      </c>
      <c r="X1636" s="1">
        <v>0.0</v>
      </c>
    </row>
    <row r="1637" spans="1:24" ht="15.75" customHeight="1">
      <c r="A1637" s="1">
        <v>5.730818E7</v>
      </c>
      <c r="B1637" s="1" t="s">
        <v>7249</v>
      </c>
      <c r="C1637" s="1" t="s">
        <v>7250</v>
      </c>
      <c r="D1637" s="1" t="s">
        <v>7251</v>
      </c>
      <c r="F1637" s="1" t="str">
        <f t="shared" si="126" ref="F1637:G1637">""</f>
        <v/>
      </c>
      <c r="G1637" s="1" t="str">
        <f t="shared" si="126"/>
        <v/>
      </c>
      <c r="H1637" s="1">
        <v>0.0</v>
      </c>
      <c r="I1637" s="1">
        <v>3.87</v>
      </c>
      <c r="J1637" s="1" t="s">
        <v>7252</v>
      </c>
      <c r="K1637" s="1" t="s">
        <v>37</v>
      </c>
      <c r="L1637" s="1">
        <v>236.0</v>
      </c>
      <c r="M1637" s="1">
        <v>1988.0</v>
      </c>
      <c r="N1637" s="1">
        <v>1818.0</v>
      </c>
      <c r="O1637" s="2">
        <v>41704.0</v>
      </c>
      <c r="P1637" s="2">
        <v>41658.0</v>
      </c>
      <c r="Q1637" s="1" t="s">
        <v>594</v>
      </c>
      <c r="R1637" s="1" t="s">
        <v>7253</v>
      </c>
      <c r="S1637" s="1" t="s">
        <v>271</v>
      </c>
      <c r="T1637" s="1" t="s">
        <v>7254</v>
      </c>
      <c r="W1637" s="1">
        <v>1.0</v>
      </c>
      <c r="X1637" s="1">
        <v>1.0</v>
      </c>
    </row>
    <row r="1638" spans="1:24" ht="15.75" customHeight="1">
      <c r="A1638" s="1">
        <v>5.0695164E7</v>
      </c>
      <c r="B1638" s="1" t="s">
        <v>7255</v>
      </c>
      <c r="C1638" s="1" t="s">
        <v>7256</v>
      </c>
      <c r="D1638" s="1" t="s">
        <v>7257</v>
      </c>
      <c r="F1638" s="1" t="str">
        <f>"0593188934"</f>
        <v>0593188934</v>
      </c>
      <c r="G1638" s="1" t="str">
        <f>"9780593188934"</f>
        <v>9780593188934</v>
      </c>
      <c r="H1638" s="1">
        <v>0.0</v>
      </c>
      <c r="I1638" s="1">
        <v>4.17</v>
      </c>
      <c r="J1638" s="1" t="s">
        <v>2218</v>
      </c>
      <c r="K1638" s="1" t="s">
        <v>37</v>
      </c>
      <c r="L1638" s="1">
        <v>288.0</v>
      </c>
      <c r="M1638" s="1">
        <v>2020.0</v>
      </c>
      <c r="N1638" s="1">
        <v>2020.0</v>
      </c>
      <c r="P1638" s="3">
        <v>44196.0</v>
      </c>
      <c r="Q1638" s="1" t="s">
        <v>32</v>
      </c>
      <c r="R1638" s="1" t="s">
        <v>7258</v>
      </c>
      <c r="S1638" s="1" t="s">
        <v>32</v>
      </c>
      <c r="W1638" s="1">
        <v>0.0</v>
      </c>
      <c r="X1638" s="1">
        <v>0.0</v>
      </c>
    </row>
    <row r="1639" spans="1:24" ht="15.75" customHeight="1">
      <c r="A1639" s="1">
        <v>1.5799151E7</v>
      </c>
      <c r="B1639" s="1" t="s">
        <v>7259</v>
      </c>
      <c r="C1639" s="1" t="s">
        <v>7260</v>
      </c>
      <c r="D1639" s="1" t="s">
        <v>7261</v>
      </c>
      <c r="F1639" s="1" t="str">
        <f>"0307273601"</f>
        <v>0307273601</v>
      </c>
      <c r="G1639" s="1" t="str">
        <f>"9780307273604"</f>
        <v>9780307273604</v>
      </c>
      <c r="H1639" s="1">
        <v>0.0</v>
      </c>
      <c r="I1639" s="1">
        <v>3.65</v>
      </c>
      <c r="J1639" s="1" t="s">
        <v>1397</v>
      </c>
      <c r="K1639" s="1" t="s">
        <v>37</v>
      </c>
      <c r="L1639" s="1">
        <v>278.0</v>
      </c>
      <c r="M1639" s="1">
        <v>2013.0</v>
      </c>
      <c r="N1639" s="1">
        <v>2013.0</v>
      </c>
      <c r="P1639" s="2">
        <v>42599.0</v>
      </c>
      <c r="Q1639" s="1" t="s">
        <v>32</v>
      </c>
      <c r="R1639" s="1" t="s">
        <v>7262</v>
      </c>
      <c r="S1639" s="1" t="s">
        <v>32</v>
      </c>
      <c r="W1639" s="1">
        <v>0.0</v>
      </c>
      <c r="X1639" s="1">
        <v>0.0</v>
      </c>
    </row>
    <row r="1640" spans="1:24" ht="15.75" customHeight="1">
      <c r="A1640" s="1">
        <v>3.6915227E7</v>
      </c>
      <c r="B1640" s="1" t="s">
        <v>7263</v>
      </c>
      <c r="C1640" s="1" t="s">
        <v>7264</v>
      </c>
      <c r="D1640" s="1" t="s">
        <v>7265</v>
      </c>
      <c r="F1640" s="1" t="str">
        <f>"1941332390"</f>
        <v>1941332390</v>
      </c>
      <c r="G1640" s="1" t="str">
        <f>"9781941332399"</f>
        <v>9781941332399</v>
      </c>
      <c r="H1640" s="1">
        <v>0.0</v>
      </c>
      <c r="I1640" s="1">
        <v>4.0</v>
      </c>
      <c r="J1640" s="1" t="s">
        <v>7266</v>
      </c>
      <c r="K1640" s="1" t="s">
        <v>44</v>
      </c>
      <c r="L1640" s="1">
        <v>144.0</v>
      </c>
      <c r="M1640" s="1">
        <v>2018.0</v>
      </c>
      <c r="P1640" s="2">
        <v>43877.0</v>
      </c>
      <c r="Q1640" s="1" t="s">
        <v>32</v>
      </c>
      <c r="R1640" s="1" t="s">
        <v>7267</v>
      </c>
      <c r="S1640" s="1" t="s">
        <v>32</v>
      </c>
      <c r="W1640" s="1">
        <v>0.0</v>
      </c>
      <c r="X1640" s="1">
        <v>0.0</v>
      </c>
    </row>
    <row r="1641" spans="1:24" ht="15.75" customHeight="1">
      <c r="A1641" s="1">
        <v>3.4129245E7</v>
      </c>
      <c r="B1641" s="1" t="s">
        <v>7268</v>
      </c>
      <c r="C1641" s="1" t="s">
        <v>7269</v>
      </c>
      <c r="D1641" s="1" t="s">
        <v>7270</v>
      </c>
      <c r="F1641" s="1" t="str">
        <f>"0802124917"</f>
        <v>0802124917</v>
      </c>
      <c r="G1641" s="1" t="str">
        <f>"9780802124913"</f>
        <v>9780802124913</v>
      </c>
      <c r="H1641" s="1">
        <v>0.0</v>
      </c>
      <c r="I1641" s="1">
        <v>2.98</v>
      </c>
      <c r="J1641" s="1" t="s">
        <v>663</v>
      </c>
      <c r="K1641" s="1" t="s">
        <v>37</v>
      </c>
      <c r="L1641" s="1">
        <v>1660.0</v>
      </c>
      <c r="M1641" s="1">
        <v>2017.0</v>
      </c>
      <c r="N1641" s="1">
        <v>2017.0</v>
      </c>
      <c r="P1641" s="2">
        <v>44227.0</v>
      </c>
      <c r="Q1641" s="1" t="s">
        <v>32</v>
      </c>
      <c r="R1641" s="1" t="s">
        <v>7271</v>
      </c>
      <c r="S1641" s="1" t="s">
        <v>32</v>
      </c>
      <c r="W1641" s="1">
        <v>0.0</v>
      </c>
      <c r="X1641" s="1">
        <v>0.0</v>
      </c>
    </row>
    <row r="1642" spans="1:24" ht="15.75" customHeight="1">
      <c r="A1642" s="1">
        <v>1652685.0</v>
      </c>
      <c r="B1642" s="1" t="s">
        <v>7272</v>
      </c>
      <c r="C1642" s="1" t="s">
        <v>7273</v>
      </c>
      <c r="D1642" s="1" t="s">
        <v>7274</v>
      </c>
      <c r="E1642" s="1" t="s">
        <v>7275</v>
      </c>
      <c r="F1642" s="1" t="str">
        <f>"0140585095"</f>
        <v>0140585095</v>
      </c>
      <c r="G1642" s="1" t="str">
        <f>"9780140585094"</f>
        <v>9780140585094</v>
      </c>
      <c r="H1642" s="1">
        <v>0.0</v>
      </c>
      <c r="I1642" s="1">
        <v>3.79</v>
      </c>
      <c r="J1642" s="1" t="s">
        <v>1063</v>
      </c>
      <c r="K1642" s="1" t="s">
        <v>44</v>
      </c>
      <c r="L1642" s="1">
        <v>272.0</v>
      </c>
      <c r="M1642" s="1">
        <v>1985.0</v>
      </c>
      <c r="N1642" s="1">
        <v>1965.0</v>
      </c>
      <c r="P1642" s="2">
        <v>45181.0</v>
      </c>
      <c r="Q1642" s="1" t="s">
        <v>249</v>
      </c>
      <c r="R1642" s="1" t="s">
        <v>7276</v>
      </c>
      <c r="S1642" s="1" t="s">
        <v>32</v>
      </c>
      <c r="W1642" s="1">
        <v>0.0</v>
      </c>
      <c r="X1642" s="1">
        <v>0.0</v>
      </c>
    </row>
    <row r="1643" spans="1:24" ht="15.75" customHeight="1">
      <c r="A1643" s="1">
        <v>1.4319016E7</v>
      </c>
      <c r="B1643" s="1" t="s">
        <v>7277</v>
      </c>
      <c r="C1643" s="1" t="s">
        <v>7278</v>
      </c>
      <c r="D1643" s="1" t="s">
        <v>7279</v>
      </c>
      <c r="F1643" s="1" t="str">
        <f>"1405194553"</f>
        <v>1405194553</v>
      </c>
      <c r="G1643" s="1" t="str">
        <f>"9781405194556"</f>
        <v>9781405194556</v>
      </c>
      <c r="H1643" s="1">
        <v>0.0</v>
      </c>
      <c r="I1643" s="1">
        <v>4.07</v>
      </c>
      <c r="J1643" s="1" t="s">
        <v>48</v>
      </c>
      <c r="K1643" s="1" t="s">
        <v>44</v>
      </c>
      <c r="L1643" s="1">
        <v>224.0</v>
      </c>
      <c r="M1643" s="1">
        <v>2012.0</v>
      </c>
      <c r="N1643" s="1">
        <v>2012.0</v>
      </c>
      <c r="P1643" s="2">
        <v>45120.0</v>
      </c>
      <c r="Q1643" s="1" t="s">
        <v>725</v>
      </c>
      <c r="R1643" s="1" t="s">
        <v>7280</v>
      </c>
      <c r="S1643" s="1" t="s">
        <v>32</v>
      </c>
      <c r="W1643" s="1">
        <v>0.0</v>
      </c>
      <c r="X1643" s="1">
        <v>0.0</v>
      </c>
    </row>
    <row r="1644" spans="1:24" ht="15.75" customHeight="1">
      <c r="A1644" s="1">
        <v>2.5852784E7</v>
      </c>
      <c r="B1644" s="1" t="s">
        <v>7281</v>
      </c>
      <c r="C1644" s="1" t="s">
        <v>7282</v>
      </c>
      <c r="D1644" s="1" t="s">
        <v>7283</v>
      </c>
      <c r="F1644" s="1" t="str">
        <f>"0553447432"</f>
        <v>0553447432</v>
      </c>
      <c r="G1644" s="1" t="str">
        <f>"9780553447439"</f>
        <v>9780553447439</v>
      </c>
      <c r="H1644" s="1">
        <v>0.0</v>
      </c>
      <c r="I1644" s="1">
        <v>4.47</v>
      </c>
      <c r="J1644" s="1" t="s">
        <v>7284</v>
      </c>
      <c r="K1644" s="1" t="s">
        <v>37</v>
      </c>
      <c r="L1644" s="1">
        <v>418.0</v>
      </c>
      <c r="M1644" s="1">
        <v>2016.0</v>
      </c>
      <c r="N1644" s="1">
        <v>2016.0</v>
      </c>
      <c r="P1644" s="2">
        <v>42433.0</v>
      </c>
      <c r="Q1644" s="1" t="s">
        <v>55</v>
      </c>
      <c r="R1644" s="1" t="s">
        <v>7285</v>
      </c>
      <c r="S1644" s="1" t="s">
        <v>32</v>
      </c>
      <c r="W1644" s="1">
        <v>0.0</v>
      </c>
      <c r="X1644" s="1">
        <v>0.0</v>
      </c>
    </row>
    <row r="1645" spans="1:24" ht="15.75" customHeight="1">
      <c r="A1645" s="1">
        <v>2.565102E7</v>
      </c>
      <c r="B1645" s="1" t="s">
        <v>7286</v>
      </c>
      <c r="C1645" s="1" t="s">
        <v>7287</v>
      </c>
      <c r="D1645" s="1" t="s">
        <v>7288</v>
      </c>
      <c r="F1645" s="1" t="str">
        <f>"1632863383"</f>
        <v>1632863383</v>
      </c>
      <c r="G1645" s="1" t="str">
        <f>"9781632863386"</f>
        <v>9781632863386</v>
      </c>
      <c r="H1645" s="1">
        <v>0.0</v>
      </c>
      <c r="I1645" s="1">
        <v>3.71</v>
      </c>
      <c r="J1645" s="1" t="s">
        <v>2489</v>
      </c>
      <c r="K1645" s="1" t="s">
        <v>37</v>
      </c>
      <c r="L1645" s="1">
        <v>252.0</v>
      </c>
      <c r="M1645" s="1">
        <v>2016.0</v>
      </c>
      <c r="N1645" s="1">
        <v>2016.0</v>
      </c>
      <c r="P1645" s="2">
        <v>43139.0</v>
      </c>
      <c r="Q1645" s="1" t="s">
        <v>218</v>
      </c>
      <c r="R1645" s="1" t="s">
        <v>7289</v>
      </c>
      <c r="S1645" s="1" t="s">
        <v>32</v>
      </c>
      <c r="W1645" s="1">
        <v>0.0</v>
      </c>
      <c r="X1645" s="1">
        <v>0.0</v>
      </c>
    </row>
    <row r="1646" spans="1:24" ht="15.75" customHeight="1">
      <c r="A1646" s="1">
        <v>4.4179431E7</v>
      </c>
      <c r="B1646" s="1" t="s">
        <v>7290</v>
      </c>
      <c r="C1646" s="1" t="s">
        <v>7291</v>
      </c>
      <c r="D1646" s="1" t="s">
        <v>7292</v>
      </c>
      <c r="F1646" s="1" t="str">
        <f>"022647626X"</f>
        <v>022647626X</v>
      </c>
      <c r="G1646" s="1" t="str">
        <f>"9780226476261"</f>
        <v>9780226476261</v>
      </c>
      <c r="H1646" s="1">
        <v>0.0</v>
      </c>
      <c r="I1646" s="1">
        <v>3.67</v>
      </c>
      <c r="J1646" s="1" t="s">
        <v>78</v>
      </c>
      <c r="K1646" s="1" t="s">
        <v>37</v>
      </c>
      <c r="L1646" s="1">
        <v>320.0</v>
      </c>
      <c r="M1646" s="1">
        <v>2019.0</v>
      </c>
      <c r="P1646" s="2">
        <v>44204.0</v>
      </c>
      <c r="Q1646" s="1" t="s">
        <v>32</v>
      </c>
      <c r="R1646" s="1" t="s">
        <v>7293</v>
      </c>
      <c r="S1646" s="1" t="s">
        <v>32</v>
      </c>
      <c r="W1646" s="1">
        <v>0.0</v>
      </c>
      <c r="X1646" s="1">
        <v>0.0</v>
      </c>
    </row>
    <row r="1647" spans="1:24" ht="15.75" customHeight="1">
      <c r="A1647" s="1">
        <v>369266.0</v>
      </c>
      <c r="B1647" s="1" t="s">
        <v>7294</v>
      </c>
      <c r="C1647" s="1" t="s">
        <v>7295</v>
      </c>
      <c r="D1647" s="1" t="s">
        <v>7296</v>
      </c>
      <c r="E1647" s="1" t="s">
        <v>7297</v>
      </c>
      <c r="F1647" s="1" t="str">
        <f>"1572245131"</f>
        <v>1572245131</v>
      </c>
      <c r="G1647" s="1" t="str">
        <f>"9781572245136"</f>
        <v>9781572245136</v>
      </c>
      <c r="H1647" s="1">
        <v>0.0</v>
      </c>
      <c r="I1647" s="1">
        <v>4.26</v>
      </c>
      <c r="J1647" s="1" t="s">
        <v>7298</v>
      </c>
      <c r="K1647" s="1" t="s">
        <v>44</v>
      </c>
      <c r="L1647" s="1">
        <v>241.0</v>
      </c>
      <c r="M1647" s="1">
        <v>2007.0</v>
      </c>
      <c r="N1647" s="1">
        <v>2007.0</v>
      </c>
      <c r="P1647" s="2">
        <v>45173.0</v>
      </c>
      <c r="Q1647" s="1" t="s">
        <v>32</v>
      </c>
      <c r="R1647" s="1" t="s">
        <v>7299</v>
      </c>
      <c r="S1647" s="1" t="s">
        <v>32</v>
      </c>
      <c r="W1647" s="1">
        <v>0.0</v>
      </c>
      <c r="X1647" s="1">
        <v>0.0</v>
      </c>
    </row>
    <row r="1648" spans="1:24" ht="15.75" customHeight="1">
      <c r="A1648" s="1">
        <v>8491350.0</v>
      </c>
      <c r="B1648" s="1" t="s">
        <v>7300</v>
      </c>
      <c r="C1648" s="1" t="s">
        <v>7301</v>
      </c>
      <c r="D1648" s="1" t="s">
        <v>7302</v>
      </c>
      <c r="F1648" s="1" t="str">
        <f>"1936070707"</f>
        <v>1936070707</v>
      </c>
      <c r="G1648" s="1" t="str">
        <f>"9781936070701"</f>
        <v>9781936070701</v>
      </c>
      <c r="H1648" s="1">
        <v>0.0</v>
      </c>
      <c r="I1648" s="1">
        <v>2.89</v>
      </c>
      <c r="J1648" s="1" t="s">
        <v>7303</v>
      </c>
      <c r="K1648" s="1" t="s">
        <v>7304</v>
      </c>
      <c r="L1648" s="1">
        <v>188.0</v>
      </c>
      <c r="M1648" s="1">
        <v>2011.0</v>
      </c>
      <c r="N1648" s="1">
        <v>1998.0</v>
      </c>
      <c r="P1648" s="2">
        <v>41364.0</v>
      </c>
      <c r="Q1648" s="1" t="s">
        <v>32</v>
      </c>
      <c r="R1648" s="1" t="s">
        <v>7305</v>
      </c>
      <c r="S1648" s="1" t="s">
        <v>32</v>
      </c>
      <c r="W1648" s="1">
        <v>0.0</v>
      </c>
      <c r="X1648" s="1">
        <v>0.0</v>
      </c>
    </row>
    <row r="1649" spans="1:24" ht="15.75" customHeight="1">
      <c r="A1649" s="1">
        <v>1.2074805E7</v>
      </c>
      <c r="B1649" s="1" t="s">
        <v>7306</v>
      </c>
      <c r="C1649" s="1" t="s">
        <v>7307</v>
      </c>
      <c r="D1649" s="1" t="s">
        <v>7308</v>
      </c>
      <c r="F1649" s="1" t="str">
        <f>"1849350884"</f>
        <v>1849350884</v>
      </c>
      <c r="G1649" s="1" t="str">
        <f>"9781849350884"</f>
        <v>9781849350884</v>
      </c>
      <c r="H1649" s="1">
        <v>4.0</v>
      </c>
      <c r="I1649" s="1">
        <v>3.95</v>
      </c>
      <c r="J1649" s="1" t="s">
        <v>7054</v>
      </c>
      <c r="K1649" s="1" t="s">
        <v>44</v>
      </c>
      <c r="L1649" s="1">
        <v>212.0</v>
      </c>
      <c r="M1649" s="1">
        <v>2012.0</v>
      </c>
      <c r="N1649" s="1">
        <v>2012.0</v>
      </c>
      <c r="P1649" s="2">
        <v>41951.0</v>
      </c>
      <c r="Q1649" s="1" t="s">
        <v>115</v>
      </c>
      <c r="R1649" s="1" t="s">
        <v>7309</v>
      </c>
      <c r="S1649" s="1" t="s">
        <v>32</v>
      </c>
      <c r="W1649" s="1">
        <v>1.0</v>
      </c>
      <c r="X1649" s="1">
        <v>1.0</v>
      </c>
    </row>
    <row r="1650" spans="1:24" ht="15.75" customHeight="1">
      <c r="A1650" s="1">
        <v>395835.0</v>
      </c>
      <c r="B1650" s="1" t="s">
        <v>7310</v>
      </c>
      <c r="C1650" s="1" t="s">
        <v>7311</v>
      </c>
      <c r="D1650" s="1" t="s">
        <v>7312</v>
      </c>
      <c r="F1650" s="1" t="str">
        <f>"0809078155"</f>
        <v>0809078155</v>
      </c>
      <c r="G1650" s="1" t="str">
        <f>"9780809078158"</f>
        <v>9780809078158</v>
      </c>
      <c r="H1650" s="1">
        <v>0.0</v>
      </c>
      <c r="I1650" s="1">
        <v>3.88</v>
      </c>
      <c r="J1650" s="1" t="s">
        <v>7313</v>
      </c>
      <c r="K1650" s="1" t="s">
        <v>37</v>
      </c>
      <c r="L1650" s="1">
        <v>500.0</v>
      </c>
      <c r="M1650" s="1">
        <v>1996.0</v>
      </c>
      <c r="N1650" s="1">
        <v>1996.0</v>
      </c>
      <c r="P1650" s="3">
        <v>45272.0</v>
      </c>
      <c r="Q1650" s="1" t="s">
        <v>479</v>
      </c>
      <c r="R1650" s="1" t="s">
        <v>7314</v>
      </c>
      <c r="S1650" s="1" t="s">
        <v>32</v>
      </c>
      <c r="W1650" s="1">
        <v>0.0</v>
      </c>
      <c r="X1650" s="1">
        <v>0.0</v>
      </c>
    </row>
    <row r="1651" spans="1:24" ht="15.75" customHeight="1">
      <c r="A1651" s="1">
        <v>2418471.0</v>
      </c>
      <c r="B1651" s="1" t="s">
        <v>7315</v>
      </c>
      <c r="C1651" s="1" t="s">
        <v>7316</v>
      </c>
      <c r="D1651" s="1" t="s">
        <v>7317</v>
      </c>
      <c r="E1651" s="1" t="s">
        <v>7318</v>
      </c>
      <c r="F1651" s="1" t="str">
        <f>"0791472744"</f>
        <v>0791472744</v>
      </c>
      <c r="G1651" s="1" t="str">
        <f>"9780791472743"</f>
        <v>9780791472743</v>
      </c>
      <c r="H1651" s="1">
        <v>0.0</v>
      </c>
      <c r="I1651" s="1">
        <v>3.82</v>
      </c>
      <c r="J1651" s="1" t="s">
        <v>5538</v>
      </c>
      <c r="K1651" s="1" t="s">
        <v>44</v>
      </c>
      <c r="L1651" s="1">
        <v>110.0</v>
      </c>
      <c r="M1651" s="1">
        <v>2007.0</v>
      </c>
      <c r="N1651" s="1">
        <v>1907.0</v>
      </c>
      <c r="P1651" s="2">
        <v>44252.0</v>
      </c>
      <c r="Q1651" s="1" t="s">
        <v>32</v>
      </c>
      <c r="R1651" s="1" t="s">
        <v>7319</v>
      </c>
      <c r="S1651" s="1" t="s">
        <v>32</v>
      </c>
      <c r="W1651" s="1">
        <v>0.0</v>
      </c>
      <c r="X1651" s="1">
        <v>0.0</v>
      </c>
    </row>
    <row r="1652" spans="1:24" ht="15.75" customHeight="1">
      <c r="A1652" s="1">
        <v>18279.0</v>
      </c>
      <c r="B1652" s="1" t="s">
        <v>7320</v>
      </c>
      <c r="C1652" s="1" t="s">
        <v>7321</v>
      </c>
      <c r="D1652" s="1" t="s">
        <v>7322</v>
      </c>
      <c r="E1652" s="1" t="s">
        <v>7323</v>
      </c>
      <c r="F1652" s="1" t="str">
        <f>"0415278414"</f>
        <v>0415278414</v>
      </c>
      <c r="G1652" s="1" t="str">
        <f>"9780415278416"</f>
        <v>9780415278416</v>
      </c>
      <c r="H1652" s="1">
        <v>0.0</v>
      </c>
      <c r="I1652" s="1">
        <v>4.17</v>
      </c>
      <c r="J1652" s="1" t="s">
        <v>280</v>
      </c>
      <c r="K1652" s="1" t="s">
        <v>44</v>
      </c>
      <c r="L1652" s="1">
        <v>544.0</v>
      </c>
      <c r="M1652" s="1">
        <v>2005.0</v>
      </c>
      <c r="N1652" s="1">
        <v>1945.0</v>
      </c>
      <c r="P1652" s="2">
        <v>42806.0</v>
      </c>
      <c r="Q1652" s="1" t="s">
        <v>45</v>
      </c>
      <c r="R1652" s="1" t="s">
        <v>7324</v>
      </c>
      <c r="S1652" s="1" t="s">
        <v>32</v>
      </c>
      <c r="W1652" s="1">
        <v>0.0</v>
      </c>
      <c r="X1652" s="1">
        <v>0.0</v>
      </c>
    </row>
    <row r="1653" spans="1:24" ht="15.75" customHeight="1">
      <c r="A1653" s="1">
        <v>8.033318E7</v>
      </c>
      <c r="B1653" s="1" t="s">
        <v>7325</v>
      </c>
      <c r="C1653" s="1" t="s">
        <v>7326</v>
      </c>
      <c r="D1653" s="1" t="s">
        <v>7327</v>
      </c>
      <c r="F1653" s="1" t="str">
        <f>"1628975180"</f>
        <v>1628975180</v>
      </c>
      <c r="G1653" s="1" t="str">
        <f>"9781628975185"</f>
        <v>9781628975185</v>
      </c>
      <c r="H1653" s="1">
        <v>0.0</v>
      </c>
      <c r="I1653" s="1">
        <v>4.75</v>
      </c>
      <c r="J1653" s="1" t="s">
        <v>2337</v>
      </c>
      <c r="K1653" s="1" t="s">
        <v>44</v>
      </c>
      <c r="L1653" s="1">
        <v>350.0</v>
      </c>
      <c r="M1653" s="1">
        <v>2024.0</v>
      </c>
      <c r="P1653" s="2">
        <v>45101.0</v>
      </c>
      <c r="Q1653" s="1" t="s">
        <v>502</v>
      </c>
      <c r="R1653" s="1" t="s">
        <v>7328</v>
      </c>
      <c r="S1653" s="1" t="s">
        <v>32</v>
      </c>
      <c r="W1653" s="1">
        <v>0.0</v>
      </c>
      <c r="X1653" s="1">
        <v>0.0</v>
      </c>
    </row>
    <row r="1654" spans="1:24" ht="15.75" customHeight="1">
      <c r="A1654" s="1">
        <v>1850994.0</v>
      </c>
      <c r="B1654" s="1" t="s">
        <v>7329</v>
      </c>
      <c r="C1654" s="1" t="s">
        <v>7330</v>
      </c>
      <c r="D1654" s="1" t="s">
        <v>7331</v>
      </c>
      <c r="F1654" s="1" t="str">
        <f>"0807610526"</f>
        <v>0807610526</v>
      </c>
      <c r="G1654" s="1" t="str">
        <f>"9780807610527"</f>
        <v>9780807610527</v>
      </c>
      <c r="H1654" s="1">
        <v>0.0</v>
      </c>
      <c r="I1654" s="1">
        <v>4.25</v>
      </c>
      <c r="J1654" s="1" t="s">
        <v>2089</v>
      </c>
      <c r="K1654" s="1" t="s">
        <v>44</v>
      </c>
      <c r="L1654" s="1">
        <v>175.0</v>
      </c>
      <c r="M1654" s="1">
        <v>1982.0</v>
      </c>
      <c r="N1654" s="1">
        <v>1930.0</v>
      </c>
      <c r="P1654" s="2">
        <v>44986.0</v>
      </c>
      <c r="Q1654" s="1" t="s">
        <v>32</v>
      </c>
      <c r="R1654" s="1" t="s">
        <v>7332</v>
      </c>
      <c r="S1654" s="1" t="s">
        <v>32</v>
      </c>
      <c r="W1654" s="1">
        <v>0.0</v>
      </c>
      <c r="X1654" s="1">
        <v>0.0</v>
      </c>
    </row>
    <row r="1655" spans="1:24" ht="15.75" customHeight="1">
      <c r="A1655" s="1">
        <v>3.1305897E7</v>
      </c>
      <c r="B1655" s="1" t="s">
        <v>7333</v>
      </c>
      <c r="C1655" s="1" t="s">
        <v>7334</v>
      </c>
      <c r="D1655" s="1" t="s">
        <v>7335</v>
      </c>
      <c r="F1655" s="1" t="str">
        <f>"1571314903"</f>
        <v>1571314903</v>
      </c>
      <c r="G1655" s="1" t="str">
        <f>"9781571314901"</f>
        <v>9781571314901</v>
      </c>
      <c r="H1655" s="1">
        <v>0.0</v>
      </c>
      <c r="I1655" s="1">
        <v>4.2</v>
      </c>
      <c r="J1655" s="1" t="s">
        <v>7336</v>
      </c>
      <c r="K1655" s="1" t="s">
        <v>37</v>
      </c>
      <c r="L1655" s="1">
        <v>79.0</v>
      </c>
      <c r="M1655" s="1">
        <v>2016.0</v>
      </c>
      <c r="N1655" s="1">
        <v>2016.0</v>
      </c>
      <c r="P1655" s="2">
        <v>45143.0</v>
      </c>
      <c r="Q1655" s="1" t="s">
        <v>449</v>
      </c>
      <c r="R1655" s="1" t="s">
        <v>7337</v>
      </c>
      <c r="S1655" s="1" t="s">
        <v>32</v>
      </c>
      <c r="W1655" s="1">
        <v>0.0</v>
      </c>
      <c r="X1655" s="1">
        <v>1.0</v>
      </c>
    </row>
    <row r="1656" spans="1:24" ht="15.75" customHeight="1">
      <c r="A1656" s="1">
        <v>74176.0</v>
      </c>
      <c r="B1656" s="1" t="s">
        <v>7338</v>
      </c>
      <c r="C1656" s="1" t="s">
        <v>7339</v>
      </c>
      <c r="D1656" s="1" t="s">
        <v>7340</v>
      </c>
      <c r="E1656" s="1" t="s">
        <v>7341</v>
      </c>
      <c r="F1656" s="1" t="str">
        <f>"048642703X"</f>
        <v>048642703X</v>
      </c>
      <c r="G1656" s="1" t="str">
        <f>"9780486427034"</f>
        <v>9780486427034</v>
      </c>
      <c r="H1656" s="1">
        <v>0.0</v>
      </c>
      <c r="I1656" s="1">
        <v>3.91</v>
      </c>
      <c r="J1656" s="1" t="s">
        <v>910</v>
      </c>
      <c r="K1656" s="1" t="s">
        <v>44</v>
      </c>
      <c r="L1656" s="1">
        <v>320.0</v>
      </c>
      <c r="M1656" s="1">
        <v>2003.0</v>
      </c>
      <c r="N1656" s="1">
        <v>1904.0</v>
      </c>
      <c r="P1656" s="3">
        <v>44128.0</v>
      </c>
      <c r="Q1656" s="1" t="s">
        <v>32</v>
      </c>
      <c r="R1656" s="1" t="s">
        <v>7342</v>
      </c>
      <c r="S1656" s="1" t="s">
        <v>32</v>
      </c>
      <c r="W1656" s="1">
        <v>0.0</v>
      </c>
      <c r="X1656" s="1">
        <v>0.0</v>
      </c>
    </row>
    <row r="1657" spans="1:24" ht="15.75" customHeight="1">
      <c r="A1657" s="1">
        <v>1318452.0</v>
      </c>
      <c r="B1657" s="1" t="s">
        <v>7343</v>
      </c>
      <c r="C1657" s="1" t="s">
        <v>7344</v>
      </c>
      <c r="D1657" s="1" t="s">
        <v>7345</v>
      </c>
      <c r="F1657" s="1" t="str">
        <f>"0393008533"</f>
        <v>0393008533</v>
      </c>
      <c r="G1657" s="1" t="str">
        <f>"9780393008531"</f>
        <v>9780393008531</v>
      </c>
      <c r="H1657" s="1">
        <v>0.0</v>
      </c>
      <c r="I1657" s="1">
        <v>4.15</v>
      </c>
      <c r="J1657" s="1" t="s">
        <v>7346</v>
      </c>
      <c r="K1657" s="1" t="s">
        <v>44</v>
      </c>
      <c r="L1657" s="1">
        <v>208.0</v>
      </c>
      <c r="M1657" s="1">
        <v>1977.0</v>
      </c>
      <c r="N1657" s="1">
        <v>1973.0</v>
      </c>
      <c r="P1657" s="2">
        <v>45154.0</v>
      </c>
      <c r="Q1657" s="1" t="s">
        <v>32</v>
      </c>
      <c r="R1657" s="1" t="s">
        <v>7347</v>
      </c>
      <c r="S1657" s="1" t="s">
        <v>32</v>
      </c>
      <c r="W1657" s="1">
        <v>0.0</v>
      </c>
      <c r="X1657" s="1">
        <v>0.0</v>
      </c>
    </row>
    <row r="1658" spans="1:24" ht="15.75" customHeight="1">
      <c r="A1658" s="1">
        <v>3.1671095E7</v>
      </c>
      <c r="B1658" s="1" t="s">
        <v>7348</v>
      </c>
      <c r="C1658" s="1" t="s">
        <v>7349</v>
      </c>
      <c r="D1658" s="1" t="s">
        <v>7350</v>
      </c>
      <c r="F1658" s="1" t="str">
        <f>"1786631903"</f>
        <v>1786631903</v>
      </c>
      <c r="G1658" s="1" t="str">
        <f>"9781786631909"</f>
        <v>9781786631909</v>
      </c>
      <c r="H1658" s="1">
        <v>0.0</v>
      </c>
      <c r="I1658" s="1">
        <v>3.84</v>
      </c>
      <c r="J1658" s="1" t="s">
        <v>367</v>
      </c>
      <c r="K1658" s="1" t="s">
        <v>44</v>
      </c>
      <c r="L1658" s="1">
        <v>336.0</v>
      </c>
      <c r="M1658" s="1">
        <v>2017.0</v>
      </c>
      <c r="P1658" s="3">
        <v>43038.0</v>
      </c>
      <c r="Q1658" s="1" t="s">
        <v>32</v>
      </c>
      <c r="R1658" s="1" t="s">
        <v>7351</v>
      </c>
      <c r="S1658" s="1" t="s">
        <v>32</v>
      </c>
      <c r="W1658" s="1">
        <v>0.0</v>
      </c>
      <c r="X1658" s="1">
        <v>0.0</v>
      </c>
    </row>
    <row r="1659" spans="1:24" ht="15.75" customHeight="1">
      <c r="A1659" s="1">
        <v>2.7558403E7</v>
      </c>
      <c r="B1659" s="1" t="s">
        <v>7352</v>
      </c>
      <c r="C1659" s="1" t="s">
        <v>7353</v>
      </c>
      <c r="D1659" s="1" t="s">
        <v>7354</v>
      </c>
      <c r="F1659" s="1" t="str">
        <f>"1479881708"</f>
        <v>1479881708</v>
      </c>
      <c r="G1659" s="1" t="str">
        <f>"9781479881703"</f>
        <v>9781479881703</v>
      </c>
      <c r="H1659" s="1">
        <v>0.0</v>
      </c>
      <c r="I1659" s="1">
        <v>3.53</v>
      </c>
      <c r="J1659" s="1" t="s">
        <v>1719</v>
      </c>
      <c r="K1659" s="1" t="s">
        <v>37</v>
      </c>
      <c r="L1659" s="1">
        <v>256.0</v>
      </c>
      <c r="M1659" s="1">
        <v>2016.0</v>
      </c>
      <c r="N1659" s="1">
        <v>2016.0</v>
      </c>
      <c r="P1659" s="2">
        <v>45153.0</v>
      </c>
      <c r="Q1659" s="1" t="s">
        <v>32</v>
      </c>
      <c r="R1659" s="1" t="s">
        <v>7355</v>
      </c>
      <c r="S1659" s="1" t="s">
        <v>32</v>
      </c>
      <c r="W1659" s="1">
        <v>0.0</v>
      </c>
      <c r="X1659" s="1">
        <v>0.0</v>
      </c>
    </row>
    <row r="1660" spans="1:24" ht="15.75" customHeight="1">
      <c r="A1660" s="1">
        <v>9811933.0</v>
      </c>
      <c r="B1660" s="1" t="s">
        <v>7356</v>
      </c>
      <c r="C1660" s="1" t="s">
        <v>7357</v>
      </c>
      <c r="D1660" s="1" t="s">
        <v>7358</v>
      </c>
      <c r="F1660" s="1" t="str">
        <f>"0982206720"</f>
        <v>0982206720</v>
      </c>
      <c r="G1660" s="1" t="str">
        <f>"9780982206720"</f>
        <v>9780982206720</v>
      </c>
      <c r="H1660" s="1">
        <v>3.0</v>
      </c>
      <c r="I1660" s="1">
        <v>3.96</v>
      </c>
      <c r="J1660" s="1" t="s">
        <v>7359</v>
      </c>
      <c r="K1660" s="1" t="s">
        <v>44</v>
      </c>
      <c r="L1660" s="1">
        <v>96.0</v>
      </c>
      <c r="M1660" s="1">
        <v>2011.0</v>
      </c>
      <c r="N1660" s="1">
        <v>2011.0</v>
      </c>
      <c r="O1660" s="2">
        <v>41080.0</v>
      </c>
      <c r="P1660" s="2">
        <v>41042.0</v>
      </c>
      <c r="Q1660" s="1" t="s">
        <v>449</v>
      </c>
      <c r="R1660" s="1" t="s">
        <v>7360</v>
      </c>
      <c r="S1660" s="1" t="s">
        <v>32</v>
      </c>
      <c r="W1660" s="1">
        <v>1.0</v>
      </c>
      <c r="X1660" s="1">
        <v>1.0</v>
      </c>
    </row>
    <row r="1661" spans="1:24" ht="15.75" customHeight="1">
      <c r="A1661" s="1">
        <v>2.0613724E7</v>
      </c>
      <c r="B1661" s="1" t="s">
        <v>7361</v>
      </c>
      <c r="C1661" s="1" t="s">
        <v>7362</v>
      </c>
      <c r="D1661" s="1" t="s">
        <v>7363</v>
      </c>
      <c r="F1661" s="1" t="str">
        <f>"0374280444"</f>
        <v>0374280444</v>
      </c>
      <c r="G1661" s="1" t="str">
        <f>"9780374280444"</f>
        <v>9780374280444</v>
      </c>
      <c r="H1661" s="1">
        <v>0.0</v>
      </c>
      <c r="I1661" s="1">
        <v>3.73</v>
      </c>
      <c r="J1661" s="1" t="s">
        <v>438</v>
      </c>
      <c r="K1661" s="1" t="s">
        <v>37</v>
      </c>
      <c r="L1661" s="1">
        <v>256.0</v>
      </c>
      <c r="M1661" s="1">
        <v>2014.0</v>
      </c>
      <c r="N1661" s="1">
        <v>2014.0</v>
      </c>
      <c r="P1661" s="2">
        <v>43922.0</v>
      </c>
      <c r="Q1661" s="1" t="s">
        <v>32</v>
      </c>
      <c r="R1661" s="1" t="s">
        <v>7364</v>
      </c>
      <c r="S1661" s="1" t="s">
        <v>32</v>
      </c>
      <c r="W1661" s="1">
        <v>0.0</v>
      </c>
      <c r="X1661" s="1">
        <v>0.0</v>
      </c>
    </row>
    <row r="1662" spans="1:24" ht="15.75" customHeight="1">
      <c r="A1662" s="1">
        <v>7243116.0</v>
      </c>
      <c r="B1662" s="1" t="s">
        <v>7365</v>
      </c>
      <c r="C1662" s="1" t="s">
        <v>7366</v>
      </c>
      <c r="D1662" s="1" t="s">
        <v>7367</v>
      </c>
      <c r="F1662" s="1" t="str">
        <f>"081302482X"</f>
        <v>081302482X</v>
      </c>
      <c r="G1662" s="1" t="str">
        <f>"9780813024820"</f>
        <v>9780813024820</v>
      </c>
      <c r="H1662" s="1">
        <v>0.0</v>
      </c>
      <c r="I1662" s="1">
        <v>0.0</v>
      </c>
      <c r="J1662" s="1" t="s">
        <v>7368</v>
      </c>
      <c r="K1662" s="1" t="s">
        <v>37</v>
      </c>
      <c r="L1662" s="1">
        <v>224.0</v>
      </c>
      <c r="M1662" s="1">
        <v>2002.0</v>
      </c>
      <c r="N1662" s="1">
        <v>2002.0</v>
      </c>
      <c r="P1662" s="2">
        <v>45023.0</v>
      </c>
      <c r="Q1662" s="1" t="s">
        <v>32</v>
      </c>
      <c r="R1662" s="1" t="s">
        <v>7369</v>
      </c>
      <c r="S1662" s="1" t="s">
        <v>32</v>
      </c>
      <c r="W1662" s="1">
        <v>0.0</v>
      </c>
      <c r="X1662" s="1">
        <v>0.0</v>
      </c>
    </row>
    <row r="1663" spans="1:24" ht="15.75" customHeight="1">
      <c r="A1663" s="1">
        <v>5.4304105E7</v>
      </c>
      <c r="B1663" s="1" t="s">
        <v>7370</v>
      </c>
      <c r="C1663" s="1" t="s">
        <v>7371</v>
      </c>
      <c r="D1663" s="1" t="s">
        <v>7372</v>
      </c>
      <c r="F1663" s="1" t="str">
        <f>"1982142499"</f>
        <v>1982142499</v>
      </c>
      <c r="G1663" s="1" t="str">
        <f>"9781982142490"</f>
        <v>9781982142490</v>
      </c>
      <c r="H1663" s="1">
        <v>0.0</v>
      </c>
      <c r="I1663" s="1">
        <v>3.57</v>
      </c>
      <c r="J1663" s="1" t="s">
        <v>88</v>
      </c>
      <c r="K1663" s="1" t="s">
        <v>37</v>
      </c>
      <c r="L1663" s="1">
        <v>304.0</v>
      </c>
      <c r="M1663" s="1">
        <v>2021.0</v>
      </c>
      <c r="N1663" s="1">
        <v>2021.0</v>
      </c>
      <c r="P1663" s="2">
        <v>44216.0</v>
      </c>
      <c r="Q1663" s="1" t="s">
        <v>32</v>
      </c>
      <c r="R1663" s="1" t="s">
        <v>7373</v>
      </c>
      <c r="S1663" s="1" t="s">
        <v>32</v>
      </c>
      <c r="W1663" s="1">
        <v>0.0</v>
      </c>
      <c r="X1663" s="1">
        <v>0.0</v>
      </c>
    </row>
    <row r="1664" spans="1:24" ht="15.75" customHeight="1">
      <c r="A1664" s="1">
        <v>159854.0</v>
      </c>
      <c r="B1664" s="1" t="s">
        <v>7374</v>
      </c>
      <c r="C1664" s="1" t="s">
        <v>7375</v>
      </c>
      <c r="D1664" s="1" t="s">
        <v>7376</v>
      </c>
      <c r="E1664" s="1" t="s">
        <v>648</v>
      </c>
      <c r="F1664" s="1" t="str">
        <f>"1891270109"</f>
        <v>1891270109</v>
      </c>
      <c r="G1664" s="1" t="str">
        <f>"9781891270109"</f>
        <v>9781891270109</v>
      </c>
      <c r="H1664" s="1">
        <v>0.0</v>
      </c>
      <c r="I1664" s="1">
        <v>3.2</v>
      </c>
      <c r="J1664" s="1" t="s">
        <v>7377</v>
      </c>
      <c r="K1664" s="1" t="s">
        <v>44</v>
      </c>
      <c r="L1664" s="1">
        <v>120.0</v>
      </c>
      <c r="M1664" s="1">
        <v>2000.0</v>
      </c>
      <c r="N1664" s="1">
        <v>1999.0</v>
      </c>
      <c r="P1664" s="2">
        <v>42603.0</v>
      </c>
      <c r="Q1664" s="1" t="s">
        <v>32</v>
      </c>
      <c r="R1664" s="1" t="s">
        <v>7378</v>
      </c>
      <c r="S1664" s="1" t="s">
        <v>32</v>
      </c>
      <c r="W1664" s="1">
        <v>0.0</v>
      </c>
      <c r="X1664" s="1">
        <v>0.0</v>
      </c>
    </row>
    <row r="1665" spans="1:24" ht="15.75" customHeight="1">
      <c r="A1665" s="1">
        <v>1264048.0</v>
      </c>
      <c r="B1665" s="1" t="s">
        <v>7379</v>
      </c>
      <c r="C1665" s="1" t="s">
        <v>7375</v>
      </c>
      <c r="D1665" s="1" t="s">
        <v>7376</v>
      </c>
      <c r="E1665" s="1" t="s">
        <v>7380</v>
      </c>
      <c r="F1665" s="1" t="str">
        <f>"0935480927"</f>
        <v>0935480927</v>
      </c>
      <c r="G1665" s="1" t="str">
        <f>"9780935480924"</f>
        <v>9780935480924</v>
      </c>
      <c r="H1665" s="1">
        <v>0.0</v>
      </c>
      <c r="I1665" s="1">
        <v>3.71</v>
      </c>
      <c r="J1665" s="1" t="s">
        <v>7377</v>
      </c>
      <c r="K1665" s="1" t="s">
        <v>44</v>
      </c>
      <c r="L1665" s="1">
        <v>128.0</v>
      </c>
      <c r="M1665" s="1">
        <v>1998.0</v>
      </c>
      <c r="N1665" s="1">
        <v>1983.0</v>
      </c>
      <c r="P1665" s="2">
        <v>42603.0</v>
      </c>
      <c r="Q1665" s="1" t="s">
        <v>32</v>
      </c>
      <c r="R1665" s="1" t="s">
        <v>7381</v>
      </c>
      <c r="S1665" s="1" t="s">
        <v>32</v>
      </c>
      <c r="W1665" s="1">
        <v>0.0</v>
      </c>
      <c r="X1665" s="1">
        <v>0.0</v>
      </c>
    </row>
    <row r="1666" spans="1:24" ht="15.75" customHeight="1">
      <c r="A1666" s="1">
        <v>477801.0</v>
      </c>
      <c r="B1666" s="1" t="s">
        <v>7382</v>
      </c>
      <c r="C1666" s="1" t="s">
        <v>7383</v>
      </c>
      <c r="D1666" s="1" t="s">
        <v>7384</v>
      </c>
      <c r="F1666" s="1" t="str">
        <f>"0553141392"</f>
        <v>0553141392</v>
      </c>
      <c r="G1666" s="1" t="str">
        <f>"9780553141399"</f>
        <v>9780553141399</v>
      </c>
      <c r="H1666" s="1">
        <v>0.0</v>
      </c>
      <c r="I1666" s="1">
        <v>3.43</v>
      </c>
      <c r="J1666" s="1" t="s">
        <v>4389</v>
      </c>
      <c r="K1666" s="1" t="s">
        <v>44</v>
      </c>
      <c r="L1666" s="1">
        <v>282.0</v>
      </c>
      <c r="M1666" s="1">
        <v>1980.0</v>
      </c>
      <c r="N1666" s="1">
        <v>1974.0</v>
      </c>
      <c r="P1666" s="2">
        <v>41802.0</v>
      </c>
      <c r="Q1666" s="1" t="s">
        <v>32</v>
      </c>
      <c r="R1666" s="1" t="s">
        <v>7385</v>
      </c>
      <c r="S1666" s="1" t="s">
        <v>32</v>
      </c>
      <c r="W1666" s="1">
        <v>0.0</v>
      </c>
      <c r="X1666" s="1">
        <v>0.0</v>
      </c>
    </row>
    <row r="1667" spans="1:24" ht="15.75" customHeight="1">
      <c r="A1667" s="1">
        <v>6.9528158E7</v>
      </c>
      <c r="B1667" s="1" t="s">
        <v>7386</v>
      </c>
      <c r="C1667" s="1" t="s">
        <v>7387</v>
      </c>
      <c r="D1667" s="1" t="s">
        <v>7388</v>
      </c>
      <c r="F1667" s="1" t="str">
        <f>"8473293584"</f>
        <v>8473293584</v>
      </c>
      <c r="G1667" s="1" t="str">
        <f>"9788473293587"</f>
        <v>9788473293587</v>
      </c>
      <c r="H1667" s="1">
        <v>0.0</v>
      </c>
      <c r="I1667" s="1">
        <v>3.79</v>
      </c>
      <c r="J1667" s="1" t="s">
        <v>7389</v>
      </c>
      <c r="K1667" s="1" t="s">
        <v>44</v>
      </c>
      <c r="L1667" s="1">
        <v>224.0</v>
      </c>
      <c r="M1667" s="1">
        <v>2022.0</v>
      </c>
      <c r="N1667" s="1">
        <v>1986.0</v>
      </c>
      <c r="P1667" s="2">
        <v>45114.0</v>
      </c>
      <c r="Q1667" s="1" t="s">
        <v>818</v>
      </c>
      <c r="R1667" s="1" t="s">
        <v>7390</v>
      </c>
      <c r="S1667" s="1" t="s">
        <v>32</v>
      </c>
      <c r="W1667" s="1">
        <v>0.0</v>
      </c>
      <c r="X1667" s="1">
        <v>1.0</v>
      </c>
    </row>
    <row r="1668" spans="1:24" ht="15.75" customHeight="1">
      <c r="A1668" s="1">
        <v>1.8770233E7</v>
      </c>
      <c r="B1668" s="1" t="s">
        <v>7391</v>
      </c>
      <c r="C1668" s="1" t="s">
        <v>7392</v>
      </c>
      <c r="D1668" s="1" t="s">
        <v>7393</v>
      </c>
      <c r="F1668" s="1" t="str">
        <f>"0674724739"</f>
        <v>0674724739</v>
      </c>
      <c r="G1668" s="1" t="str">
        <f>"9780674724730"</f>
        <v>9780674724730</v>
      </c>
      <c r="H1668" s="1">
        <v>0.0</v>
      </c>
      <c r="I1668" s="1">
        <v>4.2</v>
      </c>
      <c r="J1668" s="1" t="s">
        <v>985</v>
      </c>
      <c r="K1668" s="1" t="s">
        <v>37</v>
      </c>
      <c r="L1668" s="1">
        <v>1200.0</v>
      </c>
      <c r="M1668" s="1">
        <v>2014.0</v>
      </c>
      <c r="N1668" s="1">
        <v>2014.0</v>
      </c>
      <c r="P1668" s="2">
        <v>45043.0</v>
      </c>
      <c r="Q1668" s="1" t="s">
        <v>32</v>
      </c>
      <c r="R1668" s="1" t="s">
        <v>7394</v>
      </c>
      <c r="S1668" s="1" t="s">
        <v>32</v>
      </c>
      <c r="W1668" s="1">
        <v>0.0</v>
      </c>
      <c r="X1668" s="1">
        <v>0.0</v>
      </c>
    </row>
    <row r="1669" spans="1:24" ht="15.75" customHeight="1">
      <c r="A1669" s="1">
        <v>6466511.0</v>
      </c>
      <c r="B1669" s="1" t="s">
        <v>7395</v>
      </c>
      <c r="C1669" s="1" t="s">
        <v>7396</v>
      </c>
      <c r="D1669" s="1" t="s">
        <v>7397</v>
      </c>
      <c r="F1669" s="1" t="str">
        <f>"0143116630"</f>
        <v>0143116630</v>
      </c>
      <c r="G1669" s="1" t="str">
        <f>"9780143116639"</f>
        <v>9780143116639</v>
      </c>
      <c r="H1669" s="1">
        <v>0.0</v>
      </c>
      <c r="I1669" s="1">
        <v>3.65</v>
      </c>
      <c r="J1669" s="1" t="s">
        <v>309</v>
      </c>
      <c r="K1669" s="1" t="s">
        <v>44</v>
      </c>
      <c r="L1669" s="1">
        <v>400.0</v>
      </c>
      <c r="M1669" s="1">
        <v>2009.0</v>
      </c>
      <c r="N1669" s="1">
        <v>2008.0</v>
      </c>
      <c r="P1669" s="2">
        <v>45129.0</v>
      </c>
      <c r="Q1669" s="1" t="s">
        <v>788</v>
      </c>
      <c r="R1669" s="1" t="s">
        <v>7398</v>
      </c>
      <c r="S1669" s="1" t="s">
        <v>32</v>
      </c>
      <c r="W1669" s="1">
        <v>0.0</v>
      </c>
      <c r="X1669" s="1">
        <v>1.0</v>
      </c>
    </row>
    <row r="1670" spans="1:24" ht="15.75" customHeight="1">
      <c r="A1670" s="1">
        <v>3402390.0</v>
      </c>
      <c r="B1670" s="1" t="s">
        <v>7399</v>
      </c>
      <c r="C1670" s="1" t="s">
        <v>7400</v>
      </c>
      <c r="D1670" s="1" t="s">
        <v>7401</v>
      </c>
      <c r="E1670" s="1" t="s">
        <v>7402</v>
      </c>
      <c r="F1670" s="1" t="str">
        <f>"0471950548"</f>
        <v>0471950548</v>
      </c>
      <c r="G1670" s="1" t="str">
        <f>"9780471950547"</f>
        <v>9780471950547</v>
      </c>
      <c r="H1670" s="1">
        <v>0.0</v>
      </c>
      <c r="I1670" s="1">
        <v>0.0</v>
      </c>
      <c r="J1670" s="1" t="s">
        <v>93</v>
      </c>
      <c r="K1670" s="1" t="s">
        <v>37</v>
      </c>
      <c r="L1670" s="1">
        <v>864.0</v>
      </c>
      <c r="M1670" s="1">
        <v>1995.0</v>
      </c>
      <c r="N1670" s="1">
        <v>1995.0</v>
      </c>
      <c r="P1670" s="2">
        <v>45173.0</v>
      </c>
      <c r="Q1670" s="1" t="s">
        <v>249</v>
      </c>
      <c r="R1670" s="1" t="s">
        <v>7403</v>
      </c>
      <c r="S1670" s="1" t="s">
        <v>32</v>
      </c>
      <c r="W1670" s="1">
        <v>0.0</v>
      </c>
      <c r="X1670" s="1">
        <v>0.0</v>
      </c>
    </row>
    <row r="1671" spans="1:24" ht="15.75" customHeight="1">
      <c r="A1671" s="1">
        <v>134980.0</v>
      </c>
      <c r="B1671" s="1" t="s">
        <v>7404</v>
      </c>
      <c r="C1671" s="1" t="s">
        <v>7405</v>
      </c>
      <c r="D1671" s="1" t="s">
        <v>7406</v>
      </c>
      <c r="F1671" s="1" t="str">
        <f>"0312320434"</f>
        <v>0312320434</v>
      </c>
      <c r="G1671" s="1" t="str">
        <f>"9780312320430"</f>
        <v>9780312320430</v>
      </c>
      <c r="H1671" s="1">
        <v>0.0</v>
      </c>
      <c r="I1671" s="1">
        <v>3.76</v>
      </c>
      <c r="J1671" s="1" t="s">
        <v>2414</v>
      </c>
      <c r="K1671" s="1" t="s">
        <v>44</v>
      </c>
      <c r="L1671" s="1">
        <v>304.0</v>
      </c>
      <c r="M1671" s="1">
        <v>2003.0</v>
      </c>
      <c r="N1671" s="1">
        <v>2002.0</v>
      </c>
      <c r="P1671" s="3">
        <v>45279.0</v>
      </c>
      <c r="Q1671" s="1" t="s">
        <v>479</v>
      </c>
      <c r="R1671" s="1" t="s">
        <v>7407</v>
      </c>
      <c r="S1671" s="1" t="s">
        <v>32</v>
      </c>
      <c r="W1671" s="1">
        <v>0.0</v>
      </c>
      <c r="X1671" s="1">
        <v>0.0</v>
      </c>
    </row>
    <row r="1672" spans="1:24" ht="15.75" customHeight="1">
      <c r="A1672" s="1">
        <v>4.966357E7</v>
      </c>
      <c r="B1672" s="1" t="s">
        <v>7408</v>
      </c>
      <c r="C1672" s="1" t="s">
        <v>7409</v>
      </c>
      <c r="D1672" s="1" t="s">
        <v>7410</v>
      </c>
      <c r="F1672" s="1" t="str">
        <f>"1982129301"</f>
        <v>1982129301</v>
      </c>
      <c r="G1672" s="1" t="str">
        <f>"9781982129309"</f>
        <v>9781982129309</v>
      </c>
      <c r="H1672" s="1">
        <v>0.0</v>
      </c>
      <c r="I1672" s="1">
        <v>3.74</v>
      </c>
      <c r="J1672" s="1" t="s">
        <v>627</v>
      </c>
      <c r="K1672" s="1" t="s">
        <v>44</v>
      </c>
      <c r="L1672" s="1">
        <v>240.0</v>
      </c>
      <c r="M1672" s="1">
        <v>2020.0</v>
      </c>
      <c r="N1672" s="1">
        <v>2020.0</v>
      </c>
      <c r="P1672" s="2">
        <v>44019.0</v>
      </c>
      <c r="Q1672" s="1" t="s">
        <v>553</v>
      </c>
      <c r="R1672" s="1" t="s">
        <v>7411</v>
      </c>
      <c r="S1672" s="1" t="s">
        <v>32</v>
      </c>
      <c r="W1672" s="1">
        <v>0.0</v>
      </c>
      <c r="X1672" s="1">
        <v>0.0</v>
      </c>
    </row>
    <row r="1673" spans="1:24" ht="15.75" customHeight="1">
      <c r="A1673" s="1">
        <v>2496730.0</v>
      </c>
      <c r="B1673" s="1" t="s">
        <v>7412</v>
      </c>
      <c r="C1673" s="1" t="s">
        <v>7413</v>
      </c>
      <c r="D1673" s="1" t="s">
        <v>7414</v>
      </c>
      <c r="F1673" s="1" t="str">
        <f>"0415248736"</f>
        <v>0415248736</v>
      </c>
      <c r="G1673" s="1" t="str">
        <f>"9780415248730"</f>
        <v>9780415248730</v>
      </c>
      <c r="H1673" s="1">
        <v>0.0</v>
      </c>
      <c r="I1673" s="1">
        <v>3.8</v>
      </c>
      <c r="J1673" s="1" t="s">
        <v>280</v>
      </c>
      <c r="K1673" s="1" t="s">
        <v>44</v>
      </c>
      <c r="L1673" s="1">
        <v>272.0</v>
      </c>
      <c r="M1673" s="1">
        <v>2002.0</v>
      </c>
      <c r="N1673" s="1">
        <v>2002.0</v>
      </c>
      <c r="P1673" s="2">
        <v>45143.0</v>
      </c>
      <c r="Q1673" s="1" t="s">
        <v>32</v>
      </c>
      <c r="R1673" s="1" t="s">
        <v>7415</v>
      </c>
      <c r="S1673" s="1" t="s">
        <v>32</v>
      </c>
      <c r="W1673" s="1">
        <v>0.0</v>
      </c>
      <c r="X1673" s="1">
        <v>0.0</v>
      </c>
    </row>
    <row r="1674" spans="1:24" ht="15.75" customHeight="1">
      <c r="A1674" s="1">
        <v>480707.0</v>
      </c>
      <c r="B1674" s="1" t="s">
        <v>7416</v>
      </c>
      <c r="C1674" s="1" t="s">
        <v>7417</v>
      </c>
      <c r="D1674" s="1" t="s">
        <v>7418</v>
      </c>
      <c r="F1674" s="1" t="str">
        <f>"0896082172"</f>
        <v>0896082172</v>
      </c>
      <c r="G1674" s="1" t="str">
        <f>"9780896082175"</f>
        <v>9780896082175</v>
      </c>
      <c r="H1674" s="1">
        <v>0.0</v>
      </c>
      <c r="I1674" s="1">
        <v>3.86</v>
      </c>
      <c r="J1674" s="1" t="s">
        <v>7419</v>
      </c>
      <c r="K1674" s="1" t="s">
        <v>44</v>
      </c>
      <c r="L1674" s="1">
        <v>249.0</v>
      </c>
      <c r="M1674" s="1">
        <v>1999.0</v>
      </c>
      <c r="N1674" s="1">
        <v>1984.0</v>
      </c>
      <c r="P1674" s="2">
        <v>43926.0</v>
      </c>
      <c r="Q1674" s="1" t="s">
        <v>1110</v>
      </c>
      <c r="R1674" s="1" t="s">
        <v>7420</v>
      </c>
      <c r="S1674" s="1" t="s">
        <v>32</v>
      </c>
      <c r="W1674" s="1">
        <v>0.0</v>
      </c>
      <c r="X1674" s="1">
        <v>0.0</v>
      </c>
    </row>
    <row r="1675" spans="1:24" ht="15.75" customHeight="1">
      <c r="A1675" s="1">
        <v>1.0065595E7</v>
      </c>
      <c r="B1675" s="1" t="s">
        <v>7421</v>
      </c>
      <c r="C1675" s="1" t="s">
        <v>7417</v>
      </c>
      <c r="D1675" s="1" t="s">
        <v>7418</v>
      </c>
      <c r="F1675" s="1" t="str">
        <f>"0807044393"</f>
        <v>0807044393</v>
      </c>
      <c r="G1675" s="1" t="str">
        <f>"9780807044391"</f>
        <v>9780807044391</v>
      </c>
      <c r="H1675" s="1">
        <v>0.0</v>
      </c>
      <c r="I1675" s="1">
        <v>3.88</v>
      </c>
      <c r="J1675" s="1" t="s">
        <v>758</v>
      </c>
      <c r="K1675" s="1" t="s">
        <v>37</v>
      </c>
      <c r="L1675" s="1">
        <v>312.0</v>
      </c>
      <c r="M1675" s="1">
        <v>2011.0</v>
      </c>
      <c r="N1675" s="1">
        <v>2011.0</v>
      </c>
      <c r="P1675" s="2">
        <v>42603.0</v>
      </c>
      <c r="Q1675" s="1" t="s">
        <v>5674</v>
      </c>
      <c r="R1675" s="1" t="s">
        <v>7422</v>
      </c>
      <c r="S1675" s="1" t="s">
        <v>32</v>
      </c>
      <c r="W1675" s="1">
        <v>0.0</v>
      </c>
      <c r="X1675" s="1">
        <v>0.0</v>
      </c>
    </row>
    <row r="1676" spans="1:24" ht="15.75" customHeight="1">
      <c r="A1676" s="1">
        <v>567542.0</v>
      </c>
      <c r="B1676" s="1" t="s">
        <v>7423</v>
      </c>
      <c r="C1676" s="1" t="s">
        <v>7424</v>
      </c>
      <c r="D1676" s="1" t="s">
        <v>7425</v>
      </c>
      <c r="F1676" s="1" t="str">
        <f>"0195083520"</f>
        <v>0195083520</v>
      </c>
      <c r="G1676" s="1" t="str">
        <f>"9780195083521"</f>
        <v>9780195083521</v>
      </c>
      <c r="H1676" s="1">
        <v>0.0</v>
      </c>
      <c r="I1676" s="1">
        <v>3.61</v>
      </c>
      <c r="J1676" s="1" t="s">
        <v>181</v>
      </c>
      <c r="K1676" s="1" t="s">
        <v>44</v>
      </c>
      <c r="L1676" s="1">
        <v>384.0</v>
      </c>
      <c r="M1676" s="1">
        <v>1993.0</v>
      </c>
      <c r="N1676" s="1">
        <v>1991.0</v>
      </c>
      <c r="P1676" s="2">
        <v>45182.0</v>
      </c>
      <c r="Q1676" s="1" t="s">
        <v>249</v>
      </c>
      <c r="R1676" s="1" t="s">
        <v>7426</v>
      </c>
      <c r="S1676" s="1" t="s">
        <v>32</v>
      </c>
      <c r="W1676" s="1">
        <v>0.0</v>
      </c>
      <c r="X1676" s="1">
        <v>0.0</v>
      </c>
    </row>
    <row r="1677" spans="1:24" ht="15.75" customHeight="1">
      <c r="A1677" s="1">
        <v>1.1146839E7</v>
      </c>
      <c r="B1677" s="1" t="s">
        <v>7427</v>
      </c>
      <c r="C1677" s="1" t="s">
        <v>7428</v>
      </c>
      <c r="D1677" s="1" t="s">
        <v>7429</v>
      </c>
      <c r="F1677" s="1" t="str">
        <f>"0983121931"</f>
        <v>0983121931</v>
      </c>
      <c r="G1677" s="1" t="str">
        <f>"9780983121930"</f>
        <v>9780983121930</v>
      </c>
      <c r="H1677" s="1">
        <v>0.0</v>
      </c>
      <c r="I1677" s="1">
        <v>5.0</v>
      </c>
      <c r="J1677" s="1" t="s">
        <v>6838</v>
      </c>
      <c r="K1677" s="1" t="s">
        <v>44</v>
      </c>
      <c r="L1677" s="1">
        <v>104.0</v>
      </c>
      <c r="M1677" s="1">
        <v>2011.0</v>
      </c>
      <c r="N1677" s="1">
        <v>2011.0</v>
      </c>
      <c r="P1677" s="2">
        <v>45143.0</v>
      </c>
      <c r="Q1677" s="1" t="s">
        <v>449</v>
      </c>
      <c r="R1677" s="1" t="s">
        <v>7430</v>
      </c>
      <c r="S1677" s="1" t="s">
        <v>32</v>
      </c>
      <c r="W1677" s="1">
        <v>0.0</v>
      </c>
      <c r="X1677" s="1">
        <v>1.0</v>
      </c>
    </row>
    <row r="1678" spans="1:24" ht="15.75" customHeight="1">
      <c r="A1678" s="1">
        <v>249203.0</v>
      </c>
      <c r="B1678" s="1" t="s">
        <v>7431</v>
      </c>
      <c r="C1678" s="1" t="s">
        <v>7432</v>
      </c>
      <c r="D1678" s="1" t="s">
        <v>7433</v>
      </c>
      <c r="F1678" s="1" t="str">
        <f>"0151012512"</f>
        <v>0151012512</v>
      </c>
      <c r="G1678" s="1" t="str">
        <f>"9780151012510"</f>
        <v>9780151012510</v>
      </c>
      <c r="H1678" s="1">
        <v>0.0</v>
      </c>
      <c r="I1678" s="1">
        <v>3.88</v>
      </c>
      <c r="J1678" s="1" t="s">
        <v>5333</v>
      </c>
      <c r="K1678" s="1" t="s">
        <v>37</v>
      </c>
      <c r="L1678" s="1">
        <v>341.0</v>
      </c>
      <c r="M1678" s="1">
        <v>2007.0</v>
      </c>
      <c r="N1678" s="1">
        <v>2007.0</v>
      </c>
      <c r="P1678" s="2">
        <v>45129.0</v>
      </c>
      <c r="Q1678" s="1" t="s">
        <v>3722</v>
      </c>
      <c r="R1678" s="1" t="s">
        <v>7434</v>
      </c>
      <c r="S1678" s="1" t="s">
        <v>32</v>
      </c>
      <c r="W1678" s="1">
        <v>0.0</v>
      </c>
      <c r="X1678" s="1">
        <v>0.0</v>
      </c>
    </row>
    <row r="1679" spans="1:24" ht="15.75" customHeight="1">
      <c r="A1679" s="1">
        <v>249201.0</v>
      </c>
      <c r="B1679" s="1" t="s">
        <v>7435</v>
      </c>
      <c r="C1679" s="1" t="s">
        <v>7432</v>
      </c>
      <c r="D1679" s="1" t="s">
        <v>7433</v>
      </c>
      <c r="F1679" s="1" t="str">
        <f>"0393329631"</f>
        <v>0393329631</v>
      </c>
      <c r="G1679" s="1" t="str">
        <f>"9780393329636"</f>
        <v>9780393329636</v>
      </c>
      <c r="H1679" s="1">
        <v>0.0</v>
      </c>
      <c r="I1679" s="1">
        <v>4.27</v>
      </c>
      <c r="J1679" s="1" t="s">
        <v>2467</v>
      </c>
      <c r="K1679" s="1" t="s">
        <v>44</v>
      </c>
      <c r="L1679" s="1">
        <v>558.0</v>
      </c>
      <c r="M1679" s="1">
        <v>2007.0</v>
      </c>
      <c r="N1679" s="1">
        <v>2004.0</v>
      </c>
      <c r="P1679" s="2">
        <v>45129.0</v>
      </c>
      <c r="Q1679" s="1" t="s">
        <v>3722</v>
      </c>
      <c r="R1679" s="1" t="s">
        <v>7436</v>
      </c>
      <c r="S1679" s="1" t="s">
        <v>32</v>
      </c>
      <c r="W1679" s="1">
        <v>0.0</v>
      </c>
      <c r="X1679" s="1">
        <v>0.0</v>
      </c>
    </row>
    <row r="1680" spans="1:24" ht="15.75" customHeight="1">
      <c r="A1680" s="1">
        <v>247620.0</v>
      </c>
      <c r="B1680" s="1" t="s">
        <v>7437</v>
      </c>
      <c r="C1680" s="1" t="s">
        <v>7432</v>
      </c>
      <c r="D1680" s="1" t="s">
        <v>7433</v>
      </c>
      <c r="F1680" s="1" t="str">
        <f>"0805083383"</f>
        <v>0805083383</v>
      </c>
      <c r="G1680" s="1" t="str">
        <f>"9780805083385"</f>
        <v>9780805083385</v>
      </c>
      <c r="H1680" s="1">
        <v>0.0</v>
      </c>
      <c r="I1680" s="1">
        <v>3.8</v>
      </c>
      <c r="J1680" s="1" t="s">
        <v>507</v>
      </c>
      <c r="K1680" s="1" t="s">
        <v>44</v>
      </c>
      <c r="L1680" s="1">
        <v>170.0</v>
      </c>
      <c r="M1680" s="1">
        <v>2007.0</v>
      </c>
      <c r="N1680" s="1">
        <v>2006.0</v>
      </c>
      <c r="P1680" s="2">
        <v>45126.0</v>
      </c>
      <c r="Q1680" s="1" t="s">
        <v>32</v>
      </c>
      <c r="R1680" s="1" t="s">
        <v>7438</v>
      </c>
      <c r="S1680" s="1" t="s">
        <v>32</v>
      </c>
      <c r="W1680" s="1">
        <v>0.0</v>
      </c>
      <c r="X1680" s="1">
        <v>0.0</v>
      </c>
    </row>
    <row r="1681" spans="1:24" ht="15.75" customHeight="1">
      <c r="A1681" s="1">
        <v>1.1515482E7</v>
      </c>
      <c r="B1681" s="1" t="s">
        <v>7439</v>
      </c>
      <c r="C1681" s="1" t="s">
        <v>7440</v>
      </c>
      <c r="D1681" s="1" t="s">
        <v>7441</v>
      </c>
      <c r="F1681" s="1" t="str">
        <f>"0226771474"</f>
        <v>0226771474</v>
      </c>
      <c r="G1681" s="1" t="str">
        <f>"9780226771472"</f>
        <v>9780226771472</v>
      </c>
      <c r="H1681" s="1">
        <v>0.0</v>
      </c>
      <c r="I1681" s="1">
        <v>4.05</v>
      </c>
      <c r="J1681" s="1" t="s">
        <v>78</v>
      </c>
      <c r="K1681" s="1" t="s">
        <v>37</v>
      </c>
      <c r="L1681" s="1">
        <v>264.0</v>
      </c>
      <c r="M1681" s="1">
        <v>2011.0</v>
      </c>
      <c r="N1681" s="1">
        <v>2011.0</v>
      </c>
      <c r="P1681" s="2">
        <v>45168.0</v>
      </c>
      <c r="Q1681" s="1" t="s">
        <v>32</v>
      </c>
      <c r="R1681" s="1" t="s">
        <v>7442</v>
      </c>
      <c r="S1681" s="1" t="s">
        <v>32</v>
      </c>
      <c r="W1681" s="1">
        <v>0.0</v>
      </c>
      <c r="X1681" s="1">
        <v>0.0</v>
      </c>
    </row>
    <row r="1682" spans="1:24" ht="15.75" customHeight="1">
      <c r="A1682" s="1">
        <v>1846774.0</v>
      </c>
      <c r="B1682" s="1" t="s">
        <v>7443</v>
      </c>
      <c r="C1682" s="1" t="s">
        <v>7444</v>
      </c>
      <c r="D1682" s="1" t="s">
        <v>7445</v>
      </c>
      <c r="E1682" s="1" t="s">
        <v>7446</v>
      </c>
      <c r="F1682" s="1" t="str">
        <f>"0871922835"</f>
        <v>0871922835</v>
      </c>
      <c r="G1682" s="1" t="str">
        <f>"9780871922830"</f>
        <v>9780871922830</v>
      </c>
      <c r="H1682" s="1">
        <v>0.0</v>
      </c>
      <c r="I1682" s="1">
        <v>3.97</v>
      </c>
      <c r="J1682" s="1" t="s">
        <v>7447</v>
      </c>
      <c r="K1682" s="1" t="s">
        <v>37</v>
      </c>
      <c r="L1682" s="1">
        <v>228.0</v>
      </c>
      <c r="M1682" s="1">
        <v>1995.0</v>
      </c>
      <c r="N1682" s="1">
        <v>1988.0</v>
      </c>
      <c r="P1682" s="2">
        <v>45161.0</v>
      </c>
      <c r="Q1682" s="1" t="s">
        <v>1017</v>
      </c>
      <c r="R1682" s="1" t="s">
        <v>7448</v>
      </c>
      <c r="S1682" s="1" t="s">
        <v>32</v>
      </c>
      <c r="W1682" s="1">
        <v>0.0</v>
      </c>
      <c r="X1682" s="1">
        <v>1.0</v>
      </c>
    </row>
    <row r="1683" spans="1:24" ht="15.75" customHeight="1">
      <c r="A1683" s="1">
        <v>553874.0</v>
      </c>
      <c r="B1683" s="1" t="s">
        <v>7449</v>
      </c>
      <c r="C1683" s="1" t="s">
        <v>7450</v>
      </c>
      <c r="D1683" s="1" t="s">
        <v>7451</v>
      </c>
      <c r="F1683" s="1" t="str">
        <f>"0521000025"</f>
        <v>0521000025</v>
      </c>
      <c r="G1683" s="1" t="str">
        <f>"9780521000024"</f>
        <v>9780521000024</v>
      </c>
      <c r="H1683" s="1">
        <v>0.0</v>
      </c>
      <c r="I1683" s="1">
        <v>4.19</v>
      </c>
      <c r="J1683" s="1" t="s">
        <v>388</v>
      </c>
      <c r="K1683" s="1" t="s">
        <v>44</v>
      </c>
      <c r="L1683" s="1">
        <v>274.0</v>
      </c>
      <c r="M1683" s="1">
        <v>2001.0</v>
      </c>
      <c r="N1683" s="1">
        <v>1999.0</v>
      </c>
      <c r="P1683" s="2">
        <v>44444.0</v>
      </c>
      <c r="Q1683" s="1" t="s">
        <v>49</v>
      </c>
      <c r="R1683" s="1" t="s">
        <v>7452</v>
      </c>
      <c r="S1683" s="1" t="s">
        <v>32</v>
      </c>
      <c r="W1683" s="1">
        <v>0.0</v>
      </c>
      <c r="X1683" s="1">
        <v>0.0</v>
      </c>
    </row>
    <row r="1684" spans="1:24" ht="15.75" customHeight="1">
      <c r="A1684" s="1">
        <v>3.5969564E7</v>
      </c>
      <c r="B1684" s="1" t="s">
        <v>7453</v>
      </c>
      <c r="C1684" s="1" t="s">
        <v>7454</v>
      </c>
      <c r="D1684" s="1" t="s">
        <v>7455</v>
      </c>
      <c r="F1684" s="1" t="str">
        <f>"1101911530"</f>
        <v>1101911530</v>
      </c>
      <c r="G1684" s="1" t="str">
        <f>"9781101911532"</f>
        <v>9781101911532</v>
      </c>
      <c r="H1684" s="1">
        <v>0.0</v>
      </c>
      <c r="I1684" s="1">
        <v>3.89</v>
      </c>
      <c r="J1684" s="1" t="s">
        <v>69</v>
      </c>
      <c r="K1684" s="1" t="s">
        <v>44</v>
      </c>
      <c r="L1684" s="1">
        <v>203.0</v>
      </c>
      <c r="M1684" s="1">
        <v>2018.0</v>
      </c>
      <c r="N1684" s="1">
        <v>2017.0</v>
      </c>
      <c r="P1684" s="2">
        <v>45029.0</v>
      </c>
      <c r="Q1684" s="1" t="s">
        <v>55</v>
      </c>
      <c r="R1684" s="1" t="s">
        <v>7456</v>
      </c>
      <c r="S1684" s="1" t="s">
        <v>32</v>
      </c>
      <c r="W1684" s="1">
        <v>0.0</v>
      </c>
      <c r="X1684" s="1">
        <v>0.0</v>
      </c>
    </row>
    <row r="1685" spans="1:24" ht="15.75" customHeight="1">
      <c r="A1685" s="1">
        <v>3.06872E7</v>
      </c>
      <c r="B1685" s="1" t="s">
        <v>7453</v>
      </c>
      <c r="C1685" s="1" t="s">
        <v>7454</v>
      </c>
      <c r="D1685" s="1" t="s">
        <v>7455</v>
      </c>
      <c r="E1685" s="1" t="s">
        <v>7457</v>
      </c>
      <c r="F1685" s="1" t="str">
        <f>"1101924926"</f>
        <v>1101924926</v>
      </c>
      <c r="G1685" s="1" t="str">
        <f>"9781101924921"</f>
        <v>9781101924921</v>
      </c>
      <c r="H1685" s="1">
        <v>0.0</v>
      </c>
      <c r="I1685" s="1">
        <v>3.89</v>
      </c>
      <c r="J1685" s="1" t="s">
        <v>7458</v>
      </c>
      <c r="K1685" s="1" t="s">
        <v>7459</v>
      </c>
      <c r="L1685" s="1">
        <v>225.0</v>
      </c>
      <c r="M1685" s="1">
        <v>2017.0</v>
      </c>
      <c r="N1685" s="1">
        <v>2017.0</v>
      </c>
      <c r="P1685" s="2">
        <v>44205.0</v>
      </c>
      <c r="Q1685" s="1" t="s">
        <v>1739</v>
      </c>
      <c r="R1685" s="1" t="s">
        <v>7460</v>
      </c>
      <c r="S1685" s="1" t="s">
        <v>32</v>
      </c>
      <c r="W1685" s="1">
        <v>0.0</v>
      </c>
      <c r="X1685" s="1">
        <v>0.0</v>
      </c>
    </row>
    <row r="1686" spans="1:24" ht="15.75" customHeight="1">
      <c r="A1686" s="1">
        <v>676920.0</v>
      </c>
      <c r="B1686" s="1" t="s">
        <v>7461</v>
      </c>
      <c r="C1686" s="1" t="s">
        <v>7462</v>
      </c>
      <c r="D1686" s="1" t="s">
        <v>7463</v>
      </c>
      <c r="F1686" s="1" t="str">
        <f>"1880985268"</f>
        <v>1880985268</v>
      </c>
      <c r="G1686" s="1" t="str">
        <f>"9781880985267"</f>
        <v>9781880985267</v>
      </c>
      <c r="H1686" s="1">
        <v>0.0</v>
      </c>
      <c r="I1686" s="1">
        <v>3.71</v>
      </c>
      <c r="J1686" s="108">
        <v>22325.0</v>
      </c>
      <c r="K1686" s="1" t="s">
        <v>44</v>
      </c>
      <c r="L1686" s="1">
        <v>233.0</v>
      </c>
      <c r="M1686" s="1">
        <v>1995.0</v>
      </c>
      <c r="N1686" s="1">
        <v>1995.0</v>
      </c>
      <c r="P1686" s="2">
        <v>40953.0</v>
      </c>
      <c r="Q1686" s="1" t="s">
        <v>127</v>
      </c>
      <c r="R1686" s="1" t="s">
        <v>7464</v>
      </c>
      <c r="S1686" s="1" t="s">
        <v>32</v>
      </c>
      <c r="W1686" s="1">
        <v>0.0</v>
      </c>
      <c r="X1686" s="1">
        <v>0.0</v>
      </c>
    </row>
    <row r="1687" spans="1:24" ht="15.75" customHeight="1">
      <c r="A1687" s="1">
        <v>314932.0</v>
      </c>
      <c r="B1687" s="1" t="s">
        <v>7465</v>
      </c>
      <c r="C1687" s="1" t="s">
        <v>7466</v>
      </c>
      <c r="D1687" s="1" t="s">
        <v>7467</v>
      </c>
      <c r="F1687" s="1" t="str">
        <f>"0192854100"</f>
        <v>0192854100</v>
      </c>
      <c r="G1687" s="1" t="str">
        <f>"9780192854100"</f>
        <v>9780192854100</v>
      </c>
      <c r="H1687" s="1">
        <v>0.0</v>
      </c>
      <c r="I1687" s="1">
        <v>3.66</v>
      </c>
      <c r="J1687" s="1" t="s">
        <v>181</v>
      </c>
      <c r="K1687" s="1" t="s">
        <v>44</v>
      </c>
      <c r="L1687" s="1">
        <v>160.0</v>
      </c>
      <c r="M1687" s="1">
        <v>2002.0</v>
      </c>
      <c r="N1687" s="1">
        <v>1997.0</v>
      </c>
      <c r="P1687" s="2">
        <v>43945.0</v>
      </c>
      <c r="Q1687" s="1" t="s">
        <v>2213</v>
      </c>
      <c r="R1687" s="1" t="s">
        <v>7468</v>
      </c>
      <c r="S1687" s="1" t="s">
        <v>32</v>
      </c>
      <c r="W1687" s="1">
        <v>0.0</v>
      </c>
      <c r="X1687" s="1">
        <v>0.0</v>
      </c>
    </row>
    <row r="1688" spans="1:24" ht="15.75" customHeight="1">
      <c r="A1688" s="1">
        <v>1.5793627E7</v>
      </c>
      <c r="B1688" s="1" t="s">
        <v>7469</v>
      </c>
      <c r="C1688" s="1" t="s">
        <v>7470</v>
      </c>
      <c r="D1688" s="1" t="s">
        <v>7471</v>
      </c>
      <c r="F1688" s="1" t="str">
        <f>"0374533652"</f>
        <v>0374533652</v>
      </c>
      <c r="G1688" s="1" t="str">
        <f>"9780374533656"</f>
        <v>9780374533656</v>
      </c>
      <c r="H1688" s="1">
        <v>0.0</v>
      </c>
      <c r="I1688" s="1">
        <v>3.93</v>
      </c>
      <c r="J1688" s="1" t="s">
        <v>438</v>
      </c>
      <c r="K1688" s="1" t="s">
        <v>44</v>
      </c>
      <c r="L1688" s="1">
        <v>256.0</v>
      </c>
      <c r="M1688" s="1">
        <v>2013.0</v>
      </c>
      <c r="N1688" s="1">
        <v>2012.0</v>
      </c>
      <c r="P1688" s="2">
        <v>45116.0</v>
      </c>
      <c r="Q1688" s="1" t="s">
        <v>1207</v>
      </c>
      <c r="R1688" s="1" t="s">
        <v>7472</v>
      </c>
      <c r="S1688" s="1" t="s">
        <v>32</v>
      </c>
      <c r="W1688" s="1">
        <v>1.0</v>
      </c>
      <c r="X1688" s="1">
        <v>1.0</v>
      </c>
    </row>
    <row r="1689" spans="1:24" ht="15.75" customHeight="1">
      <c r="A1689" s="1">
        <v>8288287.0</v>
      </c>
      <c r="B1689" s="1" t="s">
        <v>7473</v>
      </c>
      <c r="C1689" s="1" t="s">
        <v>7470</v>
      </c>
      <c r="D1689" s="1" t="s">
        <v>7471</v>
      </c>
      <c r="F1689" s="1" t="str">
        <f t="shared" si="127" ref="F1689:G1689">""</f>
        <v/>
      </c>
      <c r="G1689" s="1" t="str">
        <f t="shared" si="127"/>
        <v/>
      </c>
      <c r="H1689" s="1">
        <v>0.0</v>
      </c>
      <c r="I1689" s="1">
        <v>4.31</v>
      </c>
      <c r="K1689" s="1" t="s">
        <v>29</v>
      </c>
      <c r="L1689" s="1">
        <v>322.0</v>
      </c>
      <c r="N1689" s="1">
        <v>2007.0</v>
      </c>
      <c r="P1689" s="2">
        <v>45113.0</v>
      </c>
      <c r="Q1689" s="1" t="s">
        <v>1207</v>
      </c>
      <c r="R1689" s="1" t="s">
        <v>7474</v>
      </c>
      <c r="S1689" s="1" t="s">
        <v>32</v>
      </c>
      <c r="W1689" s="1">
        <v>0.0</v>
      </c>
      <c r="X1689" s="1">
        <v>1.0</v>
      </c>
    </row>
    <row r="1690" spans="1:24" ht="15.75" customHeight="1">
      <c r="A1690" s="1">
        <v>320993.0</v>
      </c>
      <c r="B1690" s="1" t="s">
        <v>7475</v>
      </c>
      <c r="C1690" s="1" t="s">
        <v>7470</v>
      </c>
      <c r="D1690" s="1" t="s">
        <v>7471</v>
      </c>
      <c r="F1690" s="1" t="str">
        <f>"067401927X"</f>
        <v>067401927X</v>
      </c>
      <c r="G1690" s="1" t="str">
        <f>"9780674019270"</f>
        <v>9780674019270</v>
      </c>
      <c r="H1690" s="1">
        <v>0.0</v>
      </c>
      <c r="I1690" s="1">
        <v>3.84</v>
      </c>
      <c r="J1690" s="1" t="s">
        <v>7476</v>
      </c>
      <c r="K1690" s="1" t="s">
        <v>37</v>
      </c>
      <c r="L1690" s="1">
        <v>176.0</v>
      </c>
      <c r="M1690" s="1">
        <v>2007.0</v>
      </c>
      <c r="N1690" s="1">
        <v>2007.0</v>
      </c>
      <c r="P1690" s="2">
        <v>45113.0</v>
      </c>
      <c r="Q1690" s="1" t="s">
        <v>32</v>
      </c>
      <c r="R1690" s="1" t="s">
        <v>7477</v>
      </c>
      <c r="S1690" s="1" t="s">
        <v>32</v>
      </c>
      <c r="W1690" s="1">
        <v>0.0</v>
      </c>
      <c r="X1690" s="1">
        <v>0.0</v>
      </c>
    </row>
    <row r="1691" spans="1:24" ht="15.75" customHeight="1">
      <c r="A1691" s="1">
        <v>996383.0</v>
      </c>
      <c r="B1691" s="1" t="s">
        <v>7478</v>
      </c>
      <c r="C1691" s="1" t="s">
        <v>7479</v>
      </c>
      <c r="D1691" s="1" t="s">
        <v>7480</v>
      </c>
      <c r="F1691" s="1" t="str">
        <f>"034534345X"</f>
        <v>034534345X</v>
      </c>
      <c r="G1691" s="1" t="str">
        <f>"9780345343451"</f>
        <v>9780345343451</v>
      </c>
      <c r="H1691" s="1">
        <v>0.0</v>
      </c>
      <c r="I1691" s="1">
        <v>4.58</v>
      </c>
      <c r="J1691" s="1" t="s">
        <v>1416</v>
      </c>
      <c r="K1691" s="1" t="s">
        <v>44</v>
      </c>
      <c r="L1691" s="1">
        <v>814.0</v>
      </c>
      <c r="M1691" s="1">
        <v>1983.0</v>
      </c>
      <c r="N1691" s="1">
        <v>1983.0</v>
      </c>
      <c r="P1691" s="2">
        <v>43961.0</v>
      </c>
      <c r="Q1691" s="1" t="s">
        <v>49</v>
      </c>
      <c r="R1691" s="1" t="s">
        <v>7481</v>
      </c>
      <c r="S1691" s="1" t="s">
        <v>32</v>
      </c>
      <c r="W1691" s="1">
        <v>0.0</v>
      </c>
      <c r="X1691" s="1">
        <v>0.0</v>
      </c>
    </row>
    <row r="1692" spans="1:24" ht="15.75" customHeight="1">
      <c r="A1692" s="1">
        <v>3939653.0</v>
      </c>
      <c r="B1692" s="1" t="s">
        <v>7482</v>
      </c>
      <c r="C1692" s="1" t="s">
        <v>7483</v>
      </c>
      <c r="D1692" s="1" t="s">
        <v>7484</v>
      </c>
      <c r="F1692" s="1" t="str">
        <f>"0394755472"</f>
        <v>0394755472</v>
      </c>
      <c r="G1692" s="1" t="str">
        <f>"9780394755472"</f>
        <v>9780394755472</v>
      </c>
      <c r="H1692" s="1">
        <v>0.0</v>
      </c>
      <c r="I1692" s="1">
        <v>3.98</v>
      </c>
      <c r="J1692" s="1" t="s">
        <v>530</v>
      </c>
      <c r="K1692" s="1" t="s">
        <v>44</v>
      </c>
      <c r="L1692" s="1">
        <v>224.0</v>
      </c>
      <c r="M1692" s="1">
        <v>1989.0</v>
      </c>
      <c r="N1692" s="1">
        <v>1983.0</v>
      </c>
      <c r="P1692" s="2">
        <v>45160.0</v>
      </c>
      <c r="Q1692" s="1" t="s">
        <v>1017</v>
      </c>
      <c r="R1692" s="1" t="s">
        <v>7485</v>
      </c>
      <c r="S1692" s="1" t="s">
        <v>32</v>
      </c>
      <c r="W1692" s="1">
        <v>0.0</v>
      </c>
      <c r="X1692" s="1">
        <v>1.0</v>
      </c>
    </row>
    <row r="1693" spans="1:24" ht="15.75" customHeight="1">
      <c r="A1693" s="1">
        <v>458385.0</v>
      </c>
      <c r="B1693" s="1" t="s">
        <v>7486</v>
      </c>
      <c r="C1693" s="1" t="s">
        <v>7487</v>
      </c>
      <c r="D1693" s="1" t="s">
        <v>7488</v>
      </c>
      <c r="E1693" s="1" t="s">
        <v>2846</v>
      </c>
      <c r="F1693" s="1" t="str">
        <f>"1899365435"</f>
        <v>1899365435</v>
      </c>
      <c r="G1693" s="1" t="str">
        <f>"9781899365432"</f>
        <v>9781899365432</v>
      </c>
      <c r="H1693" s="1">
        <v>0.0</v>
      </c>
      <c r="I1693" s="1">
        <v>4.0</v>
      </c>
      <c r="J1693" s="1" t="s">
        <v>7489</v>
      </c>
      <c r="K1693" s="1" t="s">
        <v>44</v>
      </c>
      <c r="M1693" s="1">
        <v>2002.0</v>
      </c>
      <c r="N1693" s="1">
        <v>2015.0</v>
      </c>
      <c r="P1693" s="2">
        <v>45269.0</v>
      </c>
      <c r="Q1693" s="1" t="s">
        <v>2129</v>
      </c>
      <c r="R1693" s="1" t="s">
        <v>7490</v>
      </c>
      <c r="S1693" s="1" t="s">
        <v>32</v>
      </c>
      <c r="W1693" s="1">
        <v>0.0</v>
      </c>
      <c r="X1693" s="1">
        <v>0.0</v>
      </c>
    </row>
    <row r="1694" spans="1:24" ht="15.75" customHeight="1">
      <c r="A1694" s="1">
        <v>446299.0</v>
      </c>
      <c r="B1694" s="1" t="s">
        <v>7491</v>
      </c>
      <c r="C1694" s="1" t="s">
        <v>7492</v>
      </c>
      <c r="D1694" s="1" t="s">
        <v>7493</v>
      </c>
      <c r="F1694" s="1" t="str">
        <f>"0380405849"</f>
        <v>0380405849</v>
      </c>
      <c r="G1694" s="1" t="str">
        <f>"9780380405848"</f>
        <v>9780380405848</v>
      </c>
      <c r="H1694" s="1">
        <v>0.0</v>
      </c>
      <c r="I1694" s="1">
        <v>3.92</v>
      </c>
      <c r="J1694" s="1" t="s">
        <v>7494</v>
      </c>
      <c r="K1694" s="1" t="s">
        <v>1225</v>
      </c>
      <c r="L1694" s="1">
        <v>352.0</v>
      </c>
      <c r="M1694" s="1">
        <v>1980.0</v>
      </c>
      <c r="N1694" s="1">
        <v>1979.0</v>
      </c>
      <c r="P1694" s="2">
        <v>45154.0</v>
      </c>
      <c r="Q1694" s="1" t="s">
        <v>32</v>
      </c>
      <c r="R1694" s="1" t="s">
        <v>7495</v>
      </c>
      <c r="S1694" s="1" t="s">
        <v>32</v>
      </c>
      <c r="W1694" s="1">
        <v>0.0</v>
      </c>
      <c r="X1694" s="1">
        <v>0.0</v>
      </c>
    </row>
    <row r="1695" spans="1:24" ht="15.75" customHeight="1">
      <c r="A1695" s="1">
        <v>301053.0</v>
      </c>
      <c r="B1695" s="1" t="s">
        <v>7496</v>
      </c>
      <c r="C1695" s="1" t="s">
        <v>7492</v>
      </c>
      <c r="D1695" s="1" t="s">
        <v>7493</v>
      </c>
      <c r="F1695" s="1" t="str">
        <f>"0380783606"</f>
        <v>0380783606</v>
      </c>
      <c r="G1695" s="1" t="str">
        <f>"9780380783601"</f>
        <v>9780380783601</v>
      </c>
      <c r="H1695" s="1">
        <v>0.0</v>
      </c>
      <c r="I1695" s="1">
        <v>4.01</v>
      </c>
      <c r="J1695" s="1" t="s">
        <v>7494</v>
      </c>
      <c r="K1695" s="1" t="s">
        <v>1225</v>
      </c>
      <c r="L1695" s="1">
        <v>292.0</v>
      </c>
      <c r="M1695" s="1">
        <v>1981.0</v>
      </c>
      <c r="N1695" s="1">
        <v>1981.0</v>
      </c>
      <c r="P1695" s="2">
        <v>45154.0</v>
      </c>
      <c r="Q1695" s="1" t="s">
        <v>32</v>
      </c>
      <c r="R1695" s="1" t="s">
        <v>7497</v>
      </c>
      <c r="S1695" s="1" t="s">
        <v>32</v>
      </c>
      <c r="W1695" s="1">
        <v>0.0</v>
      </c>
      <c r="X1695" s="1">
        <v>0.0</v>
      </c>
    </row>
    <row r="1696" spans="1:24" ht="15.75" customHeight="1">
      <c r="A1696" s="1">
        <v>2385822.0</v>
      </c>
      <c r="B1696" s="1" t="s">
        <v>7498</v>
      </c>
      <c r="C1696" s="1" t="s">
        <v>7499</v>
      </c>
      <c r="D1696" s="1" t="s">
        <v>7500</v>
      </c>
      <c r="F1696" s="1" t="str">
        <f>"1589064704"</f>
        <v>1589064704</v>
      </c>
      <c r="G1696" s="1" t="str">
        <f>"9781589064706"</f>
        <v>9781589064706</v>
      </c>
      <c r="H1696" s="1">
        <v>0.0</v>
      </c>
      <c r="I1696" s="1">
        <v>0.0</v>
      </c>
      <c r="J1696" s="1" t="s">
        <v>7501</v>
      </c>
      <c r="K1696" s="1" t="s">
        <v>44</v>
      </c>
      <c r="L1696" s="1">
        <v>229.0</v>
      </c>
      <c r="M1696" s="1">
        <v>2006.0</v>
      </c>
      <c r="N1696" s="1">
        <v>2005.0</v>
      </c>
      <c r="P1696" s="3">
        <v>45274.0</v>
      </c>
      <c r="Q1696" s="1" t="s">
        <v>479</v>
      </c>
      <c r="R1696" s="1" t="s">
        <v>7502</v>
      </c>
      <c r="S1696" s="1" t="s">
        <v>32</v>
      </c>
      <c r="W1696" s="1">
        <v>0.0</v>
      </c>
      <c r="X1696" s="1">
        <v>0.0</v>
      </c>
    </row>
    <row r="1697" spans="1:24" ht="15.75" customHeight="1">
      <c r="A1697" s="1">
        <v>1.4868014E7</v>
      </c>
      <c r="B1697" s="1" t="s">
        <v>7503</v>
      </c>
      <c r="C1697" s="1" t="s">
        <v>7504</v>
      </c>
      <c r="D1697" s="1" t="s">
        <v>7505</v>
      </c>
      <c r="E1697" s="1" t="s">
        <v>7506</v>
      </c>
      <c r="F1697" s="1" t="str">
        <f>"0415520312"</f>
        <v>0415520312</v>
      </c>
      <c r="G1697" s="1" t="str">
        <f>"9780415520317"</f>
        <v>9780415520317</v>
      </c>
      <c r="H1697" s="1">
        <v>0.0</v>
      </c>
      <c r="I1697" s="1">
        <v>4.18</v>
      </c>
      <c r="J1697" s="1" t="s">
        <v>280</v>
      </c>
      <c r="K1697" s="1" t="s">
        <v>44</v>
      </c>
      <c r="L1697" s="1">
        <v>344.0</v>
      </c>
      <c r="M1697" s="1">
        <v>2014.0</v>
      </c>
      <c r="N1697" s="1">
        <v>1994.0</v>
      </c>
      <c r="P1697" s="2">
        <v>43142.0</v>
      </c>
      <c r="Q1697" s="1" t="s">
        <v>32</v>
      </c>
      <c r="R1697" s="1" t="s">
        <v>7507</v>
      </c>
      <c r="S1697" s="1" t="s">
        <v>32</v>
      </c>
      <c r="W1697" s="1">
        <v>0.0</v>
      </c>
      <c r="X1697" s="1">
        <v>0.0</v>
      </c>
    </row>
    <row r="1698" spans="1:24" ht="15.75" customHeight="1">
      <c r="A1698" s="1">
        <v>11713.0</v>
      </c>
      <c r="B1698" s="1" t="s">
        <v>7508</v>
      </c>
      <c r="C1698" s="1" t="s">
        <v>7509</v>
      </c>
      <c r="D1698" s="1" t="s">
        <v>7510</v>
      </c>
      <c r="F1698" s="1" t="str">
        <f>"0771068719"</f>
        <v>0771068719</v>
      </c>
      <c r="G1698" s="1" t="str">
        <f>"9780771068713"</f>
        <v>9780771068713</v>
      </c>
      <c r="H1698" s="1">
        <v>0.0</v>
      </c>
      <c r="I1698" s="1">
        <v>3.87</v>
      </c>
      <c r="J1698" s="1" t="s">
        <v>7511</v>
      </c>
      <c r="K1698" s="1" t="s">
        <v>37</v>
      </c>
      <c r="L1698" s="1">
        <v>320.0</v>
      </c>
      <c r="M1698" s="1">
        <v>2006.0</v>
      </c>
      <c r="N1698" s="1">
        <v>1992.0</v>
      </c>
      <c r="P1698" s="2">
        <v>45111.0</v>
      </c>
      <c r="Q1698" s="1" t="s">
        <v>261</v>
      </c>
      <c r="R1698" s="1" t="s">
        <v>7512</v>
      </c>
      <c r="S1698" s="1" t="s">
        <v>32</v>
      </c>
      <c r="W1698" s="1">
        <v>0.0</v>
      </c>
      <c r="X1698" s="1">
        <v>0.0</v>
      </c>
    </row>
    <row r="1699" spans="1:24" ht="15.75" customHeight="1">
      <c r="A1699" s="1">
        <v>3.6710811E7</v>
      </c>
      <c r="B1699" s="1" t="s">
        <v>7513</v>
      </c>
      <c r="C1699" s="1" t="s">
        <v>7514</v>
      </c>
      <c r="D1699" s="1" t="s">
        <v>7515</v>
      </c>
      <c r="F1699" s="1" t="str">
        <f>"1594204225"</f>
        <v>1594204225</v>
      </c>
      <c r="G1699" s="1" t="str">
        <f>"9781594204227"</f>
        <v>9781594204227</v>
      </c>
      <c r="H1699" s="1">
        <v>0.0</v>
      </c>
      <c r="I1699" s="1">
        <v>4.27</v>
      </c>
      <c r="J1699" s="1" t="s">
        <v>54</v>
      </c>
      <c r="K1699" s="1" t="s">
        <v>37</v>
      </c>
      <c r="L1699" s="1">
        <v>465.0</v>
      </c>
      <c r="M1699" s="1">
        <v>2018.0</v>
      </c>
      <c r="N1699" s="1">
        <v>2018.0</v>
      </c>
      <c r="P1699" s="2">
        <v>45165.0</v>
      </c>
      <c r="Q1699" s="1" t="s">
        <v>32</v>
      </c>
      <c r="R1699" s="1" t="s">
        <v>7516</v>
      </c>
      <c r="S1699" s="1" t="s">
        <v>32</v>
      </c>
      <c r="W1699" s="1">
        <v>0.0</v>
      </c>
      <c r="X1699" s="1">
        <v>0.0</v>
      </c>
    </row>
    <row r="1700" spans="1:24" ht="15.75" customHeight="1">
      <c r="A1700" s="1">
        <v>128112.0</v>
      </c>
      <c r="B1700" s="1" t="s">
        <v>7517</v>
      </c>
      <c r="C1700" s="1" t="s">
        <v>7518</v>
      </c>
      <c r="D1700" s="1" t="s">
        <v>7519</v>
      </c>
      <c r="E1700" s="1" t="s">
        <v>7520</v>
      </c>
      <c r="F1700" s="1" t="str">
        <f>"0375422625"</f>
        <v>0375422625</v>
      </c>
      <c r="G1700" s="1" t="str">
        <f>"9780375422621"</f>
        <v>9780375422621</v>
      </c>
      <c r="H1700" s="1">
        <v>0.0</v>
      </c>
      <c r="I1700" s="1">
        <v>3.96</v>
      </c>
      <c r="J1700" s="1" t="s">
        <v>4417</v>
      </c>
      <c r="K1700" s="1" t="s">
        <v>37</v>
      </c>
      <c r="L1700" s="1">
        <v>640.0</v>
      </c>
      <c r="M1700" s="1">
        <v>2006.0</v>
      </c>
      <c r="N1700" s="1">
        <v>2006.0</v>
      </c>
      <c r="P1700" s="3">
        <v>45278.0</v>
      </c>
      <c r="Q1700" s="1" t="s">
        <v>479</v>
      </c>
      <c r="R1700" s="1" t="s">
        <v>7521</v>
      </c>
      <c r="S1700" s="1" t="s">
        <v>32</v>
      </c>
      <c r="W1700" s="1">
        <v>0.0</v>
      </c>
      <c r="X1700" s="1">
        <v>0.0</v>
      </c>
    </row>
    <row r="1701" spans="1:24" ht="15.75" customHeight="1">
      <c r="A1701" s="1">
        <v>6.1490425E7</v>
      </c>
      <c r="B1701" s="1" t="s">
        <v>7522</v>
      </c>
      <c r="C1701" s="1" t="s">
        <v>7523</v>
      </c>
      <c r="D1701" s="1" t="s">
        <v>7524</v>
      </c>
      <c r="E1701" s="1" t="s">
        <v>7525</v>
      </c>
      <c r="F1701" s="1" t="str">
        <f>"1628974443"</f>
        <v>1628974443</v>
      </c>
      <c r="G1701" s="1" t="str">
        <f>"9781628974447"</f>
        <v>9781628974447</v>
      </c>
      <c r="H1701" s="1">
        <v>0.0</v>
      </c>
      <c r="I1701" s="1">
        <v>4.06</v>
      </c>
      <c r="J1701" s="1" t="s">
        <v>2337</v>
      </c>
      <c r="K1701" s="1" t="s">
        <v>44</v>
      </c>
      <c r="L1701" s="1">
        <v>598.0</v>
      </c>
      <c r="M1701" s="1">
        <v>2023.0</v>
      </c>
      <c r="N1701" s="1">
        <v>2004.0</v>
      </c>
      <c r="P1701" s="2">
        <v>44961.0</v>
      </c>
      <c r="Q1701" s="1" t="s">
        <v>32</v>
      </c>
      <c r="R1701" s="1" t="s">
        <v>7526</v>
      </c>
      <c r="S1701" s="1" t="s">
        <v>32</v>
      </c>
      <c r="W1701" s="1">
        <v>0.0</v>
      </c>
      <c r="X1701" s="1">
        <v>0.0</v>
      </c>
    </row>
    <row r="1702" spans="1:24" ht="15.75" customHeight="1">
      <c r="A1702" s="1">
        <v>1.8456429E7</v>
      </c>
      <c r="B1702" s="1" t="s">
        <v>7527</v>
      </c>
      <c r="C1702" s="1" t="s">
        <v>7528</v>
      </c>
      <c r="D1702" s="1" t="s">
        <v>7529</v>
      </c>
      <c r="F1702" s="1" t="str">
        <f t="shared" si="128" ref="F1702:G1702">""</f>
        <v/>
      </c>
      <c r="G1702" s="1" t="str">
        <f t="shared" si="128"/>
        <v/>
      </c>
      <c r="H1702" s="1">
        <v>0.0</v>
      </c>
      <c r="I1702" s="1">
        <v>3.78</v>
      </c>
      <c r="L1702" s="1">
        <v>15.0</v>
      </c>
      <c r="N1702" s="1">
        <v>1969.0</v>
      </c>
      <c r="P1702" s="2">
        <v>45126.0</v>
      </c>
      <c r="Q1702" s="1" t="s">
        <v>2420</v>
      </c>
      <c r="R1702" s="1" t="s">
        <v>7530</v>
      </c>
      <c r="S1702" s="1" t="s">
        <v>32</v>
      </c>
      <c r="W1702" s="1">
        <v>0.0</v>
      </c>
      <c r="X1702" s="1">
        <v>0.0</v>
      </c>
    </row>
    <row r="1703" spans="1:24" ht="15.75" customHeight="1">
      <c r="A1703" s="1">
        <v>232743.0</v>
      </c>
      <c r="B1703" s="1" t="s">
        <v>7531</v>
      </c>
      <c r="C1703" s="1" t="s">
        <v>7528</v>
      </c>
      <c r="D1703" s="1" t="s">
        <v>7529</v>
      </c>
      <c r="E1703" s="1" t="s">
        <v>278</v>
      </c>
      <c r="F1703" s="1" t="str">
        <f>"0394711068"</f>
        <v>0394711068</v>
      </c>
      <c r="G1703" s="1" t="str">
        <f>"9780394711065"</f>
        <v>9780394711065</v>
      </c>
      <c r="H1703" s="1">
        <v>0.0</v>
      </c>
      <c r="I1703" s="1">
        <v>4.12</v>
      </c>
      <c r="J1703" s="1" t="s">
        <v>69</v>
      </c>
      <c r="K1703" s="1" t="s">
        <v>44</v>
      </c>
      <c r="L1703" s="1">
        <v>256.0</v>
      </c>
      <c r="M1703" s="1">
        <v>1972.0</v>
      </c>
      <c r="N1703" s="1">
        <v>1969.0</v>
      </c>
      <c r="P1703" s="2">
        <v>45150.0</v>
      </c>
      <c r="Q1703" s="1" t="s">
        <v>2420</v>
      </c>
      <c r="R1703" s="1" t="s">
        <v>7532</v>
      </c>
      <c r="S1703" s="1" t="s">
        <v>32</v>
      </c>
      <c r="W1703" s="1">
        <v>0.0</v>
      </c>
      <c r="X1703" s="1">
        <v>0.0</v>
      </c>
    </row>
    <row r="1704" spans="1:24" ht="15.75" customHeight="1">
      <c r="A1704" s="1">
        <v>304049.0</v>
      </c>
      <c r="B1704" s="1" t="s">
        <v>7533</v>
      </c>
      <c r="C1704" s="1" t="s">
        <v>7528</v>
      </c>
      <c r="D1704" s="1" t="s">
        <v>7529</v>
      </c>
      <c r="E1704" s="1" t="s">
        <v>7534</v>
      </c>
      <c r="F1704" s="1" t="str">
        <f>"0803268572"</f>
        <v>0803268572</v>
      </c>
      <c r="G1704" s="1" t="str">
        <f>"9780803268579"</f>
        <v>9780803268579</v>
      </c>
      <c r="H1704" s="1">
        <v>0.0</v>
      </c>
      <c r="I1704" s="1">
        <v>3.79</v>
      </c>
      <c r="J1704" s="1" t="s">
        <v>649</v>
      </c>
      <c r="K1704" s="1" t="s">
        <v>44</v>
      </c>
      <c r="L1704" s="1">
        <v>288.0</v>
      </c>
      <c r="M1704" s="1">
        <v>1982.0</v>
      </c>
      <c r="N1704" s="1">
        <v>1973.0</v>
      </c>
      <c r="P1704" s="2">
        <v>43922.0</v>
      </c>
      <c r="Q1704" s="1" t="s">
        <v>2420</v>
      </c>
      <c r="R1704" s="1" t="s">
        <v>7535</v>
      </c>
      <c r="S1704" s="1" t="s">
        <v>32</v>
      </c>
      <c r="W1704" s="1">
        <v>0.0</v>
      </c>
      <c r="X1704" s="1">
        <v>0.0</v>
      </c>
    </row>
    <row r="1705" spans="1:24" ht="15.75" customHeight="1">
      <c r="A1705" s="1">
        <v>376894.0</v>
      </c>
      <c r="B1705" s="1" t="s">
        <v>7536</v>
      </c>
      <c r="C1705" s="1" t="s">
        <v>7528</v>
      </c>
      <c r="D1705" s="1" t="s">
        <v>7529</v>
      </c>
      <c r="E1705" s="1" t="s">
        <v>7537</v>
      </c>
      <c r="F1705" s="1" t="str">
        <f>"8474430178"</f>
        <v>8474430178</v>
      </c>
      <c r="G1705" s="1" t="str">
        <f>"9788474430172"</f>
        <v>9788474430172</v>
      </c>
      <c r="H1705" s="1">
        <v>0.0</v>
      </c>
      <c r="I1705" s="1">
        <v>4.23</v>
      </c>
      <c r="J1705" s="1" t="s">
        <v>7538</v>
      </c>
      <c r="K1705" s="1" t="s">
        <v>44</v>
      </c>
      <c r="L1705" s="1">
        <v>192.0</v>
      </c>
      <c r="M1705" s="1">
        <v>1991.0</v>
      </c>
      <c r="N1705" s="1">
        <v>1977.0</v>
      </c>
      <c r="P1705" s="2">
        <v>44094.0</v>
      </c>
      <c r="Q1705" s="1" t="s">
        <v>281</v>
      </c>
      <c r="R1705" s="1" t="s">
        <v>7539</v>
      </c>
      <c r="S1705" s="1" t="s">
        <v>32</v>
      </c>
      <c r="W1705" s="1">
        <v>0.0</v>
      </c>
      <c r="X1705" s="1">
        <v>0.0</v>
      </c>
    </row>
    <row r="1706" spans="1:24" ht="15.75" customHeight="1">
      <c r="A1706" s="1">
        <v>51934.0</v>
      </c>
      <c r="B1706" s="1" t="s">
        <v>7540</v>
      </c>
      <c r="C1706" s="1" t="s">
        <v>7528</v>
      </c>
      <c r="D1706" s="1" t="s">
        <v>7529</v>
      </c>
      <c r="F1706" s="1" t="str">
        <f>"0415253853"</f>
        <v>0415253853</v>
      </c>
      <c r="G1706" s="1" t="str">
        <f>"9780415253857"</f>
        <v>9780415253857</v>
      </c>
      <c r="H1706" s="1">
        <v>0.0</v>
      </c>
      <c r="I1706" s="1">
        <v>4.09</v>
      </c>
      <c r="J1706" s="1" t="s">
        <v>280</v>
      </c>
      <c r="K1706" s="1" t="s">
        <v>44</v>
      </c>
      <c r="L1706" s="1">
        <v>304.0</v>
      </c>
      <c r="M1706" s="1">
        <v>2007.0</v>
      </c>
      <c r="N1706" s="1">
        <v>1961.0</v>
      </c>
      <c r="P1706" s="2">
        <v>45189.0</v>
      </c>
      <c r="Q1706" s="1" t="s">
        <v>7541</v>
      </c>
      <c r="R1706" s="1" t="s">
        <v>7542</v>
      </c>
      <c r="S1706" s="1" t="s">
        <v>32</v>
      </c>
      <c r="W1706" s="1">
        <v>0.0</v>
      </c>
      <c r="X1706" s="1">
        <v>0.0</v>
      </c>
    </row>
    <row r="1707" spans="1:24" ht="15.75" customHeight="1">
      <c r="A1707" s="1">
        <v>1875.0</v>
      </c>
      <c r="B1707" s="1" t="s">
        <v>7543</v>
      </c>
      <c r="C1707" s="1" t="s">
        <v>7528</v>
      </c>
      <c r="D1707" s="1" t="s">
        <v>7529</v>
      </c>
      <c r="F1707" s="1" t="str">
        <f>"0679724699"</f>
        <v>0679724699</v>
      </c>
      <c r="G1707" s="1" t="str">
        <f>"9780679724698"</f>
        <v>9780679724698</v>
      </c>
      <c r="H1707" s="1">
        <v>0.0</v>
      </c>
      <c r="I1707" s="1">
        <v>4.02</v>
      </c>
      <c r="J1707" s="1" t="s">
        <v>69</v>
      </c>
      <c r="K1707" s="1" t="s">
        <v>44</v>
      </c>
      <c r="L1707" s="1">
        <v>176.0</v>
      </c>
      <c r="M1707" s="1">
        <v>1990.0</v>
      </c>
      <c r="N1707" s="1">
        <v>1976.0</v>
      </c>
      <c r="P1707" s="2">
        <v>45169.0</v>
      </c>
      <c r="Q1707" s="1" t="s">
        <v>281</v>
      </c>
      <c r="R1707" s="1" t="s">
        <v>7544</v>
      </c>
      <c r="S1707" s="1" t="s">
        <v>32</v>
      </c>
      <c r="W1707" s="1">
        <v>0.0</v>
      </c>
      <c r="X1707" s="1">
        <v>0.0</v>
      </c>
    </row>
    <row r="1708" spans="1:24" ht="15.75" customHeight="1">
      <c r="A1708" s="1">
        <v>80369.0</v>
      </c>
      <c r="B1708" s="1" t="s">
        <v>7545</v>
      </c>
      <c r="C1708" s="1" t="s">
        <v>7528</v>
      </c>
      <c r="D1708" s="1" t="s">
        <v>7529</v>
      </c>
      <c r="E1708" s="1" t="s">
        <v>278</v>
      </c>
      <c r="F1708" s="1" t="str">
        <f>"0679752552"</f>
        <v>0679752552</v>
      </c>
      <c r="G1708" s="1" t="str">
        <f>"9780679752554"</f>
        <v>9780679752554</v>
      </c>
      <c r="H1708" s="1">
        <v>0.0</v>
      </c>
      <c r="I1708" s="1">
        <v>4.23</v>
      </c>
      <c r="J1708" s="1" t="s">
        <v>69</v>
      </c>
      <c r="K1708" s="1" t="s">
        <v>44</v>
      </c>
      <c r="L1708" s="1">
        <v>333.0</v>
      </c>
      <c r="M1708" s="1">
        <v>1995.0</v>
      </c>
      <c r="N1708" s="1">
        <v>1975.0</v>
      </c>
      <c r="P1708" s="2">
        <v>42856.0</v>
      </c>
      <c r="Q1708" s="1" t="s">
        <v>2497</v>
      </c>
      <c r="R1708" s="1" t="s">
        <v>7546</v>
      </c>
      <c r="S1708" s="1" t="s">
        <v>32</v>
      </c>
      <c r="W1708" s="1">
        <v>1.0</v>
      </c>
      <c r="X1708" s="1">
        <v>1.0</v>
      </c>
    </row>
    <row r="1709" spans="1:24" ht="15.75" customHeight="1">
      <c r="A1709" s="1">
        <v>119561.0</v>
      </c>
      <c r="B1709" s="1" t="s">
        <v>7547</v>
      </c>
      <c r="C1709" s="1" t="s">
        <v>7528</v>
      </c>
      <c r="D1709" s="1" t="s">
        <v>7529</v>
      </c>
      <c r="F1709" s="1" t="str">
        <f>"0679753354"</f>
        <v>0679753354</v>
      </c>
      <c r="G1709" s="1" t="str">
        <f>"9780679753353"</f>
        <v>9780679753353</v>
      </c>
      <c r="H1709" s="1">
        <v>0.0</v>
      </c>
      <c r="I1709" s="1">
        <v>4.12</v>
      </c>
      <c r="J1709" s="1" t="s">
        <v>69</v>
      </c>
      <c r="K1709" s="1" t="s">
        <v>44</v>
      </c>
      <c r="L1709" s="1">
        <v>416.0</v>
      </c>
      <c r="M1709" s="1">
        <v>1994.0</v>
      </c>
      <c r="N1709" s="1">
        <v>1966.0</v>
      </c>
      <c r="P1709" s="2">
        <v>45154.0</v>
      </c>
      <c r="Q1709" s="1" t="s">
        <v>281</v>
      </c>
      <c r="R1709" s="1" t="s">
        <v>7548</v>
      </c>
      <c r="S1709" s="1" t="s">
        <v>32</v>
      </c>
      <c r="W1709" s="1">
        <v>0.0</v>
      </c>
      <c r="X1709" s="1">
        <v>0.0</v>
      </c>
    </row>
    <row r="1710" spans="1:24" ht="15.75" customHeight="1">
      <c r="A1710" s="1">
        <v>58374.0</v>
      </c>
      <c r="B1710" s="1" t="s">
        <v>7549</v>
      </c>
      <c r="C1710" s="1" t="s">
        <v>7550</v>
      </c>
      <c r="D1710" s="1" t="s">
        <v>7551</v>
      </c>
      <c r="E1710" s="1" t="s">
        <v>7552</v>
      </c>
      <c r="F1710" s="1" t="str">
        <f>"1932416188"</f>
        <v>1932416188</v>
      </c>
      <c r="G1710" s="1" t="str">
        <f>"9781932416183"</f>
        <v>9781932416183</v>
      </c>
      <c r="H1710" s="1">
        <v>0.0</v>
      </c>
      <c r="I1710" s="1">
        <v>3.95</v>
      </c>
      <c r="J1710" s="1" t="s">
        <v>7553</v>
      </c>
      <c r="K1710" s="1" t="s">
        <v>44</v>
      </c>
      <c r="L1710" s="1">
        <v>247.0</v>
      </c>
      <c r="M1710" s="1">
        <v>2005.0</v>
      </c>
      <c r="N1710" s="1">
        <v>1991.0</v>
      </c>
      <c r="P1710" s="2">
        <v>45129.0</v>
      </c>
      <c r="Q1710" s="1" t="s">
        <v>32</v>
      </c>
      <c r="R1710" s="1" t="s">
        <v>7554</v>
      </c>
      <c r="S1710" s="1" t="s">
        <v>32</v>
      </c>
      <c r="W1710" s="1">
        <v>0.0</v>
      </c>
      <c r="X1710" s="1">
        <v>0.0</v>
      </c>
    </row>
    <row r="1711" spans="1:24" ht="15.75" customHeight="1">
      <c r="A1711" s="1">
        <v>58371.0</v>
      </c>
      <c r="B1711" s="1" t="s">
        <v>7555</v>
      </c>
      <c r="C1711" s="1" t="s">
        <v>7550</v>
      </c>
      <c r="D1711" s="1" t="s">
        <v>7551</v>
      </c>
      <c r="E1711" s="1" t="s">
        <v>7556</v>
      </c>
      <c r="F1711" s="1" t="str">
        <f t="shared" si="129" ref="F1711:G1711">""</f>
        <v/>
      </c>
      <c r="G1711" s="1" t="str">
        <f t="shared" si="129"/>
        <v/>
      </c>
      <c r="H1711" s="1">
        <v>0.0</v>
      </c>
      <c r="I1711" s="1">
        <v>3.8</v>
      </c>
      <c r="J1711" s="1" t="s">
        <v>69</v>
      </c>
      <c r="K1711" s="1" t="s">
        <v>44</v>
      </c>
      <c r="L1711" s="1">
        <v>379.0</v>
      </c>
      <c r="M1711" s="1">
        <v>2001.0</v>
      </c>
      <c r="N1711" s="1">
        <v>1998.0</v>
      </c>
      <c r="P1711" s="2">
        <v>42940.0</v>
      </c>
      <c r="Q1711" s="1" t="s">
        <v>32</v>
      </c>
      <c r="R1711" s="1" t="s">
        <v>7557</v>
      </c>
      <c r="S1711" s="1" t="s">
        <v>32</v>
      </c>
      <c r="W1711" s="1">
        <v>0.0</v>
      </c>
      <c r="X1711" s="1">
        <v>0.0</v>
      </c>
    </row>
    <row r="1712" spans="1:24" ht="15.75" customHeight="1">
      <c r="A1712" s="1">
        <v>1.1092237E7</v>
      </c>
      <c r="B1712" s="1" t="s">
        <v>7558</v>
      </c>
      <c r="C1712" s="1" t="s">
        <v>7559</v>
      </c>
      <c r="D1712" s="1" t="s">
        <v>7560</v>
      </c>
      <c r="F1712" s="1" t="str">
        <f>"1456548441"</f>
        <v>1456548441</v>
      </c>
      <c r="G1712" s="1" t="str">
        <f>"9781456548445"</f>
        <v>9781456548445</v>
      </c>
      <c r="H1712" s="1">
        <v>0.0</v>
      </c>
      <c r="I1712" s="1">
        <v>4.56</v>
      </c>
      <c r="J1712" s="1" t="s">
        <v>7561</v>
      </c>
      <c r="K1712" s="1" t="s">
        <v>44</v>
      </c>
      <c r="L1712" s="1">
        <v>138.0</v>
      </c>
      <c r="M1712" s="1">
        <v>2011.0</v>
      </c>
      <c r="N1712" s="1">
        <v>2011.0</v>
      </c>
      <c r="P1712" s="2">
        <v>44808.0</v>
      </c>
      <c r="Q1712" s="1" t="s">
        <v>935</v>
      </c>
      <c r="R1712" s="1" t="s">
        <v>7562</v>
      </c>
      <c r="S1712" s="1" t="s">
        <v>32</v>
      </c>
      <c r="W1712" s="1">
        <v>0.0</v>
      </c>
      <c r="X1712" s="1">
        <v>0.0</v>
      </c>
    </row>
    <row r="1713" spans="1:24" ht="15.75" customHeight="1">
      <c r="A1713" s="1">
        <v>2.4905392E7</v>
      </c>
      <c r="B1713" s="1" t="s">
        <v>7563</v>
      </c>
      <c r="C1713" s="1" t="s">
        <v>7564</v>
      </c>
      <c r="D1713" s="1" t="s">
        <v>7565</v>
      </c>
      <c r="E1713" s="1" t="s">
        <v>7566</v>
      </c>
      <c r="F1713" s="1" t="str">
        <f>"1452142327"</f>
        <v>1452142327</v>
      </c>
      <c r="G1713" s="1" t="str">
        <f>"9781452142326"</f>
        <v>9781452142326</v>
      </c>
      <c r="H1713" s="1">
        <v>0.0</v>
      </c>
      <c r="I1713" s="1">
        <v>4.07</v>
      </c>
      <c r="J1713" s="1" t="s">
        <v>2877</v>
      </c>
      <c r="K1713" s="1" t="s">
        <v>37</v>
      </c>
      <c r="L1713" s="1">
        <v>216.0</v>
      </c>
      <c r="M1713" s="1">
        <v>2015.0</v>
      </c>
      <c r="N1713" s="1">
        <v>2015.0</v>
      </c>
      <c r="P1713" s="2">
        <v>45113.0</v>
      </c>
      <c r="Q1713" s="1" t="s">
        <v>115</v>
      </c>
      <c r="R1713" s="1" t="s">
        <v>7567</v>
      </c>
      <c r="S1713" s="1" t="s">
        <v>32</v>
      </c>
      <c r="W1713" s="1">
        <v>0.0</v>
      </c>
      <c r="X1713" s="1">
        <v>1.0</v>
      </c>
    </row>
    <row r="1714" spans="1:24" ht="15.75" customHeight="1">
      <c r="A1714" s="1">
        <v>33418.0</v>
      </c>
      <c r="B1714" s="1" t="s">
        <v>7568</v>
      </c>
      <c r="C1714" s="1" t="s">
        <v>7569</v>
      </c>
      <c r="D1714" s="1" t="s">
        <v>7570</v>
      </c>
      <c r="F1714" s="1" t="str">
        <f>"1400033721"</f>
        <v>1400033721</v>
      </c>
      <c r="G1714" s="1" t="str">
        <f>"9781400033720"</f>
        <v>9781400033720</v>
      </c>
      <c r="H1714" s="1">
        <v>0.0</v>
      </c>
      <c r="I1714" s="1">
        <v>4.21</v>
      </c>
      <c r="J1714" s="1" t="s">
        <v>287</v>
      </c>
      <c r="K1714" s="1" t="s">
        <v>44</v>
      </c>
      <c r="L1714" s="1">
        <v>361.0</v>
      </c>
      <c r="M1714" s="1">
        <v>2006.0</v>
      </c>
      <c r="N1714" s="1">
        <v>2004.0</v>
      </c>
      <c r="P1714" s="2">
        <v>44814.0</v>
      </c>
      <c r="Q1714" s="1" t="s">
        <v>115</v>
      </c>
      <c r="R1714" s="1" t="s">
        <v>7571</v>
      </c>
      <c r="S1714" s="1" t="s">
        <v>32</v>
      </c>
      <c r="W1714" s="1">
        <v>0.0</v>
      </c>
      <c r="X1714" s="1">
        <v>1.0</v>
      </c>
    </row>
    <row r="1715" spans="1:24" ht="15.75" customHeight="1">
      <c r="A1715" s="1">
        <v>6568056.0</v>
      </c>
      <c r="B1715" s="1" t="s">
        <v>7572</v>
      </c>
      <c r="C1715" s="1" t="s">
        <v>7569</v>
      </c>
      <c r="D1715" s="1" t="s">
        <v>7570</v>
      </c>
      <c r="F1715" s="1" t="str">
        <f t="shared" si="130" ref="F1715:G1715">""</f>
        <v/>
      </c>
      <c r="G1715" s="1" t="str">
        <f t="shared" si="130"/>
        <v/>
      </c>
      <c r="H1715" s="1">
        <v>0.0</v>
      </c>
      <c r="I1715" s="1">
        <v>4.21</v>
      </c>
      <c r="J1715" s="1" t="s">
        <v>287</v>
      </c>
      <c r="K1715" s="1" t="s">
        <v>29</v>
      </c>
      <c r="L1715" s="1">
        <v>448.0</v>
      </c>
      <c r="M1715" s="1">
        <v>2006.0</v>
      </c>
      <c r="N1715" s="1">
        <v>2004.0</v>
      </c>
      <c r="P1715" s="2">
        <v>45113.0</v>
      </c>
      <c r="Q1715" s="1" t="s">
        <v>32</v>
      </c>
      <c r="R1715" s="1" t="s">
        <v>7573</v>
      </c>
      <c r="S1715" s="1" t="s">
        <v>32</v>
      </c>
      <c r="W1715" s="1">
        <v>0.0</v>
      </c>
      <c r="X1715" s="1">
        <v>0.0</v>
      </c>
    </row>
    <row r="1716" spans="1:24" ht="15.75" customHeight="1">
      <c r="A1716" s="1">
        <v>5.7002466E7</v>
      </c>
      <c r="B1716" s="1" t="s">
        <v>7574</v>
      </c>
      <c r="C1716" s="1" t="s">
        <v>7575</v>
      </c>
      <c r="D1716" s="1" t="s">
        <v>7576</v>
      </c>
      <c r="F1716" s="1" t="str">
        <f t="shared" si="131" ref="F1716:G1716">""</f>
        <v/>
      </c>
      <c r="G1716" s="1" t="str">
        <f t="shared" si="131"/>
        <v/>
      </c>
      <c r="H1716" s="1">
        <v>0.0</v>
      </c>
      <c r="I1716" s="1">
        <v>3.87</v>
      </c>
      <c r="J1716" s="1" t="s">
        <v>5356</v>
      </c>
      <c r="K1716" s="1" t="s">
        <v>37</v>
      </c>
      <c r="L1716" s="1">
        <v>376.0</v>
      </c>
      <c r="M1716" s="1">
        <v>1981.0</v>
      </c>
      <c r="N1716" s="1">
        <v>1977.0</v>
      </c>
      <c r="P1716" s="2">
        <v>44814.0</v>
      </c>
      <c r="Q1716" s="1" t="s">
        <v>115</v>
      </c>
      <c r="R1716" s="1" t="s">
        <v>7577</v>
      </c>
      <c r="S1716" s="1" t="s">
        <v>32</v>
      </c>
      <c r="W1716" s="1">
        <v>0.0</v>
      </c>
      <c r="X1716" s="1">
        <v>1.0</v>
      </c>
    </row>
    <row r="1717" spans="1:24" ht="15.75" customHeight="1">
      <c r="A1717" s="1">
        <v>327281.0</v>
      </c>
      <c r="B1717" s="1" t="s">
        <v>7578</v>
      </c>
      <c r="C1717" s="1" t="s">
        <v>7579</v>
      </c>
      <c r="D1717" s="1" t="s">
        <v>7580</v>
      </c>
      <c r="E1717" s="1" t="s">
        <v>7581</v>
      </c>
      <c r="F1717" s="1" t="str">
        <f>"8437615178"</f>
        <v>8437615178</v>
      </c>
      <c r="G1717" s="1" t="str">
        <f>"9788437615172"</f>
        <v>9788437615172</v>
      </c>
      <c r="H1717" s="1">
        <v>0.0</v>
      </c>
      <c r="I1717" s="1">
        <v>3.98</v>
      </c>
      <c r="J1717" s="1" t="s">
        <v>753</v>
      </c>
      <c r="K1717" s="1" t="s">
        <v>44</v>
      </c>
      <c r="L1717" s="1">
        <v>432.0</v>
      </c>
      <c r="M1717" s="1">
        <v>2005.0</v>
      </c>
      <c r="N1717" s="1">
        <v>1946.0</v>
      </c>
      <c r="P1717" s="2">
        <v>44094.0</v>
      </c>
      <c r="Q1717" s="1" t="s">
        <v>32</v>
      </c>
      <c r="R1717" s="1" t="s">
        <v>7582</v>
      </c>
      <c r="S1717" s="1" t="s">
        <v>32</v>
      </c>
      <c r="W1717" s="1">
        <v>0.0</v>
      </c>
      <c r="X1717" s="1">
        <v>0.0</v>
      </c>
    </row>
    <row r="1718" spans="1:24" ht="15.75" customHeight="1">
      <c r="A1718" s="1">
        <v>2.0552271E7</v>
      </c>
      <c r="B1718" s="1" t="s">
        <v>7583</v>
      </c>
      <c r="C1718" s="1" t="s">
        <v>7584</v>
      </c>
      <c r="D1718" s="1" t="s">
        <v>7585</v>
      </c>
      <c r="E1718" s="1" t="s">
        <v>7586</v>
      </c>
      <c r="F1718" s="1" t="str">
        <f t="shared" si="132" ref="F1718:G1718">""</f>
        <v/>
      </c>
      <c r="G1718" s="1" t="str">
        <f t="shared" si="132"/>
        <v/>
      </c>
      <c r="H1718" s="1">
        <v>0.0</v>
      </c>
      <c r="I1718" s="1">
        <v>4.02</v>
      </c>
      <c r="J1718" s="1" t="s">
        <v>942</v>
      </c>
      <c r="K1718" s="1" t="s">
        <v>44</v>
      </c>
      <c r="L1718" s="1">
        <v>332.0</v>
      </c>
      <c r="M1718" s="1">
        <v>1954.0</v>
      </c>
      <c r="N1718" s="1">
        <v>1912.0</v>
      </c>
      <c r="P1718" s="2">
        <v>45161.0</v>
      </c>
      <c r="Q1718" s="1" t="s">
        <v>1207</v>
      </c>
      <c r="R1718" s="1" t="s">
        <v>7587</v>
      </c>
      <c r="S1718" s="1" t="s">
        <v>32</v>
      </c>
      <c r="W1718" s="1">
        <v>0.0</v>
      </c>
      <c r="X1718" s="1">
        <v>1.0</v>
      </c>
    </row>
    <row r="1719" spans="1:24" ht="15.75" customHeight="1">
      <c r="A1719" s="109">
        <v>770305.0</v>
      </c>
      <c r="B1719" s="109" t="s">
        <v>7588</v>
      </c>
      <c r="C1719" s="109" t="s">
        <v>7584</v>
      </c>
      <c r="D1719" s="109" t="s">
        <v>7585</v>
      </c>
      <c r="E1719" s="110"/>
      <c r="F1719" s="109" t="str">
        <f>"0895267071"</f>
        <v>0895267071</v>
      </c>
      <c r="G1719" s="109" t="str">
        <f>"9780895267078"</f>
        <v>9780895267078</v>
      </c>
      <c r="H1719" s="109">
        <v>0.0</v>
      </c>
      <c r="I1719" s="109">
        <v>3.93</v>
      </c>
      <c r="J1719" s="109" t="s">
        <v>3918</v>
      </c>
      <c r="K1719" s="109" t="s">
        <v>44</v>
      </c>
      <c r="L1719" s="109">
        <v>267.0</v>
      </c>
      <c r="M1719" s="109">
        <v>1996.0</v>
      </c>
      <c r="N1719" s="109">
        <v>1917.0</v>
      </c>
      <c r="O1719" s="110"/>
      <c r="P1719" s="111">
        <v>45147.0</v>
      </c>
      <c r="Q1719" s="112" t="s">
        <v>6558</v>
      </c>
      <c r="R1719" s="109" t="s">
        <v>7590</v>
      </c>
      <c r="S1719" s="109" t="s">
        <v>32</v>
      </c>
      <c r="T1719" s="110"/>
      <c r="U1719" s="110"/>
      <c r="V1719" s="110"/>
      <c r="W1719" s="109">
        <v>0.0</v>
      </c>
      <c r="X1719" s="109">
        <v>0.0</v>
      </c>
    </row>
    <row r="1720" spans="1:24" ht="15.75" customHeight="1">
      <c r="A1720" s="109">
        <v>63137.0</v>
      </c>
      <c r="B1720" s="109" t="s">
        <v>7591</v>
      </c>
      <c r="C1720" s="109" t="s">
        <v>7584</v>
      </c>
      <c r="D1720" s="109" t="s">
        <v>7585</v>
      </c>
      <c r="E1720" s="110"/>
      <c r="F1720" s="109" t="str">
        <f>"8423919153"</f>
        <v>8423919153</v>
      </c>
      <c r="G1720" s="109" t="str">
        <f>"9788423919154"</f>
        <v>9788423919154</v>
      </c>
      <c r="H1720" s="109">
        <v>0.0</v>
      </c>
      <c r="I1720" s="109">
        <v>4.05</v>
      </c>
      <c r="J1720" s="109" t="s">
        <v>7592</v>
      </c>
      <c r="K1720" s="109" t="s">
        <v>44</v>
      </c>
      <c r="L1720" s="109">
        <v>259.0</v>
      </c>
      <c r="M1720" s="109">
        <v>1707.0</v>
      </c>
      <c r="N1720" s="109">
        <v>1914.0</v>
      </c>
      <c r="O1720" s="110"/>
      <c r="P1720" s="111">
        <v>43970.0</v>
      </c>
      <c r="Q1720" s="112" t="s">
        <v>6558</v>
      </c>
      <c r="R1720" s="109" t="s">
        <v>7593</v>
      </c>
      <c r="S1720" s="109" t="s">
        <v>32</v>
      </c>
      <c r="T1720" s="110"/>
      <c r="U1720" s="110"/>
      <c r="V1720" s="110"/>
      <c r="W1720" s="109">
        <v>0.0</v>
      </c>
      <c r="X1720" s="109">
        <v>0.0</v>
      </c>
    </row>
    <row r="1721" spans="1:24" ht="15.75" customHeight="1">
      <c r="A1721" s="1">
        <v>7860.0</v>
      </c>
      <c r="B1721" s="1" t="s">
        <v>7594</v>
      </c>
      <c r="C1721" s="1" t="s">
        <v>7595</v>
      </c>
      <c r="D1721" s="1" t="s">
        <v>7596</v>
      </c>
      <c r="E1721" s="1" t="s">
        <v>7597</v>
      </c>
      <c r="F1721" s="1" t="str">
        <f>"185984328X"</f>
        <v>185984328X</v>
      </c>
      <c r="G1721" s="1" t="str">
        <f>"9781859843284"</f>
        <v>9781859843284</v>
      </c>
      <c r="H1721" s="1">
        <v>0.0</v>
      </c>
      <c r="I1721" s="1">
        <v>3.71</v>
      </c>
      <c r="J1721" s="1" t="s">
        <v>367</v>
      </c>
      <c r="K1721" s="1" t="s">
        <v>44</v>
      </c>
      <c r="L1721" s="1">
        <v>192.0</v>
      </c>
      <c r="M1721" s="1">
        <v>2001.0</v>
      </c>
      <c r="N1721" s="1">
        <v>2000.0</v>
      </c>
      <c r="P1721" s="2">
        <v>43938.0</v>
      </c>
      <c r="Q1721" s="1" t="s">
        <v>32</v>
      </c>
      <c r="R1721" s="1" t="s">
        <v>7598</v>
      </c>
      <c r="S1721" s="1" t="s">
        <v>32</v>
      </c>
      <c r="W1721" s="1">
        <v>0.0</v>
      </c>
      <c r="X1721" s="1">
        <v>0.0</v>
      </c>
    </row>
    <row r="1722" spans="1:24" ht="15.75" customHeight="1">
      <c r="A1722" s="1">
        <v>642914.0</v>
      </c>
      <c r="B1722" s="1" t="s">
        <v>7599</v>
      </c>
      <c r="C1722" s="1" t="s">
        <v>7600</v>
      </c>
      <c r="D1722" s="1" t="s">
        <v>7601</v>
      </c>
      <c r="E1722" s="1" t="s">
        <v>7602</v>
      </c>
      <c r="F1722" s="1" t="str">
        <f>"0253203414"</f>
        <v>0253203414</v>
      </c>
      <c r="G1722" s="1" t="str">
        <f>"9780253203410"</f>
        <v>9780253203410</v>
      </c>
      <c r="H1722" s="1">
        <v>0.0</v>
      </c>
      <c r="I1722" s="1">
        <v>4.26</v>
      </c>
      <c r="J1722" s="1" t="s">
        <v>176</v>
      </c>
      <c r="K1722" s="1" t="s">
        <v>44</v>
      </c>
      <c r="L1722" s="1">
        <v>474.0</v>
      </c>
      <c r="M1722" s="1">
        <v>2009.0</v>
      </c>
      <c r="N1722" s="1">
        <v>1965.0</v>
      </c>
      <c r="P1722" s="3">
        <v>45253.0</v>
      </c>
      <c r="Q1722" s="1" t="s">
        <v>32</v>
      </c>
      <c r="R1722" s="1" t="s">
        <v>7603</v>
      </c>
      <c r="S1722" s="1" t="s">
        <v>32</v>
      </c>
      <c r="W1722" s="1">
        <v>0.0</v>
      </c>
      <c r="X1722" s="1">
        <v>0.0</v>
      </c>
    </row>
    <row r="1723" spans="1:24" ht="15.75" customHeight="1">
      <c r="A1723" s="1">
        <v>229733.0</v>
      </c>
      <c r="B1723" s="1" t="s">
        <v>7604</v>
      </c>
      <c r="C1723" s="1" t="s">
        <v>7605</v>
      </c>
      <c r="D1723" s="1" t="s">
        <v>7606</v>
      </c>
      <c r="F1723" s="1" t="str">
        <f>"0099490668"</f>
        <v>0099490668</v>
      </c>
      <c r="G1723" s="1" t="str">
        <f>"9780099490661"</f>
        <v>9780099490661</v>
      </c>
      <c r="H1723" s="1">
        <v>0.0</v>
      </c>
      <c r="I1723" s="1">
        <v>4.01</v>
      </c>
      <c r="J1723" s="1" t="s">
        <v>813</v>
      </c>
      <c r="K1723" s="1" t="s">
        <v>44</v>
      </c>
      <c r="L1723" s="1">
        <v>304.0</v>
      </c>
      <c r="M1723" s="1">
        <v>2006.0</v>
      </c>
      <c r="N1723" s="1">
        <v>1924.0</v>
      </c>
      <c r="P1723" s="2">
        <v>45182.0</v>
      </c>
      <c r="Q1723" s="1" t="s">
        <v>249</v>
      </c>
      <c r="R1723" s="1" t="s">
        <v>7607</v>
      </c>
      <c r="S1723" s="1" t="s">
        <v>32</v>
      </c>
      <c r="W1723" s="1">
        <v>0.0</v>
      </c>
      <c r="X1723" s="1">
        <v>0.0</v>
      </c>
    </row>
    <row r="1724" spans="1:24" ht="15.75" customHeight="1">
      <c r="A1724" s="1">
        <v>9717.0</v>
      </c>
      <c r="B1724" s="1" t="s">
        <v>7608</v>
      </c>
      <c r="C1724" s="1" t="s">
        <v>7609</v>
      </c>
      <c r="D1724" s="1" t="s">
        <v>7610</v>
      </c>
      <c r="E1724" s="1" t="s">
        <v>7611</v>
      </c>
      <c r="F1724" s="1" t="str">
        <f>"0571224385"</f>
        <v>0571224385</v>
      </c>
      <c r="G1724" s="1" t="str">
        <f>"9780571224388"</f>
        <v>9780571224388</v>
      </c>
      <c r="H1724" s="1">
        <v>0.0</v>
      </c>
      <c r="I1724" s="1">
        <v>4.11</v>
      </c>
      <c r="J1724" s="1" t="s">
        <v>917</v>
      </c>
      <c r="K1724" s="1" t="s">
        <v>44</v>
      </c>
      <c r="L1724" s="1">
        <v>314.0</v>
      </c>
      <c r="M1724" s="1">
        <v>2009.0</v>
      </c>
      <c r="N1724" s="1">
        <v>1984.0</v>
      </c>
      <c r="P1724" s="2">
        <v>41494.0</v>
      </c>
      <c r="Q1724" s="1" t="s">
        <v>502</v>
      </c>
      <c r="R1724" s="1" t="s">
        <v>7612</v>
      </c>
      <c r="S1724" s="1" t="s">
        <v>32</v>
      </c>
      <c r="W1724" s="1">
        <v>0.0</v>
      </c>
      <c r="X1724" s="1">
        <v>0.0</v>
      </c>
    </row>
    <row r="1725" spans="1:24" ht="15.75" customHeight="1">
      <c r="A1725" s="1">
        <v>5.5419898E7</v>
      </c>
      <c r="B1725" s="1" t="s">
        <v>7613</v>
      </c>
      <c r="C1725" s="1" t="s">
        <v>7614</v>
      </c>
      <c r="D1725" s="1" t="s">
        <v>7615</v>
      </c>
      <c r="E1725" s="1" t="s">
        <v>7616</v>
      </c>
      <c r="F1725" s="1" t="str">
        <f>"1939810523"</f>
        <v>1939810523</v>
      </c>
      <c r="G1725" s="1" t="str">
        <f>"9781939810526"</f>
        <v>9781939810526</v>
      </c>
      <c r="H1725" s="1">
        <v>0.0</v>
      </c>
      <c r="I1725" s="1">
        <v>4.22</v>
      </c>
      <c r="J1725" s="1" t="s">
        <v>7617</v>
      </c>
      <c r="K1725" s="1" t="s">
        <v>44</v>
      </c>
      <c r="L1725" s="1">
        <v>920.0</v>
      </c>
      <c r="M1725" s="1">
        <v>2021.0</v>
      </c>
      <c r="N1725" s="1">
        <v>2013.0</v>
      </c>
      <c r="P1725" s="2">
        <v>45129.0</v>
      </c>
      <c r="Q1725" s="1" t="s">
        <v>145</v>
      </c>
      <c r="R1725" s="1" t="s">
        <v>7618</v>
      </c>
      <c r="S1725" s="1" t="s">
        <v>32</v>
      </c>
      <c r="W1725" s="1">
        <v>0.0</v>
      </c>
      <c r="X1725" s="1">
        <v>0.0</v>
      </c>
    </row>
    <row r="1726" spans="1:24" ht="15.75" customHeight="1">
      <c r="A1726" s="1">
        <v>223314.0</v>
      </c>
      <c r="B1726" s="1" t="s">
        <v>7619</v>
      </c>
      <c r="C1726" s="1" t="s">
        <v>7620</v>
      </c>
      <c r="D1726" s="1" t="s">
        <v>7621</v>
      </c>
      <c r="E1726" s="1" t="s">
        <v>7622</v>
      </c>
      <c r="F1726" s="1" t="str">
        <f>"0802313302"</f>
        <v>0802313302</v>
      </c>
      <c r="G1726" s="1" t="str">
        <f>"9780802313300"</f>
        <v>9780802313300</v>
      </c>
      <c r="H1726" s="1">
        <v>0.0</v>
      </c>
      <c r="I1726" s="1">
        <v>3.95</v>
      </c>
      <c r="J1726" s="1" t="s">
        <v>7623</v>
      </c>
      <c r="K1726" s="1" t="s">
        <v>44</v>
      </c>
      <c r="L1726" s="1">
        <v>184.0</v>
      </c>
      <c r="M1726" s="1">
        <v>1999.0</v>
      </c>
      <c r="N1726" s="1">
        <v>1994.0</v>
      </c>
      <c r="P1726" s="2">
        <v>45122.0</v>
      </c>
      <c r="Q1726" s="1" t="s">
        <v>502</v>
      </c>
      <c r="R1726" s="1" t="s">
        <v>7624</v>
      </c>
      <c r="S1726" s="1" t="s">
        <v>32</v>
      </c>
      <c r="W1726" s="1">
        <v>0.0</v>
      </c>
      <c r="X1726" s="1">
        <v>0.0</v>
      </c>
    </row>
    <row r="1727" spans="1:24" ht="15.75" customHeight="1">
      <c r="A1727" s="1">
        <v>321566.0</v>
      </c>
      <c r="B1727" s="1" t="s">
        <v>7625</v>
      </c>
      <c r="C1727" s="1" t="s">
        <v>7620</v>
      </c>
      <c r="D1727" s="1" t="s">
        <v>7621</v>
      </c>
      <c r="E1727" s="1" t="s">
        <v>7622</v>
      </c>
      <c r="F1727" s="1" t="str">
        <f>"0679724613"</f>
        <v>0679724613</v>
      </c>
      <c r="G1727" s="1" t="str">
        <f>"9780679724612"</f>
        <v>9780679724612</v>
      </c>
      <c r="H1727" s="1">
        <v>0.0</v>
      </c>
      <c r="I1727" s="1">
        <v>4.17</v>
      </c>
      <c r="J1727" s="1" t="s">
        <v>69</v>
      </c>
      <c r="K1727" s="1" t="s">
        <v>44</v>
      </c>
      <c r="L1727" s="1">
        <v>338.0</v>
      </c>
      <c r="M1727" s="1">
        <v>1989.0</v>
      </c>
      <c r="N1727" s="1">
        <v>1983.0</v>
      </c>
      <c r="P1727" s="2">
        <v>45123.0</v>
      </c>
      <c r="Q1727" s="1" t="s">
        <v>32</v>
      </c>
      <c r="R1727" s="1" t="s">
        <v>7626</v>
      </c>
      <c r="S1727" s="1" t="s">
        <v>32</v>
      </c>
      <c r="W1727" s="1">
        <v>0.0</v>
      </c>
      <c r="X1727" s="1">
        <v>0.0</v>
      </c>
    </row>
    <row r="1728" spans="1:24" ht="15.75" customHeight="1">
      <c r="A1728" s="1">
        <v>5.6213211E7</v>
      </c>
      <c r="B1728" s="1" t="s">
        <v>7627</v>
      </c>
      <c r="C1728" s="1" t="s">
        <v>7628</v>
      </c>
      <c r="D1728" s="1" t="s">
        <v>7629</v>
      </c>
      <c r="F1728" s="1" t="str">
        <f>"0691204454"</f>
        <v>0691204454</v>
      </c>
      <c r="G1728" s="1" t="str">
        <f>"9780691204451"</f>
        <v>9780691204451</v>
      </c>
      <c r="H1728" s="1">
        <v>0.0</v>
      </c>
      <c r="I1728" s="1">
        <v>3.91</v>
      </c>
      <c r="J1728" s="1" t="s">
        <v>1011</v>
      </c>
      <c r="K1728" s="1" t="s">
        <v>37</v>
      </c>
      <c r="L1728" s="1">
        <v>256.0</v>
      </c>
      <c r="M1728" s="1">
        <v>2021.0</v>
      </c>
      <c r="N1728" s="1">
        <v>2021.0</v>
      </c>
      <c r="P1728" s="2">
        <v>44631.0</v>
      </c>
      <c r="Q1728" s="1" t="s">
        <v>32</v>
      </c>
      <c r="R1728" s="1" t="s">
        <v>7630</v>
      </c>
      <c r="S1728" s="1" t="s">
        <v>32</v>
      </c>
      <c r="W1728" s="1">
        <v>0.0</v>
      </c>
      <c r="X1728" s="1">
        <v>0.0</v>
      </c>
    </row>
    <row r="1729" spans="1:24" ht="15.75" customHeight="1">
      <c r="A1729" s="1">
        <v>6.1629865E7</v>
      </c>
      <c r="B1729" s="1" t="s">
        <v>7631</v>
      </c>
      <c r="C1729" s="1" t="s">
        <v>7632</v>
      </c>
      <c r="D1729" s="1" t="s">
        <v>7633</v>
      </c>
      <c r="E1729" s="1" t="s">
        <v>4377</v>
      </c>
      <c r="F1729" s="1" t="str">
        <f>"1628974516"</f>
        <v>1628974516</v>
      </c>
      <c r="G1729" s="1" t="str">
        <f>"9781628974515"</f>
        <v>9781628974515</v>
      </c>
      <c r="H1729" s="1">
        <v>0.0</v>
      </c>
      <c r="I1729" s="1">
        <v>3.92</v>
      </c>
      <c r="J1729" s="1" t="s">
        <v>2337</v>
      </c>
      <c r="K1729" s="1" t="s">
        <v>44</v>
      </c>
      <c r="L1729" s="1">
        <v>885.0</v>
      </c>
      <c r="M1729" s="1">
        <v>2023.0</v>
      </c>
      <c r="N1729" s="1">
        <v>1989.0</v>
      </c>
      <c r="P1729" s="2">
        <v>45003.0</v>
      </c>
      <c r="Q1729" s="1" t="s">
        <v>145</v>
      </c>
      <c r="R1729" s="1" t="s">
        <v>7634</v>
      </c>
      <c r="S1729" s="1" t="s">
        <v>32</v>
      </c>
      <c r="W1729" s="1">
        <v>0.0</v>
      </c>
      <c r="X1729" s="1">
        <v>0.0</v>
      </c>
    </row>
    <row r="1730" spans="1:24" ht="15.75" customHeight="1">
      <c r="A1730" s="1">
        <v>2.2945648E7</v>
      </c>
      <c r="B1730" s="1" t="s">
        <v>7635</v>
      </c>
      <c r="C1730" s="1" t="s">
        <v>7636</v>
      </c>
      <c r="D1730" s="1" t="s">
        <v>7637</v>
      </c>
      <c r="F1730" s="1" t="str">
        <f>"1439172579"</f>
        <v>1439172579</v>
      </c>
      <c r="G1730" s="1" t="str">
        <f>"9781439172575"</f>
        <v>9781439172575</v>
      </c>
      <c r="H1730" s="1">
        <v>0.0</v>
      </c>
      <c r="I1730" s="1">
        <v>3.64</v>
      </c>
      <c r="J1730" s="1" t="s">
        <v>88</v>
      </c>
      <c r="K1730" s="1" t="s">
        <v>44</v>
      </c>
      <c r="L1730" s="1">
        <v>276.0</v>
      </c>
      <c r="M1730" s="1">
        <v>2015.0</v>
      </c>
      <c r="N1730" s="1">
        <v>2015.0</v>
      </c>
      <c r="P1730" s="2">
        <v>44814.0</v>
      </c>
      <c r="Q1730" s="1" t="s">
        <v>818</v>
      </c>
      <c r="R1730" s="1" t="s">
        <v>7638</v>
      </c>
      <c r="S1730" s="1" t="s">
        <v>32</v>
      </c>
      <c r="W1730" s="1">
        <v>0.0</v>
      </c>
      <c r="X1730" s="1">
        <v>1.0</v>
      </c>
    </row>
    <row r="1731" spans="1:24" ht="15.75" customHeight="1">
      <c r="A1731" s="1">
        <v>1561322.0</v>
      </c>
      <c r="B1731" s="1" t="s">
        <v>7639</v>
      </c>
      <c r="C1731" s="1" t="s">
        <v>7636</v>
      </c>
      <c r="D1731" s="1" t="s">
        <v>7637</v>
      </c>
      <c r="F1731" s="1" t="str">
        <f>"0743299418"</f>
        <v>0743299418</v>
      </c>
      <c r="G1731" s="1" t="str">
        <f>"9780743299411"</f>
        <v>9780743299411</v>
      </c>
      <c r="H1731" s="1">
        <v>3.0</v>
      </c>
      <c r="I1731" s="1">
        <v>3.8</v>
      </c>
      <c r="J1731" s="1" t="s">
        <v>88</v>
      </c>
      <c r="K1731" s="1" t="s">
        <v>44</v>
      </c>
      <c r="L1731" s="1">
        <v>205.0</v>
      </c>
      <c r="M1731" s="1">
        <v>2007.0</v>
      </c>
      <c r="N1731" s="1">
        <v>2007.0</v>
      </c>
      <c r="O1731" s="2">
        <v>42947.0</v>
      </c>
      <c r="P1731" s="2">
        <v>42941.0</v>
      </c>
      <c r="Q1731" s="1" t="s">
        <v>2609</v>
      </c>
      <c r="R1731" s="1" t="s">
        <v>7640</v>
      </c>
      <c r="S1731" s="1" t="s">
        <v>271</v>
      </c>
      <c r="W1731" s="1">
        <v>1.0</v>
      </c>
      <c r="X1731" s="1">
        <v>1.0</v>
      </c>
    </row>
    <row r="1732" spans="1:24" ht="15.75" customHeight="1">
      <c r="A1732" s="1">
        <v>2.7826456E7</v>
      </c>
      <c r="B1732" s="1" t="s">
        <v>7641</v>
      </c>
      <c r="C1732" s="1" t="s">
        <v>7642</v>
      </c>
      <c r="D1732" s="1" t="s">
        <v>7643</v>
      </c>
      <c r="F1732" s="1" t="str">
        <f>"9735050595"</f>
        <v>9735050595</v>
      </c>
      <c r="G1732" s="1" t="str">
        <f>"9789735050597"</f>
        <v>9789735050597</v>
      </c>
      <c r="H1732" s="1">
        <v>0.0</v>
      </c>
      <c r="I1732" s="1">
        <v>4.29</v>
      </c>
      <c r="J1732" s="1" t="s">
        <v>7644</v>
      </c>
      <c r="K1732" s="1" t="s">
        <v>44</v>
      </c>
      <c r="L1732" s="1">
        <v>840.0</v>
      </c>
      <c r="M1732" s="1">
        <v>2015.0</v>
      </c>
      <c r="N1732" s="1">
        <v>2015.0</v>
      </c>
      <c r="P1732" s="2">
        <v>44869.0</v>
      </c>
      <c r="Q1732" s="1" t="s">
        <v>32</v>
      </c>
      <c r="R1732" s="1" t="s">
        <v>7645</v>
      </c>
      <c r="S1732" s="1" t="s">
        <v>32</v>
      </c>
      <c r="W1732" s="1">
        <v>0.0</v>
      </c>
      <c r="X1732" s="1">
        <v>0.0</v>
      </c>
    </row>
    <row r="1733" spans="1:24" ht="15.75" customHeight="1">
      <c r="A1733" s="1">
        <v>28025.0</v>
      </c>
      <c r="B1733" s="1" t="s">
        <v>7646</v>
      </c>
      <c r="C1733" s="1" t="s">
        <v>7647</v>
      </c>
      <c r="D1733" s="1" t="s">
        <v>7648</v>
      </c>
      <c r="E1733" s="1" t="s">
        <v>7649</v>
      </c>
      <c r="F1733" s="1" t="str">
        <f>"0691017778"</f>
        <v>0691017778</v>
      </c>
      <c r="G1733" s="1" t="str">
        <f>"9780691017778"</f>
        <v>9780691017778</v>
      </c>
      <c r="H1733" s="1">
        <v>0.0</v>
      </c>
      <c r="I1733" s="1">
        <v>4.23</v>
      </c>
      <c r="J1733" s="1" t="s">
        <v>7650</v>
      </c>
      <c r="K1733" s="1" t="s">
        <v>44</v>
      </c>
      <c r="L1733" s="1">
        <v>195.0</v>
      </c>
      <c r="M1733" s="1">
        <v>1974.0</v>
      </c>
      <c r="N1733" s="1">
        <v>1949.0</v>
      </c>
      <c r="P1733" s="2">
        <v>45169.0</v>
      </c>
      <c r="Q1733" s="1" t="s">
        <v>463</v>
      </c>
      <c r="R1733" s="1" t="s">
        <v>7651</v>
      </c>
      <c r="S1733" s="1" t="s">
        <v>32</v>
      </c>
      <c r="W1733" s="1">
        <v>0.0</v>
      </c>
      <c r="X1733" s="1">
        <v>0.0</v>
      </c>
    </row>
    <row r="1734" spans="1:24" ht="15.75" customHeight="1">
      <c r="A1734" s="1">
        <v>1.7170503E7</v>
      </c>
      <c r="B1734" s="1" t="s">
        <v>7652</v>
      </c>
      <c r="C1734" s="1" t="s">
        <v>7653</v>
      </c>
      <c r="D1734" s="1" t="s">
        <v>7654</v>
      </c>
      <c r="F1734" s="1" t="str">
        <f>"1478205458"</f>
        <v>1478205458</v>
      </c>
      <c r="G1734" s="1" t="str">
        <f>"9781478205456"</f>
        <v>9781478205456</v>
      </c>
      <c r="H1734" s="1">
        <v>0.0</v>
      </c>
      <c r="I1734" s="1">
        <v>3.89</v>
      </c>
      <c r="J1734" s="1" t="s">
        <v>1556</v>
      </c>
      <c r="K1734" s="1" t="s">
        <v>44</v>
      </c>
      <c r="L1734" s="1">
        <v>386.0</v>
      </c>
      <c r="M1734" s="1">
        <v>2012.0</v>
      </c>
      <c r="N1734" s="1">
        <v>2012.0</v>
      </c>
      <c r="P1734" s="2">
        <v>45235.0</v>
      </c>
      <c r="Q1734" s="1" t="s">
        <v>55</v>
      </c>
      <c r="R1734" s="1" t="s">
        <v>7655</v>
      </c>
      <c r="S1734" s="1" t="s">
        <v>32</v>
      </c>
      <c r="W1734" s="1">
        <v>0.0</v>
      </c>
      <c r="X1734" s="1">
        <v>0.0</v>
      </c>
    </row>
    <row r="1735" spans="1:24" ht="15.75" customHeight="1">
      <c r="A1735" s="1">
        <v>91801.0</v>
      </c>
      <c r="B1735" s="1" t="s">
        <v>7656</v>
      </c>
      <c r="C1735" s="1" t="s">
        <v>7657</v>
      </c>
      <c r="D1735" s="1" t="s">
        <v>7658</v>
      </c>
      <c r="F1735" s="1" t="str">
        <f>"0226520153"</f>
        <v>0226520153</v>
      </c>
      <c r="G1735" s="1" t="str">
        <f>"9780226520155"</f>
        <v>9780226520155</v>
      </c>
      <c r="H1735" s="1">
        <v>0.0</v>
      </c>
      <c r="I1735" s="1">
        <v>4.18</v>
      </c>
      <c r="J1735" s="1" t="s">
        <v>7659</v>
      </c>
      <c r="K1735" s="1" t="s">
        <v>37</v>
      </c>
      <c r="L1735" s="1">
        <v>352.0</v>
      </c>
      <c r="M1735" s="1">
        <v>1999.0</v>
      </c>
      <c r="N1735" s="1">
        <v>1999.0</v>
      </c>
      <c r="P1735" s="2">
        <v>45177.0</v>
      </c>
      <c r="Q1735" s="1" t="s">
        <v>7660</v>
      </c>
      <c r="R1735" s="1" t="s">
        <v>7661</v>
      </c>
      <c r="S1735" s="1" t="s">
        <v>32</v>
      </c>
      <c r="W1735" s="1">
        <v>0.0</v>
      </c>
      <c r="X1735" s="1">
        <v>0.0</v>
      </c>
    </row>
    <row r="1736" spans="1:24" ht="15.75" customHeight="1">
      <c r="A1736" s="1">
        <v>2.3847935E7</v>
      </c>
      <c r="B1736" s="1" t="s">
        <v>7662</v>
      </c>
      <c r="C1736" s="1" t="s">
        <v>7663</v>
      </c>
      <c r="D1736" s="1" t="s">
        <v>7664</v>
      </c>
      <c r="F1736" s="1" t="str">
        <f>"0374161801"</f>
        <v>0374161801</v>
      </c>
      <c r="G1736" s="1" t="str">
        <f>"9780374161804"</f>
        <v>9780374161804</v>
      </c>
      <c r="H1736" s="1">
        <v>0.0</v>
      </c>
      <c r="I1736" s="1">
        <v>3.75</v>
      </c>
      <c r="J1736" s="1" t="s">
        <v>438</v>
      </c>
      <c r="K1736" s="1" t="s">
        <v>37</v>
      </c>
      <c r="L1736" s="1">
        <v>304.0</v>
      </c>
      <c r="M1736" s="1">
        <v>2016.0</v>
      </c>
      <c r="N1736" s="1">
        <v>2015.0</v>
      </c>
      <c r="P1736" s="2">
        <v>42492.0</v>
      </c>
      <c r="Q1736" s="1" t="s">
        <v>138</v>
      </c>
      <c r="R1736" s="1" t="s">
        <v>7665</v>
      </c>
      <c r="S1736" s="1" t="s">
        <v>32</v>
      </c>
      <c r="W1736" s="1">
        <v>0.0</v>
      </c>
      <c r="X1736" s="1">
        <v>0.0</v>
      </c>
    </row>
    <row r="1737" spans="1:24" ht="15.75" customHeight="1">
      <c r="A1737" s="1">
        <v>210188.0</v>
      </c>
      <c r="B1737" s="1" t="s">
        <v>7666</v>
      </c>
      <c r="C1737" s="1" t="s">
        <v>7663</v>
      </c>
      <c r="D1737" s="1" t="s">
        <v>7664</v>
      </c>
      <c r="E1737" s="1" t="s">
        <v>7667</v>
      </c>
      <c r="F1737" s="1" t="str">
        <f>"0374527253"</f>
        <v>0374527253</v>
      </c>
      <c r="G1737" s="1" t="str">
        <f>"9780374527259"</f>
        <v>9780374527259</v>
      </c>
      <c r="H1737" s="1">
        <v>0.0</v>
      </c>
      <c r="I1737" s="1">
        <v>4.15</v>
      </c>
      <c r="J1737" s="1" t="s">
        <v>438</v>
      </c>
      <c r="K1737" s="1" t="s">
        <v>44</v>
      </c>
      <c r="L1737" s="1">
        <v>400.0</v>
      </c>
      <c r="M1737" s="1">
        <v>2000.0</v>
      </c>
      <c r="N1737" s="1">
        <v>1999.0</v>
      </c>
      <c r="P1737" s="3">
        <v>43423.0</v>
      </c>
      <c r="Q1737" s="1" t="s">
        <v>32</v>
      </c>
      <c r="R1737" s="1" t="s">
        <v>7668</v>
      </c>
      <c r="S1737" s="1" t="s">
        <v>32</v>
      </c>
      <c r="W1737" s="1">
        <v>0.0</v>
      </c>
      <c r="X1737" s="1">
        <v>0.0</v>
      </c>
    </row>
    <row r="1738" spans="1:24" ht="15.75" customHeight="1">
      <c r="A1738" s="1">
        <v>440777.0</v>
      </c>
      <c r="B1738" s="1" t="s">
        <v>7669</v>
      </c>
      <c r="C1738" s="1" t="s">
        <v>7670</v>
      </c>
      <c r="D1738" s="1" t="s">
        <v>7671</v>
      </c>
      <c r="F1738" s="1" t="str">
        <f>"0312273231"</f>
        <v>0312273231</v>
      </c>
      <c r="G1738" s="1" t="str">
        <f>"9780312273231"</f>
        <v>9780312273231</v>
      </c>
      <c r="H1738" s="1">
        <v>0.0</v>
      </c>
      <c r="I1738" s="1">
        <v>3.85</v>
      </c>
      <c r="J1738" s="1" t="s">
        <v>1006</v>
      </c>
      <c r="K1738" s="1" t="s">
        <v>44</v>
      </c>
      <c r="L1738" s="1">
        <v>256.0</v>
      </c>
      <c r="M1738" s="1">
        <v>2001.0</v>
      </c>
      <c r="N1738" s="1">
        <v>2000.0</v>
      </c>
      <c r="P1738" s="2">
        <v>41585.0</v>
      </c>
      <c r="Q1738" s="1" t="s">
        <v>32</v>
      </c>
      <c r="R1738" s="1" t="s">
        <v>7672</v>
      </c>
      <c r="S1738" s="1" t="s">
        <v>32</v>
      </c>
      <c r="W1738" s="1">
        <v>0.0</v>
      </c>
      <c r="X1738" s="1">
        <v>0.0</v>
      </c>
    </row>
    <row r="1739" spans="1:24" ht="15.75" customHeight="1">
      <c r="A1739" s="1">
        <v>5.4318983E7</v>
      </c>
      <c r="B1739" s="1" t="s">
        <v>7673</v>
      </c>
      <c r="C1739" s="1" t="s">
        <v>7674</v>
      </c>
      <c r="D1739" s="1" t="s">
        <v>7675</v>
      </c>
      <c r="E1739" s="1" t="s">
        <v>6666</v>
      </c>
      <c r="F1739" s="1" t="str">
        <f>"168137529X"</f>
        <v>168137529X</v>
      </c>
      <c r="G1739" s="1" t="str">
        <f>"9781681375298"</f>
        <v>9781681375298</v>
      </c>
      <c r="H1739" s="1">
        <v>0.0</v>
      </c>
      <c r="I1739" s="1">
        <v>3.88</v>
      </c>
      <c r="J1739" s="1" t="s">
        <v>204</v>
      </c>
      <c r="K1739" s="1" t="s">
        <v>44</v>
      </c>
      <c r="L1739" s="1">
        <v>320.0</v>
      </c>
      <c r="M1739" s="1">
        <v>2021.0</v>
      </c>
      <c r="N1739" s="1">
        <v>1981.0</v>
      </c>
      <c r="P1739" s="2">
        <v>45102.0</v>
      </c>
      <c r="Q1739" s="1" t="s">
        <v>32</v>
      </c>
      <c r="R1739" s="1" t="s">
        <v>7676</v>
      </c>
      <c r="S1739" s="1" t="s">
        <v>32</v>
      </c>
      <c r="W1739" s="1">
        <v>0.0</v>
      </c>
      <c r="X1739" s="1">
        <v>0.0</v>
      </c>
    </row>
    <row r="1740" spans="1:24" ht="15.75" customHeight="1">
      <c r="A1740" s="1">
        <v>416129.0</v>
      </c>
      <c r="B1740" s="1" t="s">
        <v>7677</v>
      </c>
      <c r="C1740" s="1" t="s">
        <v>7678</v>
      </c>
      <c r="D1740" s="1" t="s">
        <v>7679</v>
      </c>
      <c r="F1740" s="1" t="str">
        <f>"0807079170"</f>
        <v>0807079170</v>
      </c>
      <c r="G1740" s="1" t="str">
        <f>"9780807079171"</f>
        <v>9780807079171</v>
      </c>
      <c r="H1740" s="1">
        <v>0.0</v>
      </c>
      <c r="I1740" s="1">
        <v>4.17</v>
      </c>
      <c r="J1740" s="1" t="s">
        <v>758</v>
      </c>
      <c r="K1740" s="1" t="s">
        <v>44</v>
      </c>
      <c r="L1740" s="1">
        <v>132.0</v>
      </c>
      <c r="M1740" s="1">
        <v>1992.0</v>
      </c>
      <c r="N1740" s="1">
        <v>1980.0</v>
      </c>
      <c r="P1740" s="2">
        <v>44107.0</v>
      </c>
      <c r="Q1740" s="1" t="s">
        <v>6885</v>
      </c>
      <c r="R1740" s="1" t="s">
        <v>7680</v>
      </c>
      <c r="S1740" s="1" t="s">
        <v>32</v>
      </c>
      <c r="W1740" s="1">
        <v>0.0</v>
      </c>
      <c r="X1740" s="1">
        <v>0.0</v>
      </c>
    </row>
    <row r="1741" spans="1:24" ht="15.75" customHeight="1">
      <c r="A1741" s="1">
        <v>2155366.0</v>
      </c>
      <c r="B1741" s="1" t="s">
        <v>7681</v>
      </c>
      <c r="C1741" s="1" t="s">
        <v>7682</v>
      </c>
      <c r="D1741" s="1" t="s">
        <v>7683</v>
      </c>
      <c r="F1741" s="1" t="str">
        <f>"1555218067"</f>
        <v>1555218067</v>
      </c>
      <c r="G1741" s="1" t="str">
        <f>"9781555218065"</f>
        <v>9781555218065</v>
      </c>
      <c r="H1741" s="1">
        <v>0.0</v>
      </c>
      <c r="I1741" s="1">
        <v>3.71</v>
      </c>
      <c r="J1741" s="1" t="s">
        <v>7684</v>
      </c>
      <c r="K1741" s="1" t="s">
        <v>37</v>
      </c>
      <c r="L1741" s="1">
        <v>353.0</v>
      </c>
      <c r="M1741" s="1">
        <v>1992.0</v>
      </c>
      <c r="N1741" s="1">
        <v>1926.0</v>
      </c>
      <c r="P1741" s="2">
        <v>43968.0</v>
      </c>
      <c r="Q1741" s="1" t="s">
        <v>138</v>
      </c>
      <c r="R1741" s="1" t="s">
        <v>7685</v>
      </c>
      <c r="S1741" s="1" t="s">
        <v>32</v>
      </c>
      <c r="W1741" s="1">
        <v>0.0</v>
      </c>
      <c r="X1741" s="1">
        <v>0.0</v>
      </c>
    </row>
    <row r="1742" spans="1:24" ht="15.75" customHeight="1">
      <c r="A1742" s="1">
        <v>2.5566111E7</v>
      </c>
      <c r="B1742" s="1" t="s">
        <v>7686</v>
      </c>
      <c r="C1742" s="1" t="s">
        <v>7687</v>
      </c>
      <c r="D1742" s="1" t="s">
        <v>7688</v>
      </c>
      <c r="F1742" s="1" t="str">
        <f>"0986187615"</f>
        <v>0986187615</v>
      </c>
      <c r="G1742" s="1" t="str">
        <f>"9780986187612"</f>
        <v>9780986187612</v>
      </c>
      <c r="H1742" s="1">
        <v>0.0</v>
      </c>
      <c r="I1742" s="1">
        <v>4.02</v>
      </c>
      <c r="J1742" s="1" t="s">
        <v>7689</v>
      </c>
      <c r="K1742" s="1" t="s">
        <v>44</v>
      </c>
      <c r="L1742" s="1">
        <v>63.0</v>
      </c>
      <c r="M1742" s="1">
        <v>2015.0</v>
      </c>
      <c r="N1742" s="1">
        <v>2015.0</v>
      </c>
      <c r="P1742" s="2">
        <v>42808.0</v>
      </c>
      <c r="Q1742" s="1" t="s">
        <v>32</v>
      </c>
      <c r="R1742" s="1" t="s">
        <v>7690</v>
      </c>
      <c r="S1742" s="1" t="s">
        <v>32</v>
      </c>
      <c r="W1742" s="1">
        <v>0.0</v>
      </c>
      <c r="X1742" s="1">
        <v>0.0</v>
      </c>
    </row>
    <row r="1743" spans="1:24" ht="15.75" customHeight="1">
      <c r="A1743" s="1">
        <v>567610.0</v>
      </c>
      <c r="B1743" s="1" t="s">
        <v>7691</v>
      </c>
      <c r="C1743" s="1" t="s">
        <v>7692</v>
      </c>
      <c r="D1743" s="1" t="s">
        <v>7693</v>
      </c>
      <c r="E1743" s="1" t="s">
        <v>7694</v>
      </c>
      <c r="F1743" s="1" t="str">
        <f t="shared" si="133" ref="F1743:G1743">""</f>
        <v/>
      </c>
      <c r="G1743" s="1" t="str">
        <f t="shared" si="133"/>
        <v/>
      </c>
      <c r="H1743" s="1">
        <v>0.0</v>
      </c>
      <c r="I1743" s="1">
        <v>3.98</v>
      </c>
      <c r="J1743" s="1" t="s">
        <v>7695</v>
      </c>
      <c r="K1743" s="1" t="s">
        <v>44</v>
      </c>
      <c r="L1743" s="1">
        <v>426.0</v>
      </c>
      <c r="M1743" s="1">
        <v>1972.0</v>
      </c>
      <c r="N1743" s="1">
        <v>1940.0</v>
      </c>
      <c r="P1743" s="2">
        <v>43934.0</v>
      </c>
      <c r="Q1743" s="1" t="s">
        <v>3722</v>
      </c>
      <c r="R1743" s="1" t="s">
        <v>7696</v>
      </c>
      <c r="S1743" s="1" t="s">
        <v>32</v>
      </c>
      <c r="W1743" s="1">
        <v>0.0</v>
      </c>
      <c r="X1743" s="1">
        <v>0.0</v>
      </c>
    </row>
    <row r="1744" spans="1:24" ht="15.75" customHeight="1">
      <c r="A1744" s="1">
        <v>215485.0</v>
      </c>
      <c r="B1744" s="1" t="s">
        <v>7697</v>
      </c>
      <c r="C1744" s="1" t="s">
        <v>7698</v>
      </c>
      <c r="D1744" s="1" t="s">
        <v>7699</v>
      </c>
      <c r="E1744" s="1" t="s">
        <v>7700</v>
      </c>
      <c r="F1744" s="1" t="str">
        <f>"1590170172"</f>
        <v>1590170172</v>
      </c>
      <c r="G1744" s="1" t="str">
        <f>"9781590170175"</f>
        <v>9781590170175</v>
      </c>
      <c r="H1744" s="1">
        <v>0.0</v>
      </c>
      <c r="I1744" s="1">
        <v>3.9</v>
      </c>
      <c r="J1744" s="1" t="s">
        <v>204</v>
      </c>
      <c r="K1744" s="1" t="s">
        <v>44</v>
      </c>
      <c r="L1744" s="1">
        <v>224.0</v>
      </c>
      <c r="M1744" s="1">
        <v>2002.0</v>
      </c>
      <c r="N1744" s="1">
        <v>1954.0</v>
      </c>
      <c r="P1744" s="2">
        <v>45078.0</v>
      </c>
      <c r="Q1744" s="1" t="s">
        <v>32</v>
      </c>
      <c r="R1744" s="1" t="s">
        <v>7701</v>
      </c>
      <c r="S1744" s="1" t="s">
        <v>32</v>
      </c>
      <c r="W1744" s="1">
        <v>0.0</v>
      </c>
      <c r="X1744" s="1">
        <v>0.0</v>
      </c>
    </row>
    <row r="1745" spans="1:24" ht="15.75" customHeight="1">
      <c r="A1745" s="1">
        <v>2828231.0</v>
      </c>
      <c r="B1745" s="1" t="s">
        <v>7702</v>
      </c>
      <c r="C1745" s="1" t="s">
        <v>7703</v>
      </c>
      <c r="D1745" s="1" t="s">
        <v>7704</v>
      </c>
      <c r="F1745" s="1" t="str">
        <f>"1597312118"</f>
        <v>1597312118</v>
      </c>
      <c r="G1745" s="1" t="str">
        <f>"9781597312110"</f>
        <v>9781597312110</v>
      </c>
      <c r="H1745" s="1">
        <v>0.0</v>
      </c>
      <c r="I1745" s="1">
        <v>4.17</v>
      </c>
      <c r="J1745" s="1" t="s">
        <v>7705</v>
      </c>
      <c r="K1745" s="1" t="s">
        <v>44</v>
      </c>
      <c r="L1745" s="1">
        <v>492.0</v>
      </c>
      <c r="M1745" s="1">
        <v>2007.0</v>
      </c>
      <c r="N1745" s="1">
        <v>2004.0</v>
      </c>
      <c r="P1745" s="2">
        <v>45122.0</v>
      </c>
      <c r="Q1745" s="1" t="s">
        <v>32</v>
      </c>
      <c r="R1745" s="1" t="s">
        <v>7706</v>
      </c>
      <c r="S1745" s="1" t="s">
        <v>32</v>
      </c>
      <c r="W1745" s="1">
        <v>0.0</v>
      </c>
      <c r="X1745" s="1">
        <v>0.0</v>
      </c>
    </row>
    <row r="1746" spans="1:24" ht="15.75" customHeight="1">
      <c r="A1746" s="1">
        <v>846564.0</v>
      </c>
      <c r="B1746" s="1" t="s">
        <v>7707</v>
      </c>
      <c r="C1746" s="1" t="s">
        <v>7708</v>
      </c>
      <c r="D1746" s="1" t="s">
        <v>7709</v>
      </c>
      <c r="E1746" s="113" t="s">
        <v>7710</v>
      </c>
      <c r="F1746" s="1" t="str">
        <f>"1400032660"</f>
        <v>1400032660</v>
      </c>
      <c r="G1746" s="1" t="str">
        <f>"9781400032662"</f>
        <v>9781400032662</v>
      </c>
      <c r="H1746" s="1">
        <v>0.0</v>
      </c>
      <c r="I1746" s="1">
        <v>4.19</v>
      </c>
      <c r="J1746" s="1" t="s">
        <v>287</v>
      </c>
      <c r="K1746" s="1" t="s">
        <v>44</v>
      </c>
      <c r="L1746" s="1">
        <v>184.0</v>
      </c>
      <c r="M1746" s="1">
        <v>2003.0</v>
      </c>
      <c r="N1746" s="1">
        <v>1997.0</v>
      </c>
      <c r="P1746" s="3">
        <v>45251.0</v>
      </c>
      <c r="Q1746" s="1" t="s">
        <v>32</v>
      </c>
      <c r="R1746" s="1" t="s">
        <v>7711</v>
      </c>
      <c r="S1746" s="1" t="s">
        <v>32</v>
      </c>
      <c r="W1746" s="1">
        <v>0.0</v>
      </c>
      <c r="X1746" s="1">
        <v>0.0</v>
      </c>
    </row>
    <row r="1747" spans="1:24" ht="15.75" customHeight="1">
      <c r="A1747" s="1">
        <v>96337.0</v>
      </c>
      <c r="B1747" s="1" t="s">
        <v>7712</v>
      </c>
      <c r="C1747" s="1" t="s">
        <v>7713</v>
      </c>
      <c r="D1747" s="1" t="s">
        <v>7714</v>
      </c>
      <c r="F1747" s="1" t="str">
        <f>"0140047166"</f>
        <v>0140047166</v>
      </c>
      <c r="G1747" s="1" t="str">
        <f>"9780140047165"</f>
        <v>9780140047165</v>
      </c>
      <c r="H1747" s="1">
        <v>0.0</v>
      </c>
      <c r="I1747" s="1">
        <v>3.32</v>
      </c>
      <c r="J1747" s="1" t="s">
        <v>309</v>
      </c>
      <c r="K1747" s="1" t="s">
        <v>44</v>
      </c>
      <c r="L1747" s="1">
        <v>267.0</v>
      </c>
      <c r="M1747" s="1">
        <v>1983.0</v>
      </c>
      <c r="N1747" s="1">
        <v>1974.0</v>
      </c>
      <c r="P1747" s="2">
        <v>45111.0</v>
      </c>
      <c r="Q1747" s="1" t="s">
        <v>261</v>
      </c>
      <c r="R1747" s="1" t="s">
        <v>7715</v>
      </c>
      <c r="S1747" s="1" t="s">
        <v>32</v>
      </c>
      <c r="W1747" s="1">
        <v>0.0</v>
      </c>
      <c r="X1747" s="1">
        <v>0.0</v>
      </c>
    </row>
    <row r="1748" spans="1:24" ht="15.75" customHeight="1">
      <c r="A1748" s="1">
        <v>6.1089529E7</v>
      </c>
      <c r="B1748" s="1" t="s">
        <v>7716</v>
      </c>
      <c r="C1748" s="1" t="s">
        <v>7717</v>
      </c>
      <c r="D1748" s="1" t="s">
        <v>7718</v>
      </c>
      <c r="E1748" s="1" t="s">
        <v>737</v>
      </c>
      <c r="F1748" s="1" t="str">
        <f>"1324050616"</f>
        <v>1324050616</v>
      </c>
      <c r="G1748" s="1" t="str">
        <f>"9781324050612"</f>
        <v>9781324050612</v>
      </c>
      <c r="H1748" s="1">
        <v>0.0</v>
      </c>
      <c r="I1748" s="1">
        <v>4.26</v>
      </c>
      <c r="J1748" s="1" t="s">
        <v>248</v>
      </c>
      <c r="K1748" s="1" t="s">
        <v>44</v>
      </c>
      <c r="L1748" s="1">
        <v>304.0</v>
      </c>
      <c r="M1748" s="1">
        <v>2023.0</v>
      </c>
      <c r="N1748" s="1">
        <v>1998.0</v>
      </c>
      <c r="P1748" s="2">
        <v>45185.0</v>
      </c>
      <c r="Q1748" s="1" t="s">
        <v>7719</v>
      </c>
      <c r="R1748" s="1" t="s">
        <v>7720</v>
      </c>
      <c r="S1748" s="1" t="s">
        <v>32</v>
      </c>
      <c r="W1748" s="1">
        <v>0.0</v>
      </c>
      <c r="X1748" s="1">
        <v>0.0</v>
      </c>
    </row>
    <row r="1749" spans="1:24" ht="15.75" customHeight="1">
      <c r="A1749" s="1">
        <v>4828010.0</v>
      </c>
      <c r="B1749" s="1" t="s">
        <v>7721</v>
      </c>
      <c r="C1749" s="1" t="s">
        <v>7722</v>
      </c>
      <c r="D1749" s="1" t="s">
        <v>7723</v>
      </c>
      <c r="F1749" s="1" t="str">
        <f>"0979458218"</f>
        <v>0979458218</v>
      </c>
      <c r="G1749" s="1" t="str">
        <f>"9780979458217"</f>
        <v>9780979458217</v>
      </c>
      <c r="H1749" s="1">
        <v>0.0</v>
      </c>
      <c r="I1749" s="1">
        <v>4.23</v>
      </c>
      <c r="J1749" s="1" t="s">
        <v>7724</v>
      </c>
      <c r="K1749" s="1" t="s">
        <v>44</v>
      </c>
      <c r="L1749" s="1">
        <v>78.0</v>
      </c>
      <c r="M1749" s="1">
        <v>2008.0</v>
      </c>
      <c r="N1749" s="1">
        <v>2008.0</v>
      </c>
      <c r="P1749" s="2">
        <v>45143.0</v>
      </c>
      <c r="Q1749" s="1" t="s">
        <v>449</v>
      </c>
      <c r="R1749" s="1" t="s">
        <v>7725</v>
      </c>
      <c r="S1749" s="1" t="s">
        <v>32</v>
      </c>
      <c r="W1749" s="1">
        <v>0.0</v>
      </c>
      <c r="X1749" s="1">
        <v>1.0</v>
      </c>
    </row>
    <row r="1750" spans="1:24" ht="15.75" customHeight="1">
      <c r="A1750" s="1">
        <v>12335.0</v>
      </c>
      <c r="B1750" s="1" t="s">
        <v>7726</v>
      </c>
      <c r="C1750" s="1" t="s">
        <v>7727</v>
      </c>
      <c r="D1750" s="1" t="s">
        <v>7728</v>
      </c>
      <c r="F1750" s="1" t="str">
        <f>"0375760814"</f>
        <v>0375760814</v>
      </c>
      <c r="G1750" s="1" t="str">
        <f>"9780375760815"</f>
        <v>9780375760815</v>
      </c>
      <c r="H1750" s="1">
        <v>0.0</v>
      </c>
      <c r="I1750" s="1">
        <v>3.91</v>
      </c>
      <c r="J1750" s="1" t="s">
        <v>1273</v>
      </c>
      <c r="K1750" s="1" t="s">
        <v>44</v>
      </c>
      <c r="L1750" s="1">
        <v>608.0</v>
      </c>
      <c r="M1750" s="1">
        <v>2002.0</v>
      </c>
      <c r="N1750" s="1">
        <v>2001.0</v>
      </c>
      <c r="P1750" s="2">
        <v>44242.0</v>
      </c>
      <c r="Q1750" s="1" t="s">
        <v>55</v>
      </c>
      <c r="R1750" s="1" t="s">
        <v>7729</v>
      </c>
      <c r="S1750" s="1" t="s">
        <v>32</v>
      </c>
      <c r="W1750" s="1">
        <v>0.0</v>
      </c>
      <c r="X1750" s="1">
        <v>0.0</v>
      </c>
    </row>
    <row r="1751" spans="1:24" ht="15.75" customHeight="1">
      <c r="A1751" s="1">
        <v>1.3850571E8</v>
      </c>
      <c r="B1751" s="1" t="s">
        <v>7730</v>
      </c>
      <c r="C1751" s="1" t="s">
        <v>7731</v>
      </c>
      <c r="D1751" s="1" t="s">
        <v>7732</v>
      </c>
      <c r="F1751" s="1" t="str">
        <f>"0374610320"</f>
        <v>0374610320</v>
      </c>
      <c r="G1751" s="1" t="str">
        <f>"9780374610326"</f>
        <v>9780374610326</v>
      </c>
      <c r="H1751" s="1">
        <v>0.0</v>
      </c>
      <c r="I1751" s="1">
        <v>4.28</v>
      </c>
      <c r="J1751" s="1" t="s">
        <v>438</v>
      </c>
      <c r="K1751" s="1" t="s">
        <v>37</v>
      </c>
      <c r="L1751" s="1">
        <v>416.0</v>
      </c>
      <c r="M1751" s="1">
        <v>2023.0</v>
      </c>
      <c r="N1751" s="1">
        <v>2023.0</v>
      </c>
      <c r="P1751" s="2">
        <v>45161.0</v>
      </c>
      <c r="Q1751" s="1" t="s">
        <v>55</v>
      </c>
      <c r="R1751" s="1" t="s">
        <v>7733</v>
      </c>
      <c r="S1751" s="1" t="s">
        <v>32</v>
      </c>
      <c r="W1751" s="1">
        <v>0.0</v>
      </c>
      <c r="X1751" s="1">
        <v>0.0</v>
      </c>
    </row>
    <row r="1752" spans="1:24" ht="15.75" customHeight="1">
      <c r="A1752" s="1">
        <v>2.4471471E7</v>
      </c>
      <c r="B1752" s="1" t="s">
        <v>7734</v>
      </c>
      <c r="C1752" s="1" t="s">
        <v>7731</v>
      </c>
      <c r="D1752" s="1" t="s">
        <v>7732</v>
      </c>
      <c r="F1752" s="1" t="str">
        <f>"8449323452"</f>
        <v>8449323452</v>
      </c>
      <c r="G1752" s="1" t="str">
        <f>"9788449323454"</f>
        <v>9788449323454</v>
      </c>
      <c r="H1752" s="1">
        <v>5.0</v>
      </c>
      <c r="I1752" s="1">
        <v>4.27</v>
      </c>
      <c r="J1752" s="1" t="s">
        <v>3215</v>
      </c>
      <c r="K1752" s="1" t="s">
        <v>1225</v>
      </c>
      <c r="L1752" s="1">
        <v>700.0</v>
      </c>
      <c r="M1752" s="1">
        <v>2010.0</v>
      </c>
      <c r="N1752" s="1">
        <v>2007.0</v>
      </c>
      <c r="O1752" s="2">
        <v>45294.0</v>
      </c>
      <c r="P1752" s="2">
        <v>45292.0</v>
      </c>
      <c r="S1752" s="1" t="s">
        <v>271</v>
      </c>
      <c r="W1752" s="1">
        <v>1.0</v>
      </c>
      <c r="X1752" s="1">
        <v>0.0</v>
      </c>
    </row>
    <row r="1753" spans="1:24" ht="15.75" customHeight="1">
      <c r="A1753" s="1">
        <v>39926.0</v>
      </c>
      <c r="B1753" s="1" t="s">
        <v>7735</v>
      </c>
      <c r="C1753" s="1" t="s">
        <v>7736</v>
      </c>
      <c r="D1753" s="1" t="s">
        <v>7737</v>
      </c>
      <c r="F1753" s="1" t="str">
        <f>"0060512180"</f>
        <v>0060512180</v>
      </c>
      <c r="G1753" s="1" t="str">
        <f>"9780060512187"</f>
        <v>9780060512187</v>
      </c>
      <c r="H1753" s="1">
        <v>0.0</v>
      </c>
      <c r="I1753" s="1">
        <v>3.91</v>
      </c>
      <c r="J1753" s="1" t="s">
        <v>917</v>
      </c>
      <c r="K1753" s="1" t="s">
        <v>44</v>
      </c>
      <c r="L1753" s="1">
        <v>368.0</v>
      </c>
      <c r="M1753" s="1">
        <v>2002.0</v>
      </c>
      <c r="N1753" s="1">
        <v>1990.0</v>
      </c>
      <c r="P1753" s="2">
        <v>45173.0</v>
      </c>
      <c r="Q1753" s="1" t="s">
        <v>249</v>
      </c>
      <c r="R1753" s="1" t="s">
        <v>7738</v>
      </c>
      <c r="S1753" s="1" t="s">
        <v>32</v>
      </c>
      <c r="W1753" s="1">
        <v>0.0</v>
      </c>
      <c r="X1753" s="1">
        <v>0.0</v>
      </c>
    </row>
    <row r="1754" spans="1:24" ht="15.75" customHeight="1">
      <c r="A1754" s="1">
        <v>1105221.0</v>
      </c>
      <c r="B1754" s="1" t="s">
        <v>7739</v>
      </c>
      <c r="C1754" s="1" t="s">
        <v>7740</v>
      </c>
      <c r="D1754" s="1" t="s">
        <v>7741</v>
      </c>
      <c r="F1754" s="1" t="str">
        <f>"0156996820"</f>
        <v>0156996820</v>
      </c>
      <c r="G1754" s="1" t="str">
        <f>"9780156996822"</f>
        <v>9780156996822</v>
      </c>
      <c r="H1754" s="1">
        <v>0.0</v>
      </c>
      <c r="I1754" s="1">
        <v>3.61</v>
      </c>
      <c r="J1754" s="1" t="s">
        <v>468</v>
      </c>
      <c r="K1754" s="1" t="s">
        <v>44</v>
      </c>
      <c r="L1754" s="1">
        <v>309.0</v>
      </c>
      <c r="M1754" s="1">
        <v>1992.0</v>
      </c>
      <c r="N1754" s="1">
        <v>1966.0</v>
      </c>
      <c r="P1754" s="2">
        <v>45182.0</v>
      </c>
      <c r="Q1754" s="1" t="s">
        <v>249</v>
      </c>
      <c r="R1754" s="1" t="s">
        <v>7742</v>
      </c>
      <c r="S1754" s="1" t="s">
        <v>32</v>
      </c>
      <c r="W1754" s="1">
        <v>0.0</v>
      </c>
      <c r="X1754" s="1">
        <v>0.0</v>
      </c>
    </row>
    <row r="1755" spans="1:24" ht="15.75" customHeight="1">
      <c r="A1755" s="1">
        <v>4.2268742E7</v>
      </c>
      <c r="B1755" s="1" t="s">
        <v>7743</v>
      </c>
      <c r="C1755" s="1" t="s">
        <v>7744</v>
      </c>
      <c r="D1755" s="1" t="s">
        <v>7745</v>
      </c>
      <c r="E1755" s="1" t="s">
        <v>7746</v>
      </c>
      <c r="F1755" s="1" t="str">
        <f>"0811228789"</f>
        <v>0811228789</v>
      </c>
      <c r="G1755" s="1" t="str">
        <f>"9780811228787"</f>
        <v>9780811228787</v>
      </c>
      <c r="H1755" s="1">
        <v>0.0</v>
      </c>
      <c r="I1755" s="1">
        <v>4.0</v>
      </c>
      <c r="J1755" s="1" t="s">
        <v>419</v>
      </c>
      <c r="K1755" s="1" t="s">
        <v>44</v>
      </c>
      <c r="L1755" s="1">
        <v>88.0</v>
      </c>
      <c r="M1755" s="1">
        <v>2019.0</v>
      </c>
      <c r="N1755" s="1">
        <v>1947.0</v>
      </c>
      <c r="P1755" s="3">
        <v>44128.0</v>
      </c>
      <c r="Q1755" s="1" t="s">
        <v>32</v>
      </c>
      <c r="R1755" s="1" t="s">
        <v>7747</v>
      </c>
      <c r="S1755" s="1" t="s">
        <v>32</v>
      </c>
      <c r="W1755" s="1">
        <v>0.0</v>
      </c>
      <c r="X1755" s="1">
        <v>0.0</v>
      </c>
    </row>
    <row r="1756" spans="1:24" ht="15.75" customHeight="1">
      <c r="A1756" s="1">
        <v>578518.0</v>
      </c>
      <c r="B1756" s="1" t="s">
        <v>7748</v>
      </c>
      <c r="C1756" s="1" t="s">
        <v>7749</v>
      </c>
      <c r="D1756" s="1" t="s">
        <v>7750</v>
      </c>
      <c r="F1756" s="1" t="str">
        <f>"0877733759"</f>
        <v>0877733759</v>
      </c>
      <c r="G1756" s="1" t="str">
        <f>"9780877733751"</f>
        <v>9780877733751</v>
      </c>
      <c r="H1756" s="1">
        <v>0.0</v>
      </c>
      <c r="I1756" s="1">
        <v>4.21</v>
      </c>
      <c r="J1756" s="1" t="s">
        <v>7751</v>
      </c>
      <c r="K1756" s="1" t="s">
        <v>44</v>
      </c>
      <c r="L1756" s="1">
        <v>171.0</v>
      </c>
      <c r="M1756" s="1">
        <v>1986.0</v>
      </c>
      <c r="N1756" s="1">
        <v>1986.0</v>
      </c>
      <c r="P1756" s="2">
        <v>44227.0</v>
      </c>
      <c r="Q1756" s="1" t="s">
        <v>788</v>
      </c>
      <c r="R1756" s="1" t="s">
        <v>7752</v>
      </c>
      <c r="S1756" s="1" t="s">
        <v>32</v>
      </c>
      <c r="W1756" s="1">
        <v>0.0</v>
      </c>
      <c r="X1756" s="1">
        <v>1.0</v>
      </c>
    </row>
    <row r="1757" spans="1:24" ht="15.75" customHeight="1">
      <c r="A1757" s="1">
        <v>1.84458863E8</v>
      </c>
      <c r="B1757" s="1" t="s">
        <v>7753</v>
      </c>
      <c r="C1757" s="1" t="s">
        <v>7754</v>
      </c>
      <c r="D1757" s="1" t="s">
        <v>7755</v>
      </c>
      <c r="F1757" s="1" t="str">
        <f>"1517913241"</f>
        <v>1517913241</v>
      </c>
      <c r="G1757" s="1" t="str">
        <f>"9781517913243"</f>
        <v>9781517913243</v>
      </c>
      <c r="H1757" s="1">
        <v>0.0</v>
      </c>
      <c r="I1757" s="1">
        <v>4.16</v>
      </c>
      <c r="J1757" s="1" t="s">
        <v>1052</v>
      </c>
      <c r="K1757" s="1" t="s">
        <v>44</v>
      </c>
      <c r="L1757" s="1">
        <v>264.0</v>
      </c>
      <c r="M1757" s="1">
        <v>2023.0</v>
      </c>
      <c r="N1757" s="1">
        <v>2023.0</v>
      </c>
      <c r="P1757" s="3">
        <v>45249.0</v>
      </c>
      <c r="Q1757" s="1" t="s">
        <v>5012</v>
      </c>
      <c r="R1757" s="1" t="s">
        <v>7756</v>
      </c>
      <c r="S1757" s="1" t="s">
        <v>32</v>
      </c>
      <c r="W1757" s="1">
        <v>0.0</v>
      </c>
      <c r="X1757" s="1">
        <v>0.0</v>
      </c>
    </row>
    <row r="1758" spans="1:24" ht="15.75" customHeight="1">
      <c r="A1758" s="1">
        <v>29791.0</v>
      </c>
      <c r="B1758" s="1" t="s">
        <v>7757</v>
      </c>
      <c r="C1758" s="1" t="s">
        <v>7758</v>
      </c>
      <c r="D1758" s="1" t="s">
        <v>7759</v>
      </c>
      <c r="F1758" s="1" t="str">
        <f>"0375404937"</f>
        <v>0375404937</v>
      </c>
      <c r="G1758" s="1" t="str">
        <f>"9780375404931"</f>
        <v>9780375404931</v>
      </c>
      <c r="H1758" s="1">
        <v>0.0</v>
      </c>
      <c r="I1758" s="1">
        <v>3.68</v>
      </c>
      <c r="J1758" s="1" t="s">
        <v>1397</v>
      </c>
      <c r="K1758" s="1" t="s">
        <v>37</v>
      </c>
      <c r="L1758" s="1">
        <v>339.0</v>
      </c>
      <c r="M1758" s="1">
        <v>2007.0</v>
      </c>
      <c r="N1758" s="1">
        <v>2005.0</v>
      </c>
      <c r="P1758" s="2">
        <v>44257.0</v>
      </c>
      <c r="Q1758" s="1" t="s">
        <v>32</v>
      </c>
      <c r="R1758" s="1" t="s">
        <v>7760</v>
      </c>
      <c r="S1758" s="1" t="s">
        <v>32</v>
      </c>
      <c r="W1758" s="1">
        <v>0.0</v>
      </c>
      <c r="X1758" s="1">
        <v>0.0</v>
      </c>
    </row>
    <row r="1759" spans="1:24" ht="15.75" customHeight="1">
      <c r="A1759" s="1">
        <v>1.3255419E7</v>
      </c>
      <c r="B1759" s="1" t="s">
        <v>7761</v>
      </c>
      <c r="C1759" s="1" t="s">
        <v>7762</v>
      </c>
      <c r="D1759" s="1" t="s">
        <v>7763</v>
      </c>
      <c r="F1759" s="1" t="str">
        <f>"0340998423"</f>
        <v>0340998423</v>
      </c>
      <c r="G1759" s="1" t="str">
        <f>"9780340998427"</f>
        <v>9780340998427</v>
      </c>
      <c r="H1759" s="1">
        <v>0.0</v>
      </c>
      <c r="I1759" s="1">
        <v>3.43</v>
      </c>
      <c r="J1759" s="1" t="s">
        <v>7764</v>
      </c>
      <c r="K1759" s="1" t="s">
        <v>37</v>
      </c>
      <c r="L1759" s="1">
        <v>357.0</v>
      </c>
      <c r="M1759" s="1">
        <v>2012.0</v>
      </c>
      <c r="N1759" s="1">
        <v>2012.0</v>
      </c>
      <c r="P1759" s="2">
        <v>41545.0</v>
      </c>
      <c r="Q1759" s="1" t="s">
        <v>32</v>
      </c>
      <c r="R1759" s="1" t="s">
        <v>7765</v>
      </c>
      <c r="S1759" s="1" t="s">
        <v>32</v>
      </c>
      <c r="W1759" s="1">
        <v>0.0</v>
      </c>
      <c r="X1759" s="1">
        <v>0.0</v>
      </c>
    </row>
    <row r="1760" spans="1:24" ht="15.75" customHeight="1">
      <c r="A1760" s="1">
        <v>772099.0</v>
      </c>
      <c r="B1760" s="1" t="s">
        <v>7766</v>
      </c>
      <c r="C1760" s="1" t="s">
        <v>7767</v>
      </c>
      <c r="D1760" s="1" t="s">
        <v>7768</v>
      </c>
      <c r="E1760" s="1" t="s">
        <v>7769</v>
      </c>
      <c r="F1760" s="1" t="str">
        <f>"0262522101"</f>
        <v>0262522101</v>
      </c>
      <c r="G1760" s="1" t="str">
        <f>"9780262522106"</f>
        <v>9780262522106</v>
      </c>
      <c r="H1760" s="1">
        <v>0.0</v>
      </c>
      <c r="I1760" s="1">
        <v>3.92</v>
      </c>
      <c r="J1760" s="1" t="s">
        <v>75</v>
      </c>
      <c r="K1760" s="1" t="s">
        <v>44</v>
      </c>
      <c r="L1760" s="1">
        <v>885.0</v>
      </c>
      <c r="M1760" s="1">
        <v>1997.0</v>
      </c>
      <c r="N1760" s="1">
        <v>1997.0</v>
      </c>
      <c r="P1760" s="2">
        <v>45126.0</v>
      </c>
      <c r="Q1760" s="1" t="s">
        <v>32</v>
      </c>
      <c r="R1760" s="1" t="s">
        <v>7770</v>
      </c>
      <c r="S1760" s="1" t="s">
        <v>32</v>
      </c>
      <c r="W1760" s="1">
        <v>0.0</v>
      </c>
      <c r="X1760" s="1">
        <v>0.0</v>
      </c>
    </row>
    <row r="1761" spans="1:24" ht="15.75" customHeight="1">
      <c r="A1761" s="1">
        <v>248704.0</v>
      </c>
      <c r="B1761" s="1" t="s">
        <v>7771</v>
      </c>
      <c r="C1761" s="1" t="s">
        <v>7772</v>
      </c>
      <c r="D1761" s="1" t="s">
        <v>7773</v>
      </c>
      <c r="F1761" s="1" t="str">
        <f>"078685197X"</f>
        <v>078685197X</v>
      </c>
      <c r="G1761" s="1" t="str">
        <f>"9780786851973"</f>
        <v>9780786851973</v>
      </c>
      <c r="H1761" s="1">
        <v>3.0</v>
      </c>
      <c r="I1761" s="1">
        <v>4.08</v>
      </c>
      <c r="J1761" s="1" t="s">
        <v>7774</v>
      </c>
      <c r="K1761" s="1" t="s">
        <v>44</v>
      </c>
      <c r="L1761" s="1">
        <v>444.0</v>
      </c>
      <c r="M1761" s="1">
        <v>2007.0</v>
      </c>
      <c r="N1761" s="1">
        <v>2006.0</v>
      </c>
      <c r="O1761" s="2">
        <v>41026.0</v>
      </c>
      <c r="P1761" s="3">
        <v>40894.0</v>
      </c>
      <c r="Q1761" s="1" t="s">
        <v>594</v>
      </c>
      <c r="R1761" s="1" t="s">
        <v>7775</v>
      </c>
      <c r="S1761" s="1" t="s">
        <v>271</v>
      </c>
      <c r="W1761" s="1">
        <v>1.0</v>
      </c>
      <c r="X1761" s="1">
        <v>1.0</v>
      </c>
    </row>
    <row r="1762" spans="1:24" ht="15.75" customHeight="1">
      <c r="A1762" s="1">
        <v>2.5622258E7</v>
      </c>
      <c r="B1762" s="1" t="s">
        <v>7776</v>
      </c>
      <c r="C1762" s="1" t="s">
        <v>7777</v>
      </c>
      <c r="D1762" s="1" t="s">
        <v>7778</v>
      </c>
      <c r="F1762" s="1" t="str">
        <f>"0393351718"</f>
        <v>0393351718</v>
      </c>
      <c r="G1762" s="1" t="str">
        <f>"9780393351712"</f>
        <v>9780393351712</v>
      </c>
      <c r="H1762" s="1">
        <v>0.0</v>
      </c>
      <c r="I1762" s="1">
        <v>3.68</v>
      </c>
      <c r="J1762" s="1" t="s">
        <v>248</v>
      </c>
      <c r="K1762" s="1" t="s">
        <v>44</v>
      </c>
      <c r="L1762" s="1">
        <v>530.0</v>
      </c>
      <c r="M1762" s="1">
        <v>2015.0</v>
      </c>
      <c r="N1762" s="1">
        <v>2014.0</v>
      </c>
      <c r="P1762" s="3">
        <v>42362.0</v>
      </c>
      <c r="Q1762" s="1" t="s">
        <v>818</v>
      </c>
      <c r="R1762" s="1" t="s">
        <v>7779</v>
      </c>
      <c r="S1762" s="1" t="s">
        <v>32</v>
      </c>
      <c r="W1762" s="1">
        <v>1.0</v>
      </c>
      <c r="X1762" s="1">
        <v>1.0</v>
      </c>
    </row>
    <row r="1763" spans="1:24" ht="15.75" customHeight="1">
      <c r="A1763" s="1">
        <v>7817557.0</v>
      </c>
      <c r="B1763" s="1" t="s">
        <v>7780</v>
      </c>
      <c r="C1763" s="1" t="s">
        <v>7781</v>
      </c>
      <c r="D1763" s="1" t="s">
        <v>7782</v>
      </c>
      <c r="F1763" s="1" t="str">
        <f>"0691140979"</f>
        <v>0691140979</v>
      </c>
      <c r="G1763" s="1" t="str">
        <f>"9780691140971"</f>
        <v>9780691140971</v>
      </c>
      <c r="H1763" s="1">
        <v>0.0</v>
      </c>
      <c r="I1763" s="1">
        <v>3.74</v>
      </c>
      <c r="J1763" s="1" t="s">
        <v>1011</v>
      </c>
      <c r="K1763" s="1" t="s">
        <v>44</v>
      </c>
      <c r="L1763" s="1">
        <v>320.0</v>
      </c>
      <c r="M1763" s="1">
        <v>2009.0</v>
      </c>
      <c r="N1763" s="1">
        <v>2006.0</v>
      </c>
      <c r="P1763" s="2">
        <v>42767.0</v>
      </c>
      <c r="Q1763" s="1" t="s">
        <v>32</v>
      </c>
      <c r="R1763" s="1" t="s">
        <v>7783</v>
      </c>
      <c r="S1763" s="1" t="s">
        <v>32</v>
      </c>
      <c r="W1763" s="1">
        <v>0.0</v>
      </c>
      <c r="X1763" s="1">
        <v>0.0</v>
      </c>
    </row>
    <row r="1764" spans="1:24" ht="15.75" customHeight="1">
      <c r="A1764" s="1">
        <v>79678.0</v>
      </c>
      <c r="B1764" s="1" t="s">
        <v>7784</v>
      </c>
      <c r="C1764" s="1" t="s">
        <v>7785</v>
      </c>
      <c r="D1764" s="1" t="s">
        <v>7786</v>
      </c>
      <c r="F1764" s="1" t="str">
        <f>"0679745408"</f>
        <v>0679745408</v>
      </c>
      <c r="G1764" s="1" t="str">
        <f>"9780679745402"</f>
        <v>9780679745402</v>
      </c>
      <c r="H1764" s="1">
        <v>0.0</v>
      </c>
      <c r="I1764" s="1">
        <v>3.94</v>
      </c>
      <c r="J1764" s="1" t="s">
        <v>69</v>
      </c>
      <c r="K1764" s="1" t="s">
        <v>44</v>
      </c>
      <c r="L1764" s="1">
        <v>222.0</v>
      </c>
      <c r="M1764" s="1">
        <v>1993.0</v>
      </c>
      <c r="N1764" s="1">
        <v>1992.0</v>
      </c>
      <c r="P1764" s="2">
        <v>45123.0</v>
      </c>
      <c r="Q1764" s="1" t="s">
        <v>32</v>
      </c>
      <c r="R1764" s="1" t="s">
        <v>7787</v>
      </c>
      <c r="S1764" s="1" t="s">
        <v>32</v>
      </c>
      <c r="W1764" s="1">
        <v>0.0</v>
      </c>
      <c r="X1764" s="1">
        <v>0.0</v>
      </c>
    </row>
    <row r="1765" spans="1:24" ht="15.75" customHeight="1">
      <c r="A1765" s="1">
        <v>383022.0</v>
      </c>
      <c r="B1765" s="1" t="s">
        <v>7788</v>
      </c>
      <c r="C1765" s="1" t="s">
        <v>7789</v>
      </c>
      <c r="D1765" s="1" t="s">
        <v>7790</v>
      </c>
      <c r="E1765" s="1" t="s">
        <v>7791</v>
      </c>
      <c r="F1765" s="1" t="str">
        <f>"1583220089"</f>
        <v>1583220089</v>
      </c>
      <c r="G1765" s="1" t="str">
        <f>"9781583220085"</f>
        <v>9781583220085</v>
      </c>
      <c r="H1765" s="1">
        <v>0.0</v>
      </c>
      <c r="I1765" s="1">
        <v>3.87</v>
      </c>
      <c r="J1765" s="1" t="s">
        <v>926</v>
      </c>
      <c r="K1765" s="1" t="s">
        <v>44</v>
      </c>
      <c r="L1765" s="1">
        <v>464.0</v>
      </c>
      <c r="M1765" s="1">
        <v>1999.0</v>
      </c>
      <c r="N1765" s="1">
        <v>1949.0</v>
      </c>
      <c r="P1765" s="2">
        <v>41035.0</v>
      </c>
      <c r="Q1765" s="1" t="s">
        <v>502</v>
      </c>
      <c r="R1765" s="1" t="s">
        <v>7792</v>
      </c>
      <c r="S1765" s="1" t="s">
        <v>32</v>
      </c>
      <c r="W1765" s="1">
        <v>0.0</v>
      </c>
      <c r="X1765" s="1">
        <v>0.0</v>
      </c>
    </row>
    <row r="1766" spans="1:24" ht="15.75" customHeight="1">
      <c r="A1766" s="1">
        <v>4.1740434E7</v>
      </c>
      <c r="B1766" s="1" t="s">
        <v>7793</v>
      </c>
      <c r="C1766" s="1" t="s">
        <v>7794</v>
      </c>
      <c r="D1766" s="1" t="s">
        <v>7795</v>
      </c>
      <c r="F1766" s="1" t="str">
        <f>"0316875511"</f>
        <v>0316875511</v>
      </c>
      <c r="G1766" s="1" t="str">
        <f>"9780316875516"</f>
        <v>9780316875516</v>
      </c>
      <c r="H1766" s="1">
        <v>0.0</v>
      </c>
      <c r="I1766" s="1">
        <v>4.35</v>
      </c>
      <c r="J1766" s="1" t="s">
        <v>7796</v>
      </c>
      <c r="K1766" s="1" t="s">
        <v>37</v>
      </c>
      <c r="L1766" s="1">
        <v>448.0</v>
      </c>
      <c r="M1766" s="1">
        <v>1994.0</v>
      </c>
      <c r="N1766" s="1">
        <v>1994.0</v>
      </c>
      <c r="P1766" s="3">
        <v>45274.0</v>
      </c>
      <c r="Q1766" s="1" t="s">
        <v>479</v>
      </c>
      <c r="R1766" s="1" t="s">
        <v>7797</v>
      </c>
      <c r="S1766" s="1" t="s">
        <v>32</v>
      </c>
      <c r="W1766" s="1">
        <v>0.0</v>
      </c>
      <c r="X1766" s="1">
        <v>0.0</v>
      </c>
    </row>
    <row r="1767" spans="1:24" ht="15.75" customHeight="1">
      <c r="A1767" s="1">
        <v>2714607.0</v>
      </c>
      <c r="B1767" s="1" t="s">
        <v>7798</v>
      </c>
      <c r="C1767" s="1" t="s">
        <v>7799</v>
      </c>
      <c r="D1767" s="1" t="s">
        <v>7800</v>
      </c>
      <c r="F1767" s="1" t="str">
        <f>"1594201927"</f>
        <v>1594201927</v>
      </c>
      <c r="G1767" s="1" t="str">
        <f>"9781594201929"</f>
        <v>9781594201929</v>
      </c>
      <c r="H1767" s="1">
        <v>0.0</v>
      </c>
      <c r="I1767" s="1">
        <v>3.9</v>
      </c>
      <c r="J1767" s="1" t="s">
        <v>54</v>
      </c>
      <c r="K1767" s="1" t="s">
        <v>37</v>
      </c>
      <c r="L1767" s="1">
        <v>442.0</v>
      </c>
      <c r="M1767" s="1">
        <v>2008.0</v>
      </c>
      <c r="N1767" s="1">
        <v>2007.0</v>
      </c>
      <c r="P1767" s="2">
        <v>45143.0</v>
      </c>
      <c r="Q1767" s="1" t="s">
        <v>32</v>
      </c>
      <c r="R1767" s="1" t="s">
        <v>7801</v>
      </c>
      <c r="S1767" s="1" t="s">
        <v>32</v>
      </c>
      <c r="W1767" s="1">
        <v>0.0</v>
      </c>
      <c r="X1767" s="1">
        <v>0.0</v>
      </c>
    </row>
    <row r="1768" spans="1:24" ht="15.75" customHeight="1">
      <c r="A1768" s="1">
        <v>657371.0</v>
      </c>
      <c r="B1768" s="1" t="s">
        <v>7802</v>
      </c>
      <c r="C1768" s="1" t="s">
        <v>7803</v>
      </c>
      <c r="D1768" s="1" t="s">
        <v>7804</v>
      </c>
      <c r="F1768" s="1" t="str">
        <f>"1416913629"</f>
        <v>1416913629</v>
      </c>
      <c r="G1768" s="1" t="str">
        <f>"9781416913627"</f>
        <v>9781416913627</v>
      </c>
      <c r="H1768" s="1">
        <v>0.0</v>
      </c>
      <c r="I1768" s="1">
        <v>3.97</v>
      </c>
      <c r="J1768" s="1" t="s">
        <v>7805</v>
      </c>
      <c r="K1768" s="1" t="s">
        <v>37</v>
      </c>
      <c r="L1768" s="1">
        <v>336.0</v>
      </c>
      <c r="M1768" s="1">
        <v>2008.0</v>
      </c>
      <c r="N1768" s="1">
        <v>2008.0</v>
      </c>
      <c r="P1768" s="2">
        <v>41035.0</v>
      </c>
      <c r="Q1768" s="1" t="s">
        <v>109</v>
      </c>
      <c r="R1768" s="1" t="s">
        <v>7806</v>
      </c>
      <c r="S1768" s="1" t="s">
        <v>32</v>
      </c>
      <c r="W1768" s="1">
        <v>0.0</v>
      </c>
      <c r="X1768" s="1">
        <v>0.0</v>
      </c>
    </row>
    <row r="1769" spans="1:24" ht="15.75" customHeight="1">
      <c r="A1769" s="1">
        <v>393134.0</v>
      </c>
      <c r="B1769" s="1" t="s">
        <v>7807</v>
      </c>
      <c r="C1769" s="1" t="s">
        <v>7808</v>
      </c>
      <c r="D1769" s="1" t="s">
        <v>7809</v>
      </c>
      <c r="E1769" s="1" t="s">
        <v>7810</v>
      </c>
      <c r="F1769" s="1" t="str">
        <f>"0140449159"</f>
        <v>0140449159</v>
      </c>
      <c r="G1769" s="1" t="str">
        <f>"9780140449150"</f>
        <v>9780140449150</v>
      </c>
      <c r="H1769" s="1">
        <v>0.0</v>
      </c>
      <c r="I1769" s="1">
        <v>3.84</v>
      </c>
      <c r="J1769" s="1" t="s">
        <v>1023</v>
      </c>
      <c r="K1769" s="1" t="s">
        <v>44</v>
      </c>
      <c r="L1769" s="1">
        <v>106.0</v>
      </c>
      <c r="M1769" s="1">
        <v>2003.0</v>
      </c>
      <c r="N1769" s="1">
        <v>1513.0</v>
      </c>
      <c r="P1769" s="2">
        <v>45129.0</v>
      </c>
      <c r="Q1769" s="1" t="s">
        <v>7811</v>
      </c>
      <c r="R1769" s="1" t="s">
        <v>7812</v>
      </c>
      <c r="S1769" s="1" t="s">
        <v>32</v>
      </c>
      <c r="W1769" s="1">
        <v>0.0</v>
      </c>
      <c r="X1769" s="1">
        <v>1.0</v>
      </c>
    </row>
    <row r="1770" spans="1:24" ht="15.75" customHeight="1">
      <c r="A1770" s="1">
        <v>802950.0</v>
      </c>
      <c r="B1770" s="1" t="s">
        <v>7813</v>
      </c>
      <c r="C1770" s="1" t="s">
        <v>7814</v>
      </c>
      <c r="D1770" s="1" t="s">
        <v>7815</v>
      </c>
      <c r="F1770" s="1" t="str">
        <f>"0312302371"</f>
        <v>0312302371</v>
      </c>
      <c r="G1770" s="1" t="str">
        <f>"9780312302375"</f>
        <v>9780312302375</v>
      </c>
      <c r="H1770" s="1">
        <v>0.0</v>
      </c>
      <c r="I1770" s="1">
        <v>3.93</v>
      </c>
      <c r="J1770" s="1" t="s">
        <v>7816</v>
      </c>
      <c r="K1770" s="1" t="s">
        <v>37</v>
      </c>
      <c r="L1770" s="1">
        <v>480.0</v>
      </c>
      <c r="M1770" s="1">
        <v>2003.0</v>
      </c>
      <c r="N1770" s="1">
        <v>2002.0</v>
      </c>
      <c r="P1770" s="2">
        <v>45113.0</v>
      </c>
      <c r="Q1770" s="1" t="s">
        <v>788</v>
      </c>
      <c r="R1770" s="1" t="s">
        <v>7817</v>
      </c>
      <c r="S1770" s="1" t="s">
        <v>32</v>
      </c>
      <c r="W1770" s="1">
        <v>0.0</v>
      </c>
      <c r="X1770" s="1">
        <v>1.0</v>
      </c>
    </row>
    <row r="1771" spans="1:24" ht="15.75" customHeight="1">
      <c r="A1771" s="1">
        <v>791098.0</v>
      </c>
      <c r="B1771" s="1" t="s">
        <v>7818</v>
      </c>
      <c r="C1771" s="1" t="s">
        <v>7819</v>
      </c>
      <c r="D1771" s="1" t="s">
        <v>7820</v>
      </c>
      <c r="F1771" s="1" t="str">
        <f>"0805061762"</f>
        <v>0805061762</v>
      </c>
      <c r="G1771" s="1" t="str">
        <f>"9780805061765"</f>
        <v>9780805061765</v>
      </c>
      <c r="H1771" s="1">
        <v>0.0</v>
      </c>
      <c r="I1771" s="1">
        <v>4.04</v>
      </c>
      <c r="J1771" s="1" t="s">
        <v>7821</v>
      </c>
      <c r="K1771" s="1" t="s">
        <v>44</v>
      </c>
      <c r="L1771" s="1">
        <v>638.0</v>
      </c>
      <c r="M1771" s="1">
        <v>1999.0</v>
      </c>
      <c r="N1771" s="1">
        <v>1995.0</v>
      </c>
      <c r="P1771" s="2">
        <v>45126.0</v>
      </c>
      <c r="Q1771" s="1" t="s">
        <v>32</v>
      </c>
      <c r="R1771" s="1" t="s">
        <v>7822</v>
      </c>
      <c r="S1771" s="1" t="s">
        <v>32</v>
      </c>
      <c r="W1771" s="1">
        <v>0.0</v>
      </c>
      <c r="X1771" s="1">
        <v>0.0</v>
      </c>
    </row>
    <row r="1772" spans="1:24" ht="15.75" customHeight="1">
      <c r="A1772" s="1">
        <v>9778945.0</v>
      </c>
      <c r="B1772" s="1" t="s">
        <v>7823</v>
      </c>
      <c r="C1772" s="1" t="s">
        <v>7824</v>
      </c>
      <c r="D1772" s="1" t="s">
        <v>7825</v>
      </c>
      <c r="F1772" s="1" t="str">
        <f>"0393339750"</f>
        <v>0393339750</v>
      </c>
      <c r="G1772" s="1" t="str">
        <f>"9780393339758"</f>
        <v>9780393339758</v>
      </c>
      <c r="H1772" s="1">
        <v>0.0</v>
      </c>
      <c r="I1772" s="1">
        <v>3.89</v>
      </c>
      <c r="J1772" s="1" t="s">
        <v>248</v>
      </c>
      <c r="K1772" s="1" t="s">
        <v>44</v>
      </c>
      <c r="L1772" s="1">
        <v>280.0</v>
      </c>
      <c r="M1772" s="1">
        <v>2011.0</v>
      </c>
      <c r="N1772" s="1">
        <v>2010.0</v>
      </c>
      <c r="P1772" s="2">
        <v>45165.0</v>
      </c>
      <c r="Q1772" s="1" t="s">
        <v>32</v>
      </c>
      <c r="R1772" s="1" t="s">
        <v>7826</v>
      </c>
      <c r="S1772" s="1" t="s">
        <v>32</v>
      </c>
      <c r="W1772" s="1">
        <v>0.0</v>
      </c>
      <c r="X1772" s="1">
        <v>0.0</v>
      </c>
    </row>
    <row r="1773" spans="1:24" ht="15.75" customHeight="1">
      <c r="A1773" s="1">
        <v>3.1017613E7</v>
      </c>
      <c r="B1773" s="1" t="s">
        <v>7827</v>
      </c>
      <c r="C1773" s="1" t="s">
        <v>7828</v>
      </c>
      <c r="D1773" s="1" t="s">
        <v>7829</v>
      </c>
      <c r="F1773" s="1" t="str">
        <f>"1782797483"</f>
        <v>1782797483</v>
      </c>
      <c r="G1773" s="1" t="str">
        <f>"9781782797487"</f>
        <v>9781782797487</v>
      </c>
      <c r="H1773" s="1">
        <v>0.0</v>
      </c>
      <c r="I1773" s="1">
        <v>3.44</v>
      </c>
      <c r="J1773" s="1" t="s">
        <v>777</v>
      </c>
      <c r="K1773" s="1" t="s">
        <v>44</v>
      </c>
      <c r="L1773" s="1">
        <v>120.0</v>
      </c>
      <c r="M1773" s="1">
        <v>2016.0</v>
      </c>
      <c r="N1773" s="1">
        <v>2016.0</v>
      </c>
      <c r="P1773" s="2">
        <v>43101.0</v>
      </c>
      <c r="Q1773" s="1" t="s">
        <v>32</v>
      </c>
      <c r="R1773" s="1" t="s">
        <v>7830</v>
      </c>
      <c r="S1773" s="1" t="s">
        <v>32</v>
      </c>
      <c r="W1773" s="1">
        <v>0.0</v>
      </c>
      <c r="X1773" s="1">
        <v>0.0</v>
      </c>
    </row>
    <row r="1774" spans="1:24" ht="15.75" customHeight="1">
      <c r="A1774" s="1">
        <v>20657.0</v>
      </c>
      <c r="B1774" s="1" t="s">
        <v>7831</v>
      </c>
      <c r="C1774" s="1" t="s">
        <v>7832</v>
      </c>
      <c r="D1774" s="1" t="s">
        <v>7833</v>
      </c>
      <c r="F1774" s="1" t="str">
        <f>"1555973035"</f>
        <v>1555973035</v>
      </c>
      <c r="G1774" s="1" t="str">
        <f>"9781555973032"</f>
        <v>9781555973032</v>
      </c>
      <c r="H1774" s="1">
        <v>0.0</v>
      </c>
      <c r="I1774" s="1">
        <v>4.15</v>
      </c>
      <c r="J1774" s="1" t="s">
        <v>337</v>
      </c>
      <c r="K1774" s="1" t="s">
        <v>44</v>
      </c>
      <c r="L1774" s="1">
        <v>85.0</v>
      </c>
      <c r="M1774" s="1">
        <v>2000.0</v>
      </c>
      <c r="N1774" s="1">
        <v>2000.0</v>
      </c>
      <c r="P1774" s="3">
        <v>41627.0</v>
      </c>
      <c r="Q1774" s="1" t="s">
        <v>32</v>
      </c>
      <c r="R1774" s="1" t="s">
        <v>7834</v>
      </c>
      <c r="S1774" s="1" t="s">
        <v>32</v>
      </c>
      <c r="W1774" s="1">
        <v>0.0</v>
      </c>
      <c r="X1774" s="1">
        <v>0.0</v>
      </c>
    </row>
    <row r="1775" spans="1:24" ht="15.75" customHeight="1">
      <c r="A1775" s="1">
        <v>2.5387807E7</v>
      </c>
      <c r="B1775" s="1" t="s">
        <v>7835</v>
      </c>
      <c r="C1775" s="1" t="s">
        <v>7836</v>
      </c>
      <c r="D1775" s="1" t="s">
        <v>7837</v>
      </c>
      <c r="E1775" s="1" t="s">
        <v>7838</v>
      </c>
      <c r="F1775" s="1" t="str">
        <f>"1784780960"</f>
        <v>1784780960</v>
      </c>
      <c r="G1775" s="1" t="str">
        <f>"9781784780968"</f>
        <v>9781784780968</v>
      </c>
      <c r="H1775" s="1">
        <v>0.0</v>
      </c>
      <c r="I1775" s="1">
        <v>3.98</v>
      </c>
      <c r="J1775" s="1" t="s">
        <v>367</v>
      </c>
      <c r="K1775" s="1" t="s">
        <v>44</v>
      </c>
      <c r="L1775" s="1">
        <v>245.0</v>
      </c>
      <c r="M1775" s="1">
        <v>2015.0</v>
      </c>
      <c r="N1775" s="1">
        <v>2015.0</v>
      </c>
      <c r="P1775" s="2">
        <v>43922.0</v>
      </c>
      <c r="Q1775" s="1" t="s">
        <v>32</v>
      </c>
      <c r="R1775" s="1" t="s">
        <v>7839</v>
      </c>
      <c r="S1775" s="1" t="s">
        <v>32</v>
      </c>
      <c r="W1775" s="1">
        <v>0.0</v>
      </c>
      <c r="X1775" s="1">
        <v>0.0</v>
      </c>
    </row>
    <row r="1776" spans="1:24" ht="15.75" customHeight="1">
      <c r="A1776" s="1">
        <v>4.0139532E7</v>
      </c>
      <c r="B1776" s="1" t="s">
        <v>7840</v>
      </c>
      <c r="C1776" s="1" t="s">
        <v>7841</v>
      </c>
      <c r="D1776" s="1" t="s">
        <v>7842</v>
      </c>
      <c r="E1776" s="1" t="s">
        <v>7843</v>
      </c>
      <c r="F1776" s="1" t="str">
        <f>"031652428X"</f>
        <v>031652428X</v>
      </c>
      <c r="G1776" s="1" t="str">
        <f>"9780316524285"</f>
        <v>9780316524285</v>
      </c>
      <c r="H1776" s="1">
        <v>0.0</v>
      </c>
      <c r="I1776" s="1">
        <v>4.26</v>
      </c>
      <c r="J1776" s="1" t="s">
        <v>1963</v>
      </c>
      <c r="K1776" s="1" t="s">
        <v>37</v>
      </c>
      <c r="L1776" s="1">
        <v>336.0</v>
      </c>
      <c r="M1776" s="1">
        <v>2019.0</v>
      </c>
      <c r="N1776" s="1">
        <v>2019.0</v>
      </c>
      <c r="P1776" s="2">
        <v>43919.0</v>
      </c>
      <c r="Q1776" s="1" t="s">
        <v>32</v>
      </c>
      <c r="R1776" s="1" t="s">
        <v>7844</v>
      </c>
      <c r="S1776" s="1" t="s">
        <v>32</v>
      </c>
      <c r="W1776" s="1">
        <v>0.0</v>
      </c>
      <c r="X1776" s="1">
        <v>0.0</v>
      </c>
    </row>
    <row r="1777" spans="1:24" ht="15.75" customHeight="1">
      <c r="A1777" s="1">
        <v>1.20863898E8</v>
      </c>
      <c r="B1777" s="1" t="s">
        <v>7845</v>
      </c>
      <c r="C1777" s="1" t="s">
        <v>7846</v>
      </c>
      <c r="D1777" s="1" t="s">
        <v>7847</v>
      </c>
      <c r="F1777" s="1" t="str">
        <f>"1509556133"</f>
        <v>1509556133</v>
      </c>
      <c r="G1777" s="1" t="str">
        <f>"9781509556137"</f>
        <v>9781509556137</v>
      </c>
      <c r="H1777" s="1">
        <v>0.0</v>
      </c>
      <c r="I1777" s="1">
        <v>3.71</v>
      </c>
      <c r="J1777" s="1" t="s">
        <v>4287</v>
      </c>
      <c r="K1777" s="1" t="s">
        <v>44</v>
      </c>
      <c r="L1777" s="1">
        <v>176.0</v>
      </c>
      <c r="M1777" s="1">
        <v>2023.0</v>
      </c>
      <c r="N1777" s="1">
        <v>2023.0</v>
      </c>
      <c r="P1777" s="2">
        <v>45173.0</v>
      </c>
      <c r="Q1777" s="1" t="s">
        <v>32</v>
      </c>
      <c r="R1777" s="1" t="s">
        <v>7848</v>
      </c>
      <c r="S1777" s="1" t="s">
        <v>32</v>
      </c>
      <c r="W1777" s="1">
        <v>0.0</v>
      </c>
      <c r="X1777" s="1">
        <v>0.0</v>
      </c>
    </row>
    <row r="1778" spans="1:24" ht="15.75" customHeight="1">
      <c r="A1778" s="1">
        <v>479570.0</v>
      </c>
      <c r="B1778" s="1" t="s">
        <v>7849</v>
      </c>
      <c r="C1778" s="1" t="s">
        <v>7850</v>
      </c>
      <c r="D1778" s="1" t="s">
        <v>7851</v>
      </c>
      <c r="F1778" s="1" t="str">
        <f>"1840680245"</f>
        <v>1840680245</v>
      </c>
      <c r="G1778" s="1" t="str">
        <f>"9781840680249"</f>
        <v>9781840680249</v>
      </c>
      <c r="H1778" s="1">
        <v>0.0</v>
      </c>
      <c r="I1778" s="1">
        <v>4.33</v>
      </c>
      <c r="J1778" s="1" t="s">
        <v>7852</v>
      </c>
      <c r="K1778" s="1" t="s">
        <v>44</v>
      </c>
      <c r="L1778" s="1">
        <v>288.0</v>
      </c>
      <c r="M1778" s="1">
        <v>2001.0</v>
      </c>
      <c r="N1778" s="1">
        <v>2001.0</v>
      </c>
      <c r="P1778" s="2">
        <v>45070.0</v>
      </c>
      <c r="Q1778" s="1" t="s">
        <v>935</v>
      </c>
      <c r="R1778" s="1" t="s">
        <v>7853</v>
      </c>
      <c r="S1778" s="1" t="s">
        <v>32</v>
      </c>
      <c r="W1778" s="1">
        <v>0.0</v>
      </c>
      <c r="X1778" s="1">
        <v>0.0</v>
      </c>
    </row>
    <row r="1779" spans="1:24" ht="15.75" customHeight="1">
      <c r="A1779" s="1">
        <v>325260.0</v>
      </c>
      <c r="B1779" s="1" t="s">
        <v>7854</v>
      </c>
      <c r="C1779" s="1" t="s">
        <v>7850</v>
      </c>
      <c r="D1779" s="1" t="s">
        <v>7851</v>
      </c>
      <c r="F1779" s="1" t="str">
        <f>"1840680431"</f>
        <v>1840680431</v>
      </c>
      <c r="G1779" s="1" t="str">
        <f>"9781840680430"</f>
        <v>9781840680430</v>
      </c>
      <c r="H1779" s="1">
        <v>0.0</v>
      </c>
      <c r="I1779" s="1">
        <v>4.14</v>
      </c>
      <c r="J1779" s="1" t="s">
        <v>7852</v>
      </c>
      <c r="K1779" s="1" t="s">
        <v>44</v>
      </c>
      <c r="L1779" s="1">
        <v>256.0</v>
      </c>
      <c r="M1779" s="1">
        <v>2001.0</v>
      </c>
      <c r="N1779" s="1">
        <v>2001.0</v>
      </c>
      <c r="P1779" s="2">
        <v>43961.0</v>
      </c>
      <c r="Q1779" s="1" t="s">
        <v>32</v>
      </c>
      <c r="R1779" s="1" t="s">
        <v>7855</v>
      </c>
      <c r="S1779" s="1" t="s">
        <v>32</v>
      </c>
      <c r="W1779" s="1">
        <v>0.0</v>
      </c>
      <c r="X1779" s="1">
        <v>0.0</v>
      </c>
    </row>
    <row r="1780" spans="1:24" ht="15.75" customHeight="1">
      <c r="A1780" s="1">
        <v>8737.0</v>
      </c>
      <c r="B1780" s="1" t="s">
        <v>7856</v>
      </c>
      <c r="C1780" s="1" t="s">
        <v>7857</v>
      </c>
      <c r="D1780" s="1" t="s">
        <v>7858</v>
      </c>
      <c r="E1780" s="1" t="s">
        <v>7859</v>
      </c>
      <c r="F1780" s="1" t="str">
        <f>"068485256X"</f>
        <v>068485256X</v>
      </c>
      <c r="G1780" s="1" t="str">
        <f>"9780684852560"</f>
        <v>9780684852560</v>
      </c>
      <c r="H1780" s="1">
        <v>0.0</v>
      </c>
      <c r="I1780" s="1">
        <v>4.18</v>
      </c>
      <c r="J1780" s="1" t="s">
        <v>622</v>
      </c>
      <c r="K1780" s="1" t="s">
        <v>44</v>
      </c>
      <c r="L1780" s="1">
        <v>506.0</v>
      </c>
      <c r="M1780" s="1">
        <v>1998.0</v>
      </c>
      <c r="N1780" s="1">
        <v>1955.0</v>
      </c>
      <c r="P1780" s="2">
        <v>45151.0</v>
      </c>
      <c r="Q1780" s="1" t="s">
        <v>7860</v>
      </c>
      <c r="R1780" s="1" t="s">
        <v>7861</v>
      </c>
      <c r="S1780" s="1" t="s">
        <v>32</v>
      </c>
      <c r="W1780" s="1">
        <v>0.0</v>
      </c>
      <c r="X1780" s="1">
        <v>0.0</v>
      </c>
    </row>
    <row r="1781" spans="1:24" ht="15.75" customHeight="1">
      <c r="A1781" s="1">
        <v>53639.0</v>
      </c>
      <c r="B1781" s="1" t="s">
        <v>7862</v>
      </c>
      <c r="C1781" s="1" t="s">
        <v>7857</v>
      </c>
      <c r="D1781" s="1" t="s">
        <v>7858</v>
      </c>
      <c r="F1781" s="1" t="str">
        <f>"0571203132"</f>
        <v>0571203132</v>
      </c>
      <c r="G1781" s="1" t="str">
        <f>"9780571203130"</f>
        <v>9780571203130</v>
      </c>
      <c r="H1781" s="1">
        <v>0.0</v>
      </c>
      <c r="I1781" s="1">
        <v>4.05</v>
      </c>
      <c r="J1781" s="1" t="s">
        <v>7863</v>
      </c>
      <c r="K1781" s="1" t="s">
        <v>44</v>
      </c>
      <c r="L1781" s="1">
        <v>335.0</v>
      </c>
      <c r="M1781" s="1">
        <v>2001.0</v>
      </c>
      <c r="N1781" s="1">
        <v>1946.0</v>
      </c>
      <c r="P1781" s="3">
        <v>44480.0</v>
      </c>
      <c r="Q1781" s="1" t="s">
        <v>32</v>
      </c>
      <c r="R1781" s="1" t="s">
        <v>7864</v>
      </c>
      <c r="S1781" s="1" t="s">
        <v>32</v>
      </c>
      <c r="W1781" s="1">
        <v>0.0</v>
      </c>
      <c r="X1781" s="1">
        <v>0.0</v>
      </c>
    </row>
    <row r="1782" spans="1:24" ht="15.75" customHeight="1">
      <c r="A1782" s="1">
        <v>5.1929799E7</v>
      </c>
      <c r="B1782" s="1" t="s">
        <v>7865</v>
      </c>
      <c r="C1782" s="1" t="s">
        <v>7866</v>
      </c>
      <c r="D1782" s="1" t="s">
        <v>7867</v>
      </c>
      <c r="E1782" s="1" t="s">
        <v>7868</v>
      </c>
      <c r="F1782" s="1" t="str">
        <f>"0525575456"</f>
        <v>0525575456</v>
      </c>
      <c r="G1782" s="1" t="str">
        <f>"9780525575450"</f>
        <v>9780525575450</v>
      </c>
      <c r="H1782" s="1">
        <v>0.0</v>
      </c>
      <c r="I1782" s="1">
        <v>4.21</v>
      </c>
      <c r="J1782" s="1" t="s">
        <v>7869</v>
      </c>
      <c r="K1782" s="1" t="s">
        <v>29</v>
      </c>
      <c r="L1782" s="1">
        <v>256.0</v>
      </c>
      <c r="M1782" s="1">
        <v>2019.0</v>
      </c>
      <c r="N1782" s="1">
        <v>2019.0</v>
      </c>
      <c r="P1782" s="2">
        <v>45180.0</v>
      </c>
      <c r="Q1782" s="1" t="s">
        <v>32</v>
      </c>
      <c r="R1782" s="1" t="s">
        <v>7870</v>
      </c>
      <c r="S1782" s="1" t="s">
        <v>32</v>
      </c>
      <c r="W1782" s="1">
        <v>0.0</v>
      </c>
      <c r="X1782" s="1">
        <v>0.0</v>
      </c>
    </row>
    <row r="1783" spans="1:24" ht="15.75" customHeight="1">
      <c r="A1783" s="1">
        <v>232311.0</v>
      </c>
      <c r="B1783" s="1" t="s">
        <v>7871</v>
      </c>
      <c r="C1783" s="1" t="s">
        <v>7872</v>
      </c>
      <c r="D1783" s="1" t="s">
        <v>7873</v>
      </c>
      <c r="F1783" s="1" t="str">
        <f>"0393329801"</f>
        <v>0393329801</v>
      </c>
      <c r="G1783" s="1" t="str">
        <f>"9780393329803"</f>
        <v>9780393329803</v>
      </c>
      <c r="H1783" s="1">
        <v>0.0</v>
      </c>
      <c r="I1783" s="1">
        <v>4.2</v>
      </c>
      <c r="J1783" s="1" t="s">
        <v>248</v>
      </c>
      <c r="K1783" s="1" t="s">
        <v>44</v>
      </c>
      <c r="L1783" s="1">
        <v>206.0</v>
      </c>
      <c r="M1783" s="1">
        <v>2007.0</v>
      </c>
      <c r="N1783" s="1">
        <v>2005.0</v>
      </c>
      <c r="P1783" s="3">
        <v>44128.0</v>
      </c>
      <c r="Q1783" s="1" t="s">
        <v>32</v>
      </c>
      <c r="R1783" s="1" t="s">
        <v>7874</v>
      </c>
      <c r="S1783" s="1" t="s">
        <v>32</v>
      </c>
      <c r="W1783" s="1">
        <v>0.0</v>
      </c>
      <c r="X1783" s="1">
        <v>0.0</v>
      </c>
    </row>
    <row r="1784" spans="1:24" ht="15.75" customHeight="1">
      <c r="A1784" s="1">
        <v>2.3129811E7</v>
      </c>
      <c r="B1784" s="1" t="s">
        <v>7875</v>
      </c>
      <c r="C1784" s="1" t="s">
        <v>7876</v>
      </c>
      <c r="D1784" s="1" t="s">
        <v>7877</v>
      </c>
      <c r="E1784" s="1" t="s">
        <v>7878</v>
      </c>
      <c r="F1784" s="1" t="str">
        <f>"1608464709"</f>
        <v>1608464709</v>
      </c>
      <c r="G1784" s="1" t="str">
        <f>"9781608464708"</f>
        <v>9781608464708</v>
      </c>
      <c r="H1784" s="1">
        <v>0.0</v>
      </c>
      <c r="I1784" s="1">
        <v>4.23</v>
      </c>
      <c r="J1784" s="1" t="s">
        <v>792</v>
      </c>
      <c r="K1784" s="1" t="s">
        <v>44</v>
      </c>
      <c r="L1784" s="1">
        <v>220.0</v>
      </c>
      <c r="M1784" s="1">
        <v>2015.0</v>
      </c>
      <c r="N1784" s="1">
        <v>2015.0</v>
      </c>
      <c r="O1784" s="3">
        <v>45254.0</v>
      </c>
      <c r="P1784" s="3">
        <v>45246.0</v>
      </c>
      <c r="Q1784" s="1" t="s">
        <v>4838</v>
      </c>
      <c r="R1784" s="1" t="s">
        <v>7879</v>
      </c>
      <c r="S1784" s="1" t="s">
        <v>271</v>
      </c>
      <c r="W1784" s="1">
        <v>1.0</v>
      </c>
      <c r="X1784" s="1">
        <v>0.0</v>
      </c>
    </row>
    <row r="1785" spans="1:24" ht="15.75" customHeight="1">
      <c r="A1785" s="1">
        <v>8491860.0</v>
      </c>
      <c r="B1785" s="1" t="s">
        <v>7880</v>
      </c>
      <c r="C1785" s="1" t="s">
        <v>7876</v>
      </c>
      <c r="D1785" s="1" t="s">
        <v>7877</v>
      </c>
      <c r="E1785" s="1" t="s">
        <v>7878</v>
      </c>
      <c r="F1785" s="1" t="str">
        <f>"1608460975"</f>
        <v>1608460975</v>
      </c>
      <c r="G1785" s="1" t="str">
        <f>"9781608460977"</f>
        <v>9781608460977</v>
      </c>
      <c r="H1785" s="1">
        <v>0.0</v>
      </c>
      <c r="I1785" s="1">
        <v>4.12</v>
      </c>
      <c r="J1785" s="1" t="s">
        <v>792</v>
      </c>
      <c r="K1785" s="1" t="s">
        <v>44</v>
      </c>
      <c r="L1785" s="1">
        <v>240.0</v>
      </c>
      <c r="M1785" s="1">
        <v>2010.0</v>
      </c>
      <c r="N1785" s="1">
        <v>2010.0</v>
      </c>
      <c r="P1785" s="3">
        <v>45246.0</v>
      </c>
      <c r="Q1785" s="1" t="s">
        <v>55</v>
      </c>
      <c r="R1785" s="1" t="s">
        <v>7881</v>
      </c>
      <c r="S1785" s="1" t="s">
        <v>32</v>
      </c>
      <c r="W1785" s="1">
        <v>0.0</v>
      </c>
      <c r="X1785" s="1">
        <v>0.0</v>
      </c>
    </row>
    <row r="1786" spans="1:24" ht="15.75" customHeight="1">
      <c r="A1786" s="4">
        <v>743354.0</v>
      </c>
      <c r="B1786" s="4" t="s">
        <v>7882</v>
      </c>
      <c r="C1786" s="4" t="s">
        <v>7876</v>
      </c>
      <c r="D1786" s="4" t="s">
        <v>7877</v>
      </c>
      <c r="E1786" s="4" t="s">
        <v>2940</v>
      </c>
      <c r="F1786" s="4" t="str">
        <f>"1583225463"</f>
        <v>1583225463</v>
      </c>
      <c r="G1786" s="4" t="str">
        <f>"9781583225462"</f>
        <v>9781583225462</v>
      </c>
      <c r="H1786" s="4">
        <v>0.0</v>
      </c>
      <c r="I1786" s="4">
        <v>3.87</v>
      </c>
      <c r="J1786" s="4" t="s">
        <v>926</v>
      </c>
      <c r="K1786" s="4" t="s">
        <v>44</v>
      </c>
      <c r="L1786" s="4">
        <v>80.0</v>
      </c>
      <c r="M1786" s="4">
        <v>1999.0</v>
      </c>
      <c r="N1786" s="5"/>
      <c r="O1786" s="5"/>
      <c r="P1786" s="8">
        <v>45251.0</v>
      </c>
      <c r="Q1786" s="7" t="s">
        <v>871</v>
      </c>
      <c r="R1786" s="4" t="s">
        <v>7883</v>
      </c>
      <c r="S1786" s="4" t="s">
        <v>32</v>
      </c>
      <c r="T1786" s="5"/>
      <c r="U1786" s="5"/>
      <c r="V1786" s="5"/>
      <c r="W1786" s="4">
        <v>0.0</v>
      </c>
      <c r="X1786" s="4">
        <v>0.0</v>
      </c>
    </row>
    <row r="1787" spans="1:24" ht="15.75" customHeight="1">
      <c r="A1787" s="4">
        <v>1.8528045E7</v>
      </c>
      <c r="B1787" s="4" t="s">
        <v>7884</v>
      </c>
      <c r="C1787" s="4" t="s">
        <v>7876</v>
      </c>
      <c r="D1787" s="4" t="s">
        <v>7877</v>
      </c>
      <c r="E1787" s="4" t="s">
        <v>7885</v>
      </c>
      <c r="F1787" s="4" t="str">
        <f>"160846363X"</f>
        <v>160846363X</v>
      </c>
      <c r="G1787" s="4" t="str">
        <f>"9781608463633"</f>
        <v>9781608463633</v>
      </c>
      <c r="H1787" s="4">
        <v>0.0</v>
      </c>
      <c r="I1787" s="4">
        <v>4.05</v>
      </c>
      <c r="J1787" s="4" t="s">
        <v>792</v>
      </c>
      <c r="K1787" s="4" t="s">
        <v>44</v>
      </c>
      <c r="L1787" s="4">
        <v>168.0</v>
      </c>
      <c r="M1787" s="4">
        <v>2014.0</v>
      </c>
      <c r="N1787" s="4">
        <v>2003.0</v>
      </c>
      <c r="O1787" s="5"/>
      <c r="P1787" s="8">
        <v>44190.0</v>
      </c>
      <c r="Q1787" s="7" t="s">
        <v>871</v>
      </c>
      <c r="R1787" s="4" t="s">
        <v>7886</v>
      </c>
      <c r="S1787" s="4" t="s">
        <v>32</v>
      </c>
      <c r="T1787" s="5"/>
      <c r="U1787" s="5"/>
      <c r="V1787" s="5"/>
      <c r="W1787" s="4">
        <v>0.0</v>
      </c>
      <c r="X1787" s="4">
        <v>0.0</v>
      </c>
    </row>
    <row r="1788" spans="1:24" ht="15.75" customHeight="1">
      <c r="A1788" s="4">
        <v>194805.0</v>
      </c>
      <c r="B1788" s="4" t="s">
        <v>7887</v>
      </c>
      <c r="C1788" s="4" t="s">
        <v>7876</v>
      </c>
      <c r="D1788" s="4" t="s">
        <v>7877</v>
      </c>
      <c r="E1788" s="4" t="s">
        <v>7888</v>
      </c>
      <c r="F1788" s="4" t="str">
        <f>"1565847032"</f>
        <v>1565847032</v>
      </c>
      <c r="G1788" s="4" t="str">
        <f>"9781565847033"</f>
        <v>9781565847033</v>
      </c>
      <c r="H1788" s="4">
        <v>0.0</v>
      </c>
      <c r="I1788" s="4">
        <v>4.42</v>
      </c>
      <c r="J1788" s="4" t="s">
        <v>1104</v>
      </c>
      <c r="K1788" s="4" t="s">
        <v>44</v>
      </c>
      <c r="L1788" s="4">
        <v>416.0</v>
      </c>
      <c r="M1788" s="4">
        <v>2002.0</v>
      </c>
      <c r="N1788" s="4">
        <v>2002.0</v>
      </c>
      <c r="O1788" s="5"/>
      <c r="P1788" s="6">
        <v>43101.0</v>
      </c>
      <c r="Q1788" s="7" t="s">
        <v>871</v>
      </c>
      <c r="R1788" s="4" t="s">
        <v>7889</v>
      </c>
      <c r="S1788" s="4" t="s">
        <v>32</v>
      </c>
      <c r="T1788" s="5"/>
      <c r="U1788" s="5"/>
      <c r="V1788" s="5"/>
      <c r="W1788" s="4">
        <v>0.0</v>
      </c>
      <c r="X1788" s="4">
        <v>0.0</v>
      </c>
    </row>
    <row r="1789" spans="1:24" ht="15.75" customHeight="1">
      <c r="A1789" s="1">
        <v>5.8878802E7</v>
      </c>
      <c r="B1789" s="1" t="s">
        <v>7890</v>
      </c>
      <c r="C1789" s="1" t="s">
        <v>7891</v>
      </c>
      <c r="D1789" s="1" t="s">
        <v>7892</v>
      </c>
      <c r="E1789" s="1" t="s">
        <v>7893</v>
      </c>
      <c r="F1789" s="1" t="str">
        <f>"0472038966"</f>
        <v>0472038966</v>
      </c>
      <c r="G1789" s="1" t="str">
        <f>"9780472038961"</f>
        <v>9780472038961</v>
      </c>
      <c r="H1789" s="1">
        <v>0.0</v>
      </c>
      <c r="I1789" s="1">
        <v>4.5</v>
      </c>
      <c r="J1789" s="1" t="s">
        <v>5052</v>
      </c>
      <c r="K1789" s="1" t="s">
        <v>44</v>
      </c>
      <c r="L1789" s="1">
        <v>816.0</v>
      </c>
      <c r="M1789" s="1">
        <v>2022.0</v>
      </c>
      <c r="P1789" s="2">
        <v>45136.0</v>
      </c>
      <c r="Q1789" s="1" t="s">
        <v>32</v>
      </c>
      <c r="R1789" s="1" t="s">
        <v>7894</v>
      </c>
      <c r="S1789" s="1" t="s">
        <v>32</v>
      </c>
      <c r="W1789" s="1">
        <v>0.0</v>
      </c>
      <c r="X1789" s="1">
        <v>0.0</v>
      </c>
    </row>
    <row r="1790" spans="1:24" ht="15.75" customHeight="1">
      <c r="A1790" s="1">
        <v>6258146.0</v>
      </c>
      <c r="B1790" s="1" t="s">
        <v>7895</v>
      </c>
      <c r="C1790" s="1" t="s">
        <v>7896</v>
      </c>
      <c r="D1790" s="1" t="s">
        <v>7897</v>
      </c>
      <c r="F1790" s="1" t="str">
        <f>"9505818556"</f>
        <v>9505818556</v>
      </c>
      <c r="G1790" s="1" t="str">
        <f>"9789505818556"</f>
        <v>9789505818556</v>
      </c>
      <c r="H1790" s="1">
        <v>0.0</v>
      </c>
      <c r="I1790" s="1">
        <v>5.0</v>
      </c>
      <c r="J1790" s="1" t="s">
        <v>7898</v>
      </c>
      <c r="K1790" s="1" t="s">
        <v>44</v>
      </c>
      <c r="L1790" s="1">
        <v>0.0</v>
      </c>
      <c r="M1790" s="1">
        <v>2003.0</v>
      </c>
      <c r="N1790" s="1">
        <v>2003.0</v>
      </c>
      <c r="P1790" s="3">
        <v>45273.0</v>
      </c>
      <c r="Q1790" s="1" t="s">
        <v>2129</v>
      </c>
      <c r="R1790" s="1" t="s">
        <v>7899</v>
      </c>
      <c r="S1790" s="1" t="s">
        <v>32</v>
      </c>
      <c r="W1790" s="1">
        <v>0.0</v>
      </c>
      <c r="X1790" s="1">
        <v>0.0</v>
      </c>
    </row>
    <row r="1791" spans="1:24" ht="15.75" customHeight="1">
      <c r="A1791" s="1">
        <v>3.5070437E7</v>
      </c>
      <c r="B1791" s="1" t="s">
        <v>7900</v>
      </c>
      <c r="C1791" s="1" t="s">
        <v>7901</v>
      </c>
      <c r="D1791" s="1" t="s">
        <v>7902</v>
      </c>
      <c r="F1791" s="1" t="str">
        <f>"0520295714"</f>
        <v>0520295714</v>
      </c>
      <c r="G1791" s="1" t="str">
        <f>"9780520295711"</f>
        <v>9780520295711</v>
      </c>
      <c r="H1791" s="1">
        <v>4.0</v>
      </c>
      <c r="I1791" s="1">
        <v>4.65</v>
      </c>
      <c r="J1791" s="1" t="s">
        <v>552</v>
      </c>
      <c r="K1791" s="1" t="s">
        <v>37</v>
      </c>
      <c r="L1791" s="1">
        <v>419.0</v>
      </c>
      <c r="M1791" s="1">
        <v>2018.0</v>
      </c>
      <c r="N1791" s="1">
        <v>2018.0</v>
      </c>
      <c r="O1791" s="3">
        <v>45247.0</v>
      </c>
      <c r="P1791" s="3">
        <v>45247.0</v>
      </c>
      <c r="S1791" s="1" t="s">
        <v>271</v>
      </c>
      <c r="W1791" s="1">
        <v>1.0</v>
      </c>
      <c r="X1791" s="1">
        <v>0.0</v>
      </c>
    </row>
    <row r="1792" spans="1:24" ht="15.75" customHeight="1">
      <c r="A1792" s="1">
        <v>109588.0</v>
      </c>
      <c r="B1792" s="1" t="s">
        <v>7903</v>
      </c>
      <c r="C1792" s="1" t="s">
        <v>7904</v>
      </c>
      <c r="D1792" s="1" t="s">
        <v>7905</v>
      </c>
      <c r="F1792" s="1" t="str">
        <f>"0195306821"</f>
        <v>0195306821</v>
      </c>
      <c r="G1792" s="1" t="str">
        <f>"9780195306828"</f>
        <v>9780195306828</v>
      </c>
      <c r="H1792" s="1">
        <v>0.0</v>
      </c>
      <c r="I1792" s="1">
        <v>3.99</v>
      </c>
      <c r="J1792" s="1" t="s">
        <v>181</v>
      </c>
      <c r="K1792" s="1" t="s">
        <v>37</v>
      </c>
      <c r="L1792" s="1">
        <v>783.0</v>
      </c>
      <c r="M1792" s="1">
        <v>2006.0</v>
      </c>
      <c r="N1792" s="1">
        <v>1995.0</v>
      </c>
      <c r="P1792" s="2">
        <v>44508.0</v>
      </c>
      <c r="Q1792" s="1" t="s">
        <v>38</v>
      </c>
      <c r="R1792" s="1" t="s">
        <v>7906</v>
      </c>
      <c r="S1792" s="1" t="s">
        <v>32</v>
      </c>
      <c r="W1792" s="1">
        <v>0.0</v>
      </c>
      <c r="X1792" s="1">
        <v>0.0</v>
      </c>
    </row>
    <row r="1793" spans="1:24" ht="15.75" customHeight="1">
      <c r="A1793" s="1">
        <v>4.1880609E7</v>
      </c>
      <c r="B1793" s="1" t="s">
        <v>7907</v>
      </c>
      <c r="C1793" s="1" t="s">
        <v>7908</v>
      </c>
      <c r="D1793" s="1" t="s">
        <v>7909</v>
      </c>
      <c r="F1793" s="1" t="str">
        <f>"0525562028"</f>
        <v>0525562028</v>
      </c>
      <c r="G1793" s="1" t="str">
        <f>"9780525562023"</f>
        <v>9780525562023</v>
      </c>
      <c r="H1793" s="1">
        <v>0.0</v>
      </c>
      <c r="I1793" s="1">
        <v>4.05</v>
      </c>
      <c r="J1793" s="1" t="s">
        <v>54</v>
      </c>
      <c r="K1793" s="1" t="s">
        <v>37</v>
      </c>
      <c r="L1793" s="1">
        <v>246.0</v>
      </c>
      <c r="M1793" s="1">
        <v>2019.0</v>
      </c>
      <c r="N1793" s="1">
        <v>2019.0</v>
      </c>
      <c r="P1793" s="2">
        <v>44107.0</v>
      </c>
      <c r="Q1793" s="1" t="s">
        <v>421</v>
      </c>
      <c r="R1793" s="1" t="s">
        <v>7910</v>
      </c>
      <c r="S1793" s="1" t="s">
        <v>32</v>
      </c>
      <c r="W1793" s="1">
        <v>0.0</v>
      </c>
      <c r="X1793" s="1">
        <v>0.0</v>
      </c>
    </row>
    <row r="1794" spans="1:24" ht="15.75" customHeight="1">
      <c r="A1794" s="1">
        <v>1.23188548E8</v>
      </c>
      <c r="B1794" s="1" t="s">
        <v>7911</v>
      </c>
      <c r="C1794" s="1" t="s">
        <v>7912</v>
      </c>
      <c r="D1794" s="1" t="s">
        <v>7913</v>
      </c>
      <c r="F1794" s="1" t="str">
        <f>"153873219X"</f>
        <v>153873219X</v>
      </c>
      <c r="G1794" s="1" t="str">
        <f>"9781538732199"</f>
        <v>9781538732199</v>
      </c>
      <c r="H1794" s="1">
        <v>0.0</v>
      </c>
      <c r="I1794" s="1">
        <v>4.31</v>
      </c>
      <c r="J1794" s="1" t="s">
        <v>2746</v>
      </c>
      <c r="K1794" s="1" t="s">
        <v>44</v>
      </c>
      <c r="L1794" s="1">
        <v>423.0</v>
      </c>
      <c r="M1794" s="1">
        <v>2020.0</v>
      </c>
      <c r="N1794" s="1">
        <v>1998.0</v>
      </c>
      <c r="P1794" s="2">
        <v>45143.0</v>
      </c>
      <c r="Q1794" s="1" t="s">
        <v>818</v>
      </c>
      <c r="R1794" s="1" t="s">
        <v>7914</v>
      </c>
      <c r="S1794" s="1" t="s">
        <v>32</v>
      </c>
      <c r="W1794" s="1">
        <v>0.0</v>
      </c>
      <c r="X1794" s="1">
        <v>1.0</v>
      </c>
    </row>
    <row r="1795" spans="1:24" ht="15.75" customHeight="1">
      <c r="A1795" s="1">
        <v>11702.0</v>
      </c>
      <c r="B1795" s="1" t="s">
        <v>7915</v>
      </c>
      <c r="C1795" s="1" t="s">
        <v>7916</v>
      </c>
      <c r="D1795" s="1" t="s">
        <v>7917</v>
      </c>
      <c r="E1795" s="1" t="s">
        <v>7918</v>
      </c>
      <c r="F1795" s="1" t="str">
        <f>"080215042X"</f>
        <v>080215042X</v>
      </c>
      <c r="G1795" s="1" t="str">
        <f>"9780802150424"</f>
        <v>9780802150424</v>
      </c>
      <c r="H1795" s="1">
        <v>0.0</v>
      </c>
      <c r="I1795" s="1">
        <v>4.12</v>
      </c>
      <c r="J1795" s="1" t="s">
        <v>663</v>
      </c>
      <c r="K1795" s="1" t="s">
        <v>44</v>
      </c>
      <c r="L1795" s="1">
        <v>398.0</v>
      </c>
      <c r="M1795" s="1">
        <v>1994.0</v>
      </c>
      <c r="N1795" s="1">
        <v>1950.0</v>
      </c>
      <c r="P1795" s="2">
        <v>45147.0</v>
      </c>
      <c r="Q1795" s="1" t="s">
        <v>55</v>
      </c>
      <c r="R1795" s="1" t="s">
        <v>7919</v>
      </c>
      <c r="S1795" s="1" t="s">
        <v>32</v>
      </c>
      <c r="W1795" s="1">
        <v>0.0</v>
      </c>
      <c r="X1795" s="1">
        <v>0.0</v>
      </c>
    </row>
    <row r="1796" spans="1:24" ht="15.75" customHeight="1">
      <c r="A1796" s="1">
        <v>449323.0</v>
      </c>
      <c r="B1796" s="1" t="s">
        <v>7920</v>
      </c>
      <c r="C1796" s="1" t="s">
        <v>7921</v>
      </c>
      <c r="D1796" s="1" t="s">
        <v>7922</v>
      </c>
      <c r="F1796" s="1" t="str">
        <f>"0299157148"</f>
        <v>0299157148</v>
      </c>
      <c r="G1796" s="1" t="str">
        <f>"9780299157142"</f>
        <v>9780299157142</v>
      </c>
      <c r="H1796" s="1">
        <v>0.0</v>
      </c>
      <c r="I1796" s="1">
        <v>4.2</v>
      </c>
      <c r="J1796" s="1" t="s">
        <v>4775</v>
      </c>
      <c r="K1796" s="1" t="s">
        <v>44</v>
      </c>
      <c r="L1796" s="1">
        <v>112.0</v>
      </c>
      <c r="M1796" s="1">
        <v>1997.0</v>
      </c>
      <c r="N1796" s="1">
        <v>1997.0</v>
      </c>
      <c r="P1796" s="3">
        <v>41627.0</v>
      </c>
      <c r="Q1796" s="1" t="s">
        <v>32</v>
      </c>
      <c r="R1796" s="1" t="s">
        <v>7923</v>
      </c>
      <c r="S1796" s="1" t="s">
        <v>32</v>
      </c>
      <c r="W1796" s="1">
        <v>0.0</v>
      </c>
      <c r="X1796" s="1">
        <v>0.0</v>
      </c>
    </row>
    <row r="1797" spans="1:24" ht="15.75" customHeight="1">
      <c r="A1797" s="1">
        <v>5.3780642E7</v>
      </c>
      <c r="B1797" s="1" t="s">
        <v>7924</v>
      </c>
      <c r="C1797" s="1" t="s">
        <v>7925</v>
      </c>
      <c r="D1797" s="1" t="s">
        <v>7926</v>
      </c>
      <c r="E1797" s="1" t="s">
        <v>2730</v>
      </c>
      <c r="F1797" s="1" t="str">
        <f>"1999992881"</f>
        <v>1999992881</v>
      </c>
      <c r="G1797" s="1" t="str">
        <f>"9781999992880"</f>
        <v>9781999992880</v>
      </c>
      <c r="H1797" s="1">
        <v>0.0</v>
      </c>
      <c r="I1797" s="1">
        <v>3.69</v>
      </c>
      <c r="J1797" s="1" t="s">
        <v>7927</v>
      </c>
      <c r="K1797" s="1" t="s">
        <v>44</v>
      </c>
      <c r="L1797" s="1">
        <v>136.0</v>
      </c>
      <c r="M1797" s="1">
        <v>2020.0</v>
      </c>
      <c r="N1797" s="1">
        <v>2018.0</v>
      </c>
      <c r="P1797" s="2">
        <v>44340.0</v>
      </c>
      <c r="Q1797" s="1" t="s">
        <v>32</v>
      </c>
      <c r="R1797" s="1" t="s">
        <v>7928</v>
      </c>
      <c r="S1797" s="1" t="s">
        <v>32</v>
      </c>
      <c r="W1797" s="1">
        <v>0.0</v>
      </c>
      <c r="X1797" s="1">
        <v>0.0</v>
      </c>
    </row>
    <row r="1798" spans="1:24" ht="15.75" customHeight="1">
      <c r="A1798" s="1">
        <v>63697.0</v>
      </c>
      <c r="B1798" s="1" t="s">
        <v>7929</v>
      </c>
      <c r="C1798" s="1" t="s">
        <v>7930</v>
      </c>
      <c r="D1798" s="1" t="s">
        <v>7931</v>
      </c>
      <c r="F1798" s="1" t="str">
        <f t="shared" si="134" ref="F1798:G1798">""</f>
        <v/>
      </c>
      <c r="G1798" s="1" t="str">
        <f t="shared" si="134"/>
        <v/>
      </c>
      <c r="H1798" s="1">
        <v>0.0</v>
      </c>
      <c r="I1798" s="1">
        <v>4.06</v>
      </c>
      <c r="J1798" s="1" t="s">
        <v>4853</v>
      </c>
      <c r="K1798" s="1" t="s">
        <v>44</v>
      </c>
      <c r="L1798" s="1">
        <v>243.0</v>
      </c>
      <c r="M1798" s="1">
        <v>1998.0</v>
      </c>
      <c r="N1798" s="1">
        <v>1985.0</v>
      </c>
      <c r="P1798" s="2">
        <v>45116.0</v>
      </c>
      <c r="Q1798" s="1" t="s">
        <v>788</v>
      </c>
      <c r="R1798" s="1" t="s">
        <v>7932</v>
      </c>
      <c r="S1798" s="1" t="s">
        <v>32</v>
      </c>
      <c r="W1798" s="1">
        <v>0.0</v>
      </c>
      <c r="X1798" s="1">
        <v>1.0</v>
      </c>
    </row>
    <row r="1799" spans="1:24" ht="15.75" customHeight="1">
      <c r="A1799" s="1">
        <v>5.0755102E7</v>
      </c>
      <c r="B1799" s="1" t="s">
        <v>7933</v>
      </c>
      <c r="C1799" s="1" t="s">
        <v>7934</v>
      </c>
      <c r="D1799" s="1" t="s">
        <v>7935</v>
      </c>
      <c r="F1799" s="1" t="str">
        <f>"132400570X"</f>
        <v>132400570X</v>
      </c>
      <c r="G1799" s="1" t="str">
        <f>"9781324005704"</f>
        <v>9781324005704</v>
      </c>
      <c r="H1799" s="1">
        <v>0.0</v>
      </c>
      <c r="I1799" s="1">
        <v>4.02</v>
      </c>
      <c r="J1799" s="1" t="s">
        <v>248</v>
      </c>
      <c r="K1799" s="1" t="s">
        <v>37</v>
      </c>
      <c r="L1799" s="1">
        <v>272.0</v>
      </c>
      <c r="M1799" s="1">
        <v>2020.0</v>
      </c>
      <c r="N1799" s="1">
        <v>2020.0</v>
      </c>
      <c r="P1799" s="2">
        <v>43934.0</v>
      </c>
      <c r="Q1799" s="1" t="s">
        <v>32</v>
      </c>
      <c r="R1799" s="1" t="s">
        <v>7936</v>
      </c>
      <c r="S1799" s="1" t="s">
        <v>32</v>
      </c>
      <c r="W1799" s="1">
        <v>0.0</v>
      </c>
      <c r="X1799" s="1">
        <v>0.0</v>
      </c>
    </row>
    <row r="1800" spans="1:24" ht="15.75" customHeight="1">
      <c r="A1800" s="1">
        <v>15681.0</v>
      </c>
      <c r="B1800" s="1" t="s">
        <v>7937</v>
      </c>
      <c r="C1800" s="1" t="s">
        <v>7938</v>
      </c>
      <c r="D1800" s="1" t="s">
        <v>7939</v>
      </c>
      <c r="F1800" s="1" t="str">
        <f>"0786707399"</f>
        <v>0786707399</v>
      </c>
      <c r="G1800" s="1" t="str">
        <f>"9780786707393"</f>
        <v>9780786707393</v>
      </c>
      <c r="H1800" s="1">
        <v>0.0</v>
      </c>
      <c r="I1800" s="1">
        <v>4.02</v>
      </c>
      <c r="J1800" s="1" t="s">
        <v>564</v>
      </c>
      <c r="K1800" s="1" t="s">
        <v>44</v>
      </c>
      <c r="L1800" s="1">
        <v>448.0</v>
      </c>
      <c r="M1800" s="1">
        <v>2000.0</v>
      </c>
      <c r="N1800" s="1">
        <v>1996.0</v>
      </c>
      <c r="P1800" s="2">
        <v>41364.0</v>
      </c>
      <c r="Q1800" s="1" t="s">
        <v>109</v>
      </c>
      <c r="R1800" s="1" t="s">
        <v>7940</v>
      </c>
      <c r="S1800" s="1" t="s">
        <v>32</v>
      </c>
      <c r="W1800" s="1">
        <v>0.0</v>
      </c>
      <c r="X1800" s="1">
        <v>0.0</v>
      </c>
    </row>
    <row r="1801" spans="1:24" ht="15.75" customHeight="1">
      <c r="A1801" s="1">
        <v>6282753.0</v>
      </c>
      <c r="B1801" s="1" t="s">
        <v>7941</v>
      </c>
      <c r="C1801" s="1" t="s">
        <v>7942</v>
      </c>
      <c r="D1801" s="1" t="s">
        <v>7943</v>
      </c>
      <c r="E1801" s="1" t="s">
        <v>7944</v>
      </c>
      <c r="F1801" s="1" t="str">
        <f>"0307266761"</f>
        <v>0307266761</v>
      </c>
      <c r="G1801" s="1" t="str">
        <f>"9780307266767"</f>
        <v>9780307266767</v>
      </c>
      <c r="H1801" s="1">
        <v>0.0</v>
      </c>
      <c r="I1801" s="1">
        <v>3.77</v>
      </c>
      <c r="J1801" s="1" t="s">
        <v>1397</v>
      </c>
      <c r="K1801" s="1" t="s">
        <v>37</v>
      </c>
      <c r="L1801" s="1">
        <v>536.0</v>
      </c>
      <c r="M1801" s="1">
        <v>2009.0</v>
      </c>
      <c r="N1801" s="1">
        <v>2008.0</v>
      </c>
      <c r="P1801" s="2">
        <v>45017.0</v>
      </c>
      <c r="Q1801" s="1" t="s">
        <v>32</v>
      </c>
      <c r="R1801" s="1" t="s">
        <v>7945</v>
      </c>
      <c r="S1801" s="1" t="s">
        <v>32</v>
      </c>
      <c r="W1801" s="1">
        <v>0.0</v>
      </c>
      <c r="X1801" s="1">
        <v>0.0</v>
      </c>
    </row>
    <row r="1802" spans="1:24" ht="15.75" customHeight="1">
      <c r="A1802" s="1">
        <v>6.0097027E7</v>
      </c>
      <c r="B1802" s="1" t="s">
        <v>7946</v>
      </c>
      <c r="C1802" s="1" t="s">
        <v>7942</v>
      </c>
      <c r="D1802" s="1" t="s">
        <v>7943</v>
      </c>
      <c r="E1802" s="1" t="s">
        <v>7947</v>
      </c>
      <c r="F1802" s="1" t="str">
        <f>"0525656898"</f>
        <v>0525656898</v>
      </c>
      <c r="G1802" s="1" t="str">
        <f>"9780525656890"</f>
        <v>9780525656890</v>
      </c>
      <c r="H1802" s="1">
        <v>0.0</v>
      </c>
      <c r="I1802" s="1">
        <v>3.58</v>
      </c>
      <c r="J1802" s="1" t="s">
        <v>1397</v>
      </c>
      <c r="K1802" s="1" t="s">
        <v>37</v>
      </c>
      <c r="L1802" s="1">
        <v>683.0</v>
      </c>
      <c r="M1802" s="1">
        <v>2022.0</v>
      </c>
      <c r="N1802" s="1">
        <v>2021.0</v>
      </c>
      <c r="P1802" s="2">
        <v>44869.0</v>
      </c>
      <c r="Q1802" s="1" t="s">
        <v>32</v>
      </c>
      <c r="R1802" s="1" t="s">
        <v>7948</v>
      </c>
      <c r="S1802" s="1" t="s">
        <v>32</v>
      </c>
      <c r="W1802" s="1">
        <v>0.0</v>
      </c>
      <c r="X1802" s="1">
        <v>0.0</v>
      </c>
    </row>
    <row r="1803" spans="1:24" ht="15.75" customHeight="1">
      <c r="A1803" s="1">
        <v>194746.0</v>
      </c>
      <c r="B1803" s="1" t="s">
        <v>7949</v>
      </c>
      <c r="C1803" s="1" t="s">
        <v>7950</v>
      </c>
      <c r="D1803" s="1" t="s">
        <v>7951</v>
      </c>
      <c r="E1803" s="1" t="s">
        <v>7952</v>
      </c>
      <c r="F1803" s="1" t="str">
        <f t="shared" si="135" ref="F1803:G1803">""</f>
        <v/>
      </c>
      <c r="G1803" s="1" t="str">
        <f t="shared" si="135"/>
        <v/>
      </c>
      <c r="H1803" s="1">
        <v>0.0</v>
      </c>
      <c r="I1803" s="1">
        <v>4.01</v>
      </c>
      <c r="J1803" s="1" t="s">
        <v>419</v>
      </c>
      <c r="K1803" s="1" t="s">
        <v>44</v>
      </c>
      <c r="L1803" s="1">
        <v>177.0</v>
      </c>
      <c r="M1803" s="1">
        <v>1958.0</v>
      </c>
      <c r="N1803" s="1">
        <v>1948.0</v>
      </c>
      <c r="P1803" s="2">
        <v>45169.0</v>
      </c>
      <c r="Q1803" s="1" t="s">
        <v>502</v>
      </c>
      <c r="R1803" s="1" t="s">
        <v>7953</v>
      </c>
      <c r="S1803" s="1" t="s">
        <v>32</v>
      </c>
      <c r="W1803" s="1">
        <v>0.0</v>
      </c>
      <c r="X1803" s="1">
        <v>0.0</v>
      </c>
    </row>
    <row r="1804" spans="1:24" ht="15.75" customHeight="1">
      <c r="A1804" s="1">
        <v>5.8690536E7</v>
      </c>
      <c r="B1804" s="1" t="s">
        <v>7954</v>
      </c>
      <c r="C1804" s="1" t="s">
        <v>7955</v>
      </c>
      <c r="D1804" s="1" t="s">
        <v>7956</v>
      </c>
      <c r="F1804" s="1" t="str">
        <f>"6073804962"</f>
        <v>6073804962</v>
      </c>
      <c r="G1804" s="1" t="str">
        <f>"9786073804967"</f>
        <v>9786073804967</v>
      </c>
      <c r="H1804" s="1">
        <v>0.0</v>
      </c>
      <c r="I1804" s="1">
        <v>4.89</v>
      </c>
      <c r="J1804" s="1" t="s">
        <v>5023</v>
      </c>
      <c r="K1804" s="1" t="s">
        <v>29</v>
      </c>
      <c r="L1804" s="1">
        <v>278.0</v>
      </c>
      <c r="M1804" s="1">
        <v>2021.0</v>
      </c>
      <c r="P1804" s="3">
        <v>45228.0</v>
      </c>
      <c r="Q1804" s="1" t="s">
        <v>145</v>
      </c>
      <c r="R1804" s="1" t="s">
        <v>7957</v>
      </c>
      <c r="S1804" s="1" t="s">
        <v>32</v>
      </c>
      <c r="W1804" s="1">
        <v>0.0</v>
      </c>
      <c r="X1804" s="1">
        <v>0.0</v>
      </c>
    </row>
    <row r="1805" spans="1:24" ht="15.75" customHeight="1">
      <c r="A1805" s="1">
        <v>430560.0</v>
      </c>
      <c r="B1805" s="1" t="s">
        <v>7958</v>
      </c>
      <c r="C1805" s="1" t="s">
        <v>7959</v>
      </c>
      <c r="D1805" s="1" t="s">
        <v>7960</v>
      </c>
      <c r="E1805" s="1" t="s">
        <v>7961</v>
      </c>
      <c r="F1805" s="1" t="str">
        <f>"0312190867"</f>
        <v>0312190867</v>
      </c>
      <c r="G1805" s="1" t="str">
        <f>"9780312190866"</f>
        <v>9780312190866</v>
      </c>
      <c r="H1805" s="1">
        <v>0.0</v>
      </c>
      <c r="I1805" s="1">
        <v>4.35</v>
      </c>
      <c r="J1805" s="1" t="s">
        <v>2484</v>
      </c>
      <c r="K1805" s="1" t="s">
        <v>37</v>
      </c>
      <c r="L1805" s="1">
        <v>96.0</v>
      </c>
      <c r="M1805" s="1">
        <v>1998.0</v>
      </c>
      <c r="O1805" s="2">
        <v>41290.0</v>
      </c>
      <c r="P1805" s="3">
        <v>41266.0</v>
      </c>
      <c r="S1805" s="1" t="s">
        <v>271</v>
      </c>
      <c r="W1805" s="1">
        <v>1.0</v>
      </c>
      <c r="X1805" s="1">
        <v>0.0</v>
      </c>
    </row>
    <row r="1806" spans="1:24" ht="15.75" customHeight="1">
      <c r="A1806" s="1">
        <v>2237040.0</v>
      </c>
      <c r="B1806" s="1" t="s">
        <v>7962</v>
      </c>
      <c r="C1806" s="1" t="s">
        <v>7963</v>
      </c>
      <c r="D1806" s="1" t="s">
        <v>7964</v>
      </c>
      <c r="F1806" s="1" t="str">
        <f>"9872110964"</f>
        <v>9872110964</v>
      </c>
      <c r="G1806" s="1" t="str">
        <f>"9789872110963"</f>
        <v>9789872110963</v>
      </c>
      <c r="H1806" s="1">
        <v>0.0</v>
      </c>
      <c r="I1806" s="1">
        <v>3.93</v>
      </c>
      <c r="J1806" s="1" t="s">
        <v>7965</v>
      </c>
      <c r="K1806" s="1" t="s">
        <v>44</v>
      </c>
      <c r="L1806" s="1">
        <v>200.0</v>
      </c>
      <c r="M1806" s="1">
        <v>2004.0</v>
      </c>
      <c r="N1806" s="1">
        <v>2004.0</v>
      </c>
      <c r="P1806" s="2">
        <v>43976.0</v>
      </c>
      <c r="Q1806" s="1" t="s">
        <v>32</v>
      </c>
      <c r="R1806" s="1" t="s">
        <v>7966</v>
      </c>
      <c r="S1806" s="1" t="s">
        <v>32</v>
      </c>
      <c r="W1806" s="1">
        <v>0.0</v>
      </c>
      <c r="X1806" s="1">
        <v>0.0</v>
      </c>
    </row>
    <row r="1807" spans="1:24" ht="15.75" customHeight="1">
      <c r="A1807" s="1">
        <v>2054201.0</v>
      </c>
      <c r="B1807" s="1" t="s">
        <v>7967</v>
      </c>
      <c r="C1807" s="1" t="s">
        <v>7963</v>
      </c>
      <c r="D1807" s="1" t="s">
        <v>7964</v>
      </c>
      <c r="F1807" s="1" t="str">
        <f>"9871307039"</f>
        <v>9871307039</v>
      </c>
      <c r="G1807" s="1" t="str">
        <f>"9789871307036"</f>
        <v>9789871307036</v>
      </c>
      <c r="H1807" s="1">
        <v>0.0</v>
      </c>
      <c r="I1807" s="1">
        <v>4.35</v>
      </c>
      <c r="J1807" s="1" t="s">
        <v>7965</v>
      </c>
      <c r="K1807" s="1" t="s">
        <v>44</v>
      </c>
      <c r="L1807" s="1">
        <v>504.0</v>
      </c>
      <c r="M1807" s="1">
        <v>2006.0</v>
      </c>
      <c r="N1807" s="1">
        <v>2006.0</v>
      </c>
      <c r="P1807" s="2">
        <v>43976.0</v>
      </c>
      <c r="Q1807" s="1" t="s">
        <v>32</v>
      </c>
      <c r="R1807" s="1" t="s">
        <v>7968</v>
      </c>
      <c r="S1807" s="1" t="s">
        <v>32</v>
      </c>
      <c r="W1807" s="1">
        <v>0.0</v>
      </c>
      <c r="X1807" s="1">
        <v>0.0</v>
      </c>
    </row>
    <row r="1808" spans="1:24" ht="15.75" customHeight="1">
      <c r="A1808" s="1">
        <v>5.5608917E7</v>
      </c>
      <c r="B1808" s="1" t="s">
        <v>7969</v>
      </c>
      <c r="C1808" s="1" t="s">
        <v>7970</v>
      </c>
      <c r="D1808" s="1" t="s">
        <v>7971</v>
      </c>
      <c r="E1808" s="1" t="s">
        <v>7972</v>
      </c>
      <c r="F1808" s="1" t="str">
        <f>"0140440585"</f>
        <v>0140440585</v>
      </c>
      <c r="G1808" s="1" t="str">
        <f>"9780140440584"</f>
        <v>9780140440584</v>
      </c>
      <c r="H1808" s="1">
        <v>0.0</v>
      </c>
      <c r="I1808" s="1">
        <v>4.09</v>
      </c>
      <c r="J1808" s="1" t="s">
        <v>61</v>
      </c>
      <c r="K1808" s="1" t="s">
        <v>44</v>
      </c>
      <c r="L1808" s="1">
        <v>368.0</v>
      </c>
      <c r="M1808" s="1">
        <v>2020.0</v>
      </c>
      <c r="N1808" s="1">
        <v>8.0</v>
      </c>
      <c r="P1808" s="2">
        <v>45114.0</v>
      </c>
      <c r="Q1808" s="1" t="s">
        <v>4539</v>
      </c>
      <c r="R1808" s="1" t="s">
        <v>7973</v>
      </c>
      <c r="S1808" s="1" t="s">
        <v>32</v>
      </c>
      <c r="W1808" s="1">
        <v>0.0</v>
      </c>
      <c r="X1808" s="1">
        <v>1.0</v>
      </c>
    </row>
    <row r="1809" spans="1:24" ht="15.75" customHeight="1">
      <c r="A1809" s="1">
        <v>6146412.0</v>
      </c>
      <c r="B1809" s="1" t="s">
        <v>7974</v>
      </c>
      <c r="C1809" s="1" t="s">
        <v>7975</v>
      </c>
      <c r="D1809" s="1" t="s">
        <v>7976</v>
      </c>
      <c r="F1809" s="1" t="str">
        <f>"0199204519"</f>
        <v>0199204519</v>
      </c>
      <c r="G1809" s="1" t="str">
        <f>"9780199204519"</f>
        <v>9780199204519</v>
      </c>
      <c r="H1809" s="1">
        <v>0.0</v>
      </c>
      <c r="I1809" s="1">
        <v>4.02</v>
      </c>
      <c r="J1809" s="1" t="s">
        <v>181</v>
      </c>
      <c r="K1809" s="1" t="s">
        <v>37</v>
      </c>
      <c r="L1809" s="1">
        <v>380.0</v>
      </c>
      <c r="M1809" s="1">
        <v>2009.0</v>
      </c>
      <c r="N1809" s="1">
        <v>2009.0</v>
      </c>
      <c r="P1809" s="2">
        <v>45070.0</v>
      </c>
      <c r="Q1809" s="1" t="s">
        <v>138</v>
      </c>
      <c r="R1809" s="1" t="s">
        <v>7977</v>
      </c>
      <c r="S1809" s="1" t="s">
        <v>32</v>
      </c>
      <c r="W1809" s="1">
        <v>0.0</v>
      </c>
      <c r="X1809" s="1">
        <v>0.0</v>
      </c>
    </row>
    <row r="1810" spans="1:24" ht="15.75" customHeight="1">
      <c r="A1810" s="1">
        <v>590161.0</v>
      </c>
      <c r="B1810" s="1" t="s">
        <v>7978</v>
      </c>
      <c r="C1810" s="1" t="s">
        <v>7979</v>
      </c>
      <c r="D1810" s="1" t="s">
        <v>7980</v>
      </c>
      <c r="F1810" s="1" t="str">
        <f>"0940262010"</f>
        <v>0940262010</v>
      </c>
      <c r="G1810" s="1" t="str">
        <f>"9780940262010"</f>
        <v>9780940262010</v>
      </c>
      <c r="H1810" s="1">
        <v>0.0</v>
      </c>
      <c r="I1810" s="1">
        <v>4.32</v>
      </c>
      <c r="J1810" s="1" t="s">
        <v>7981</v>
      </c>
      <c r="K1810" s="1" t="s">
        <v>44</v>
      </c>
      <c r="L1810" s="1">
        <v>144.0</v>
      </c>
      <c r="M1810" s="1">
        <v>1983.0</v>
      </c>
      <c r="N1810" s="1">
        <v>1983.0</v>
      </c>
      <c r="P1810" s="3">
        <v>44484.0</v>
      </c>
      <c r="Q1810" s="1" t="s">
        <v>725</v>
      </c>
      <c r="R1810" s="1" t="s">
        <v>7982</v>
      </c>
      <c r="S1810" s="1" t="s">
        <v>32</v>
      </c>
      <c r="W1810" s="1">
        <v>0.0</v>
      </c>
      <c r="X1810" s="1">
        <v>0.0</v>
      </c>
    </row>
    <row r="1811" spans="1:24" ht="15.75" customHeight="1">
      <c r="A1811" s="1">
        <v>3.6744144E7</v>
      </c>
      <c r="B1811" s="1" t="s">
        <v>7983</v>
      </c>
      <c r="C1811" s="1" t="s">
        <v>7984</v>
      </c>
      <c r="D1811" s="1" t="s">
        <v>7985</v>
      </c>
      <c r="E1811" s="1" t="s">
        <v>7986</v>
      </c>
      <c r="F1811" s="1" t="str">
        <f>"1350012009"</f>
        <v>1350012009</v>
      </c>
      <c r="G1811" s="1" t="str">
        <f>"9781350012004"</f>
        <v>9781350012004</v>
      </c>
      <c r="H1811" s="1">
        <v>0.0</v>
      </c>
      <c r="I1811" s="1">
        <v>4.01</v>
      </c>
      <c r="J1811" s="1" t="s">
        <v>5659</v>
      </c>
      <c r="K1811" s="1" t="s">
        <v>37</v>
      </c>
      <c r="L1811" s="1">
        <v>192.0</v>
      </c>
      <c r="M1811" s="1">
        <v>2018.0</v>
      </c>
      <c r="N1811" s="1">
        <v>2012.0</v>
      </c>
      <c r="P1811" s="2">
        <v>44464.0</v>
      </c>
      <c r="Q1811" s="1" t="s">
        <v>38</v>
      </c>
      <c r="R1811" s="1" t="s">
        <v>7987</v>
      </c>
      <c r="S1811" s="1" t="s">
        <v>32</v>
      </c>
      <c r="W1811" s="1">
        <v>0.0</v>
      </c>
      <c r="X1811" s="1">
        <v>0.0</v>
      </c>
    </row>
    <row r="1812" spans="1:24" ht="15.75" customHeight="1">
      <c r="A1812" s="1">
        <v>1696364.0</v>
      </c>
      <c r="B1812" s="1" t="s">
        <v>7988</v>
      </c>
      <c r="C1812" s="1" t="s">
        <v>7989</v>
      </c>
      <c r="D1812" s="1" t="s">
        <v>7990</v>
      </c>
      <c r="F1812" s="1" t="str">
        <f>"0571168434"</f>
        <v>0571168434</v>
      </c>
      <c r="G1812" s="1" t="str">
        <f>"9780571168439"</f>
        <v>9780571168439</v>
      </c>
      <c r="H1812" s="1">
        <v>0.0</v>
      </c>
      <c r="I1812" s="1">
        <v>3.67</v>
      </c>
      <c r="J1812" s="1" t="s">
        <v>2187</v>
      </c>
      <c r="K1812" s="1" t="s">
        <v>44</v>
      </c>
      <c r="L1812" s="1">
        <v>247.0</v>
      </c>
      <c r="M1812" s="1">
        <v>1993.0</v>
      </c>
      <c r="N1812" s="1">
        <v>1992.0</v>
      </c>
      <c r="P1812" s="2">
        <v>45151.0</v>
      </c>
      <c r="Q1812" s="1" t="s">
        <v>32</v>
      </c>
      <c r="R1812" s="1" t="s">
        <v>7991</v>
      </c>
      <c r="S1812" s="1" t="s">
        <v>32</v>
      </c>
      <c r="W1812" s="1">
        <v>0.0</v>
      </c>
      <c r="X1812" s="1">
        <v>0.0</v>
      </c>
    </row>
    <row r="1813" spans="1:24" ht="15.75" customHeight="1">
      <c r="A1813" s="1">
        <v>530908.0</v>
      </c>
      <c r="B1813" s="1" t="s">
        <v>7992</v>
      </c>
      <c r="C1813" s="1" t="s">
        <v>7993</v>
      </c>
      <c r="D1813" s="1" t="s">
        <v>7994</v>
      </c>
      <c r="E1813" s="1" t="s">
        <v>7995</v>
      </c>
      <c r="F1813" s="1" t="str">
        <f>"0486232913"</f>
        <v>0486232913</v>
      </c>
      <c r="G1813" s="1" t="str">
        <f>"9780486232911"</f>
        <v>9780486232911</v>
      </c>
      <c r="H1813" s="1">
        <v>0.0</v>
      </c>
      <c r="I1813" s="1">
        <v>3.63</v>
      </c>
      <c r="J1813" s="1" t="s">
        <v>910</v>
      </c>
      <c r="K1813" s="1" t="s">
        <v>44</v>
      </c>
      <c r="L1813" s="1">
        <v>63.0</v>
      </c>
      <c r="M1813" s="1">
        <v>1976.0</v>
      </c>
      <c r="N1813" s="1">
        <v>1912.0</v>
      </c>
      <c r="P1813" s="2">
        <v>45122.0</v>
      </c>
      <c r="Q1813" s="1" t="s">
        <v>491</v>
      </c>
      <c r="R1813" s="1" t="s">
        <v>7996</v>
      </c>
      <c r="S1813" s="1" t="s">
        <v>32</v>
      </c>
      <c r="W1813" s="1">
        <v>0.0</v>
      </c>
      <c r="X1813" s="1">
        <v>0.0</v>
      </c>
    </row>
    <row r="1814" spans="1:24" ht="15.75" customHeight="1">
      <c r="A1814" s="1">
        <v>4449027.0</v>
      </c>
      <c r="B1814" s="1" t="s">
        <v>7997</v>
      </c>
      <c r="C1814" s="1" t="s">
        <v>7998</v>
      </c>
      <c r="D1814" s="1" t="s">
        <v>7999</v>
      </c>
      <c r="F1814" s="1" t="str">
        <f>"0571243258"</f>
        <v>0571243258</v>
      </c>
      <c r="G1814" s="1" t="str">
        <f>"9780571243259"</f>
        <v>9780571243259</v>
      </c>
      <c r="H1814" s="1">
        <v>0.0</v>
      </c>
      <c r="I1814" s="1">
        <v>3.08</v>
      </c>
      <c r="J1814" s="1" t="s">
        <v>2187</v>
      </c>
      <c r="K1814" s="1" t="s">
        <v>44</v>
      </c>
      <c r="L1814" s="1">
        <v>284.0</v>
      </c>
      <c r="M1814" s="1">
        <v>2008.0</v>
      </c>
      <c r="N1814" s="1">
        <v>1968.0</v>
      </c>
      <c r="P1814" s="2">
        <v>45111.0</v>
      </c>
      <c r="Q1814" s="1" t="s">
        <v>70</v>
      </c>
      <c r="R1814" s="1" t="s">
        <v>8000</v>
      </c>
      <c r="S1814" s="1" t="s">
        <v>32</v>
      </c>
      <c r="W1814" s="1">
        <v>0.0</v>
      </c>
      <c r="X1814" s="1">
        <v>0.0</v>
      </c>
    </row>
    <row r="1815" spans="1:24" ht="15.75" customHeight="1">
      <c r="A1815" s="1">
        <v>4.2936578E7</v>
      </c>
      <c r="B1815" s="1" t="s">
        <v>8001</v>
      </c>
      <c r="C1815" s="1" t="s">
        <v>8002</v>
      </c>
      <c r="D1815" s="1" t="s">
        <v>8003</v>
      </c>
      <c r="F1815" s="1" t="str">
        <f>"9874941162"</f>
        <v>9874941162</v>
      </c>
      <c r="G1815" s="1" t="str">
        <f>"9789874941169"</f>
        <v>9789874941169</v>
      </c>
      <c r="H1815" s="1">
        <v>0.0</v>
      </c>
      <c r="I1815" s="1">
        <v>3.7</v>
      </c>
      <c r="J1815" s="1" t="s">
        <v>8004</v>
      </c>
      <c r="K1815" s="1" t="s">
        <v>44</v>
      </c>
      <c r="L1815" s="1">
        <v>144.0</v>
      </c>
      <c r="M1815" s="1">
        <v>2018.0</v>
      </c>
      <c r="N1815" s="1">
        <v>1998.0</v>
      </c>
      <c r="P1815" s="2">
        <v>43968.0</v>
      </c>
      <c r="Q1815" s="1" t="s">
        <v>32</v>
      </c>
      <c r="R1815" s="1" t="s">
        <v>8005</v>
      </c>
      <c r="S1815" s="1" t="s">
        <v>32</v>
      </c>
      <c r="W1815" s="1">
        <v>0.0</v>
      </c>
      <c r="X1815" s="1">
        <v>0.0</v>
      </c>
    </row>
    <row r="1816" spans="1:24" ht="15.75" customHeight="1">
      <c r="A1816" s="1">
        <v>2.7154586E7</v>
      </c>
      <c r="B1816" s="1" t="s">
        <v>8006</v>
      </c>
      <c r="C1816" s="1" t="s">
        <v>8007</v>
      </c>
      <c r="D1816" s="1" t="s">
        <v>8008</v>
      </c>
      <c r="F1816" s="1" t="str">
        <f>"9873731121"</f>
        <v>9873731121</v>
      </c>
      <c r="G1816" s="1" t="str">
        <f>"9789873731129"</f>
        <v>9789873731129</v>
      </c>
      <c r="H1816" s="1">
        <v>0.0</v>
      </c>
      <c r="I1816" s="1">
        <v>4.24</v>
      </c>
      <c r="J1816" s="1" t="s">
        <v>8009</v>
      </c>
      <c r="K1816" s="1" t="s">
        <v>44</v>
      </c>
      <c r="L1816" s="1">
        <v>261.0</v>
      </c>
      <c r="M1816" s="1">
        <v>2015.0</v>
      </c>
      <c r="N1816" s="1">
        <v>2015.0</v>
      </c>
      <c r="P1816" s="2">
        <v>43968.0</v>
      </c>
      <c r="Q1816" s="1" t="s">
        <v>32</v>
      </c>
      <c r="R1816" s="1" t="s">
        <v>8010</v>
      </c>
      <c r="S1816" s="1" t="s">
        <v>32</v>
      </c>
      <c r="W1816" s="1">
        <v>0.0</v>
      </c>
      <c r="X1816" s="1">
        <v>0.0</v>
      </c>
    </row>
    <row r="1817" spans="1:24" ht="15.75" customHeight="1">
      <c r="A1817" s="1">
        <v>1.3636758E7</v>
      </c>
      <c r="B1817" s="1" t="s">
        <v>8011</v>
      </c>
      <c r="C1817" s="1" t="s">
        <v>8012</v>
      </c>
      <c r="D1817" s="1" t="s">
        <v>8013</v>
      </c>
      <c r="F1817" s="1" t="str">
        <f>""</f>
        <v/>
      </c>
      <c r="G1817" s="1" t="str">
        <f>"9788432248429"</f>
        <v>9788432248429</v>
      </c>
      <c r="H1817" s="1">
        <v>0.0</v>
      </c>
      <c r="I1817" s="1">
        <v>4.22</v>
      </c>
      <c r="J1817" s="1" t="s">
        <v>3562</v>
      </c>
      <c r="K1817" s="1" t="s">
        <v>44</v>
      </c>
      <c r="L1817" s="1">
        <v>240.0</v>
      </c>
      <c r="M1817" s="1">
        <v>1999.0</v>
      </c>
      <c r="N1817" s="1">
        <v>1924.0</v>
      </c>
      <c r="P1817" s="2">
        <v>45114.0</v>
      </c>
      <c r="Q1817" s="1" t="s">
        <v>449</v>
      </c>
      <c r="R1817" s="1" t="s">
        <v>8014</v>
      </c>
      <c r="S1817" s="1" t="s">
        <v>32</v>
      </c>
      <c r="W1817" s="1">
        <v>0.0</v>
      </c>
      <c r="X1817" s="1">
        <v>1.0</v>
      </c>
    </row>
    <row r="1818" spans="1:24" ht="15.75" customHeight="1">
      <c r="A1818" s="1">
        <v>59561.0</v>
      </c>
      <c r="B1818" s="1" t="s">
        <v>8015</v>
      </c>
      <c r="C1818" s="1" t="s">
        <v>8016</v>
      </c>
      <c r="D1818" s="1" t="s">
        <v>8017</v>
      </c>
      <c r="E1818" s="1" t="s">
        <v>8018</v>
      </c>
      <c r="F1818" s="1" t="str">
        <f>"1933693002"</f>
        <v>1933693002</v>
      </c>
      <c r="G1818" s="1" t="str">
        <f>"9781933693002"</f>
        <v>9781933693002</v>
      </c>
      <c r="H1818" s="1">
        <v>0.0</v>
      </c>
      <c r="I1818" s="1">
        <v>3.9</v>
      </c>
      <c r="J1818" s="1" t="s">
        <v>2388</v>
      </c>
      <c r="K1818" s="1" t="s">
        <v>44</v>
      </c>
      <c r="L1818" s="1">
        <v>240.0</v>
      </c>
      <c r="M1818" s="1">
        <v>2006.0</v>
      </c>
      <c r="N1818" s="1">
        <v>1986.0</v>
      </c>
      <c r="P1818" s="2">
        <v>45115.0</v>
      </c>
      <c r="Q1818" s="1" t="s">
        <v>32</v>
      </c>
      <c r="R1818" s="1" t="s">
        <v>8019</v>
      </c>
      <c r="S1818" s="1" t="s">
        <v>32</v>
      </c>
      <c r="W1818" s="1">
        <v>0.0</v>
      </c>
      <c r="X1818" s="1">
        <v>0.0</v>
      </c>
    </row>
    <row r="1819" spans="1:24" ht="15.75" customHeight="1">
      <c r="A1819" s="1">
        <v>224994.0</v>
      </c>
      <c r="B1819" s="1" t="s">
        <v>8020</v>
      </c>
      <c r="C1819" s="1" t="s">
        <v>8021</v>
      </c>
      <c r="D1819" s="1" t="s">
        <v>8022</v>
      </c>
      <c r="F1819" s="1" t="str">
        <f>"0553147374"</f>
        <v>0553147374</v>
      </c>
      <c r="G1819" s="1" t="str">
        <f>"9780553147377"</f>
        <v>9780553147377</v>
      </c>
      <c r="H1819" s="1">
        <v>0.0</v>
      </c>
      <c r="I1819" s="1">
        <v>3.86</v>
      </c>
      <c r="J1819" s="1" t="s">
        <v>4389</v>
      </c>
      <c r="K1819" s="1" t="s">
        <v>44</v>
      </c>
      <c r="L1819" s="1">
        <v>206.0</v>
      </c>
      <c r="M1819" s="1">
        <v>1981.0</v>
      </c>
      <c r="N1819" s="1">
        <v>1978.0</v>
      </c>
      <c r="P1819" s="2">
        <v>41056.0</v>
      </c>
      <c r="Q1819" s="1" t="s">
        <v>55</v>
      </c>
      <c r="R1819" s="1" t="s">
        <v>8023</v>
      </c>
      <c r="S1819" s="1" t="s">
        <v>32</v>
      </c>
      <c r="W1819" s="1">
        <v>0.0</v>
      </c>
      <c r="X1819" s="1">
        <v>0.0</v>
      </c>
    </row>
    <row r="1820" spans="1:24" ht="15.75" customHeight="1">
      <c r="A1820" s="1">
        <v>1.3509974E7</v>
      </c>
      <c r="B1820" s="1" t="s">
        <v>8024</v>
      </c>
      <c r="C1820" s="1" t="s">
        <v>8025</v>
      </c>
      <c r="D1820" s="1" t="s">
        <v>8026</v>
      </c>
      <c r="F1820" s="1" t="str">
        <f>"1934103276"</f>
        <v>1934103276</v>
      </c>
      <c r="G1820" s="1" t="str">
        <f>"9781934103272"</f>
        <v>9781934103272</v>
      </c>
      <c r="H1820" s="1">
        <v>0.0</v>
      </c>
      <c r="I1820" s="1">
        <v>4.16</v>
      </c>
      <c r="J1820" s="1" t="s">
        <v>730</v>
      </c>
      <c r="K1820" s="1" t="s">
        <v>44</v>
      </c>
      <c r="L1820" s="1">
        <v>114.0</v>
      </c>
      <c r="M1820" s="1">
        <v>2012.0</v>
      </c>
      <c r="N1820" s="1">
        <v>2012.0</v>
      </c>
      <c r="P1820" s="2">
        <v>45143.0</v>
      </c>
      <c r="Q1820" s="1" t="s">
        <v>449</v>
      </c>
      <c r="R1820" s="1" t="s">
        <v>8027</v>
      </c>
      <c r="S1820" s="1" t="s">
        <v>32</v>
      </c>
      <c r="W1820" s="1">
        <v>1.0</v>
      </c>
      <c r="X1820" s="1">
        <v>1.0</v>
      </c>
    </row>
    <row r="1821" spans="1:24" ht="15.75" customHeight="1">
      <c r="A1821" s="1">
        <v>3.4227425E7</v>
      </c>
      <c r="B1821" s="1" t="s">
        <v>8028</v>
      </c>
      <c r="C1821" s="1" t="s">
        <v>8029</v>
      </c>
      <c r="D1821" s="1" t="s">
        <v>8030</v>
      </c>
      <c r="F1821" s="1" t="str">
        <f>"022647075X"</f>
        <v>022647075X</v>
      </c>
      <c r="G1821" s="1" t="str">
        <f>"9780226470757"</f>
        <v>9780226470757</v>
      </c>
      <c r="H1821" s="1">
        <v>0.0</v>
      </c>
      <c r="I1821" s="1">
        <v>3.99</v>
      </c>
      <c r="J1821" s="1" t="s">
        <v>78</v>
      </c>
      <c r="K1821" s="1" t="s">
        <v>37</v>
      </c>
      <c r="L1821" s="1">
        <v>352.0</v>
      </c>
      <c r="M1821" s="1">
        <v>2017.0</v>
      </c>
      <c r="P1821" s="2">
        <v>44018.0</v>
      </c>
      <c r="Q1821" s="1" t="s">
        <v>8031</v>
      </c>
      <c r="R1821" s="1" t="s">
        <v>8032</v>
      </c>
      <c r="S1821" s="1" t="s">
        <v>32</v>
      </c>
      <c r="W1821" s="1">
        <v>0.0</v>
      </c>
      <c r="X1821" s="1">
        <v>0.0</v>
      </c>
    </row>
    <row r="1822" spans="1:24" ht="15.75" customHeight="1">
      <c r="A1822" s="1">
        <v>98416.0</v>
      </c>
      <c r="B1822" s="1" t="s">
        <v>8033</v>
      </c>
      <c r="C1822" s="1" t="s">
        <v>8034</v>
      </c>
      <c r="D1822" s="1" t="s">
        <v>8035</v>
      </c>
      <c r="E1822" s="1" t="s">
        <v>8036</v>
      </c>
      <c r="F1822" s="1" t="str">
        <f>"0393309851"</f>
        <v>0393309851</v>
      </c>
      <c r="G1822" s="1" t="str">
        <f>"9780393309850"</f>
        <v>9780393309850</v>
      </c>
      <c r="H1822" s="1">
        <v>0.0</v>
      </c>
      <c r="I1822" s="1">
        <v>3.91</v>
      </c>
      <c r="J1822" s="1" t="s">
        <v>248</v>
      </c>
      <c r="K1822" s="1" t="s">
        <v>44</v>
      </c>
      <c r="L1822" s="1">
        <v>368.0</v>
      </c>
      <c r="M1822" s="1">
        <v>1993.0</v>
      </c>
      <c r="N1822" s="1">
        <v>1991.0</v>
      </c>
      <c r="P1822" s="2">
        <v>45269.0</v>
      </c>
      <c r="Q1822" s="1" t="s">
        <v>479</v>
      </c>
      <c r="R1822" s="1" t="s">
        <v>8037</v>
      </c>
      <c r="S1822" s="1" t="s">
        <v>32</v>
      </c>
      <c r="W1822" s="1">
        <v>0.0</v>
      </c>
      <c r="X1822" s="1">
        <v>0.0</v>
      </c>
    </row>
    <row r="1823" spans="1:24" ht="15.75" customHeight="1">
      <c r="A1823" s="1">
        <v>1089329.0</v>
      </c>
      <c r="B1823" s="1" t="s">
        <v>8038</v>
      </c>
      <c r="C1823" s="1" t="s">
        <v>8039</v>
      </c>
      <c r="D1823" s="1" t="s">
        <v>8040</v>
      </c>
      <c r="F1823" s="1" t="str">
        <f>"0879801581"</f>
        <v>0879801581</v>
      </c>
      <c r="G1823" s="1" t="str">
        <f>"9780879801588"</f>
        <v>9780879801588</v>
      </c>
      <c r="H1823" s="1">
        <v>0.0</v>
      </c>
      <c r="I1823" s="1">
        <v>3.83</v>
      </c>
      <c r="J1823" s="1" t="s">
        <v>8041</v>
      </c>
      <c r="K1823" s="1" t="s">
        <v>44</v>
      </c>
      <c r="M1823" s="1">
        <v>1978.0</v>
      </c>
      <c r="N1823" s="1">
        <v>1888.0</v>
      </c>
      <c r="P1823" s="2">
        <v>45087.0</v>
      </c>
      <c r="Q1823" s="1" t="s">
        <v>32</v>
      </c>
      <c r="R1823" s="1" t="s">
        <v>8042</v>
      </c>
      <c r="S1823" s="1" t="s">
        <v>32</v>
      </c>
      <c r="W1823" s="1">
        <v>0.0</v>
      </c>
      <c r="X1823" s="1">
        <v>0.0</v>
      </c>
    </row>
    <row r="1824" spans="1:24" ht="15.75" customHeight="1">
      <c r="A1824" s="1">
        <v>8562179.0</v>
      </c>
      <c r="B1824" s="1" t="s">
        <v>8043</v>
      </c>
      <c r="C1824" s="1" t="s">
        <v>8044</v>
      </c>
      <c r="D1824" s="1" t="s">
        <v>8045</v>
      </c>
      <c r="E1824" s="1" t="s">
        <v>8046</v>
      </c>
      <c r="F1824" s="1" t="str">
        <f>"0691143730"</f>
        <v>0691143730</v>
      </c>
      <c r="G1824" s="1" t="str">
        <f>"9780691143736"</f>
        <v>9780691143736</v>
      </c>
      <c r="H1824" s="1">
        <v>0.0</v>
      </c>
      <c r="I1824" s="1">
        <v>3.89</v>
      </c>
      <c r="J1824" s="1" t="s">
        <v>1011</v>
      </c>
      <c r="K1824" s="1" t="s">
        <v>37</v>
      </c>
      <c r="L1824" s="1">
        <v>256.0</v>
      </c>
      <c r="M1824" s="1">
        <v>2011.0</v>
      </c>
      <c r="N1824" s="1">
        <v>2000.0</v>
      </c>
      <c r="P1824" s="2">
        <v>45176.0</v>
      </c>
      <c r="Q1824" s="1" t="s">
        <v>32</v>
      </c>
      <c r="R1824" s="1" t="s">
        <v>8047</v>
      </c>
      <c r="S1824" s="1" t="s">
        <v>32</v>
      </c>
      <c r="W1824" s="1">
        <v>0.0</v>
      </c>
      <c r="X1824" s="1">
        <v>0.0</v>
      </c>
    </row>
    <row r="1825" spans="1:24" ht="15.75" customHeight="1">
      <c r="A1825" s="1">
        <v>2.06955E7</v>
      </c>
      <c r="B1825" s="1" t="s">
        <v>8048</v>
      </c>
      <c r="C1825" s="1" t="s">
        <v>8049</v>
      </c>
      <c r="D1825" s="1" t="s">
        <v>8050</v>
      </c>
      <c r="E1825" s="1" t="s">
        <v>8051</v>
      </c>
      <c r="F1825" s="1" t="str">
        <f>"1908313633"</f>
        <v>1908313633</v>
      </c>
      <c r="G1825" s="1" t="str">
        <f>"9781908313638"</f>
        <v>9781908313638</v>
      </c>
      <c r="H1825" s="1">
        <v>0.0</v>
      </c>
      <c r="I1825" s="1">
        <v>3.7</v>
      </c>
      <c r="J1825" s="1" t="s">
        <v>2887</v>
      </c>
      <c r="K1825" s="1" t="s">
        <v>44</v>
      </c>
      <c r="L1825" s="1">
        <v>144.0</v>
      </c>
      <c r="M1825" s="1">
        <v>2014.0</v>
      </c>
      <c r="N1825" s="1">
        <v>1997.0</v>
      </c>
      <c r="P1825" s="3">
        <v>45291.0</v>
      </c>
      <c r="Q1825" s="1" t="s">
        <v>145</v>
      </c>
      <c r="R1825" s="1" t="s">
        <v>8052</v>
      </c>
      <c r="S1825" s="1" t="s">
        <v>32</v>
      </c>
      <c r="W1825" s="1">
        <v>0.0</v>
      </c>
      <c r="X1825" s="1">
        <v>0.0</v>
      </c>
    </row>
    <row r="1826" spans="1:24" ht="15.75" customHeight="1">
      <c r="A1826" s="1">
        <v>151926.0</v>
      </c>
      <c r="B1826" s="1" t="s">
        <v>8053</v>
      </c>
      <c r="C1826" s="1" t="s">
        <v>8054</v>
      </c>
      <c r="D1826" s="1" t="s">
        <v>8055</v>
      </c>
      <c r="F1826" s="1" t="str">
        <f>"0452276721"</f>
        <v>0452276721</v>
      </c>
      <c r="G1826" s="1" t="str">
        <f>"9780452276727"</f>
        <v>9780452276727</v>
      </c>
      <c r="H1826" s="1">
        <v>0.0</v>
      </c>
      <c r="I1826" s="1">
        <v>4.09</v>
      </c>
      <c r="J1826" s="1" t="s">
        <v>8056</v>
      </c>
      <c r="K1826" s="1" t="s">
        <v>44</v>
      </c>
      <c r="L1826" s="1">
        <v>288.0</v>
      </c>
      <c r="M1826" s="1">
        <v>1996.0</v>
      </c>
      <c r="N1826" s="1">
        <v>1995.0</v>
      </c>
      <c r="P1826" s="2">
        <v>45111.0</v>
      </c>
      <c r="Q1826" s="1" t="s">
        <v>261</v>
      </c>
      <c r="R1826" s="1" t="s">
        <v>8057</v>
      </c>
      <c r="S1826" s="1" t="s">
        <v>32</v>
      </c>
      <c r="W1826" s="1">
        <v>0.0</v>
      </c>
      <c r="X1826" s="1">
        <v>0.0</v>
      </c>
    </row>
    <row r="1827" spans="1:24" ht="15.75" customHeight="1">
      <c r="A1827" s="1">
        <v>1512020.0</v>
      </c>
      <c r="B1827" s="1" t="s">
        <v>8058</v>
      </c>
      <c r="C1827" s="1" t="s">
        <v>8059</v>
      </c>
      <c r="D1827" s="1" t="s">
        <v>8060</v>
      </c>
      <c r="F1827" s="1" t="str">
        <f>"0415040132"</f>
        <v>0415040132</v>
      </c>
      <c r="G1827" s="1" t="str">
        <f>"9780415040136"</f>
        <v>9780415040136</v>
      </c>
      <c r="H1827" s="1">
        <v>0.0</v>
      </c>
      <c r="I1827" s="1">
        <v>4.0</v>
      </c>
      <c r="J1827" s="1" t="s">
        <v>280</v>
      </c>
      <c r="K1827" s="1" t="s">
        <v>44</v>
      </c>
      <c r="M1827" s="1">
        <v>1987.0</v>
      </c>
      <c r="N1827" s="1">
        <v>1987.0</v>
      </c>
      <c r="P1827" s="2">
        <v>43101.0</v>
      </c>
      <c r="Q1827" s="1" t="s">
        <v>32</v>
      </c>
      <c r="R1827" s="1" t="s">
        <v>8061</v>
      </c>
      <c r="S1827" s="1" t="s">
        <v>32</v>
      </c>
      <c r="W1827" s="1">
        <v>0.0</v>
      </c>
      <c r="X1827" s="1">
        <v>0.0</v>
      </c>
    </row>
    <row r="1828" spans="1:24" ht="15.75" customHeight="1">
      <c r="A1828" s="1">
        <v>761599.0</v>
      </c>
      <c r="B1828" s="1" t="s">
        <v>8062</v>
      </c>
      <c r="C1828" s="1" t="s">
        <v>8063</v>
      </c>
      <c r="D1828" s="1" t="s">
        <v>8064</v>
      </c>
      <c r="E1828" s="1" t="s">
        <v>8065</v>
      </c>
      <c r="F1828" s="1" t="str">
        <f>"0932274439"</f>
        <v>0932274439</v>
      </c>
      <c r="G1828" s="1" t="str">
        <f>"9780932274434"</f>
        <v>9780932274434</v>
      </c>
      <c r="H1828" s="1">
        <v>0.0</v>
      </c>
      <c r="I1828" s="1">
        <v>4.17</v>
      </c>
      <c r="J1828" s="1" t="s">
        <v>8066</v>
      </c>
      <c r="K1828" s="1" t="s">
        <v>44</v>
      </c>
      <c r="L1828" s="1">
        <v>137.0</v>
      </c>
      <c r="M1828" s="1">
        <v>1988.0</v>
      </c>
      <c r="N1828" s="1">
        <v>1989.0</v>
      </c>
      <c r="P1828" s="2">
        <v>45239.0</v>
      </c>
      <c r="Q1828" s="1" t="s">
        <v>145</v>
      </c>
      <c r="R1828" s="1" t="s">
        <v>8067</v>
      </c>
      <c r="S1828" s="1" t="s">
        <v>32</v>
      </c>
      <c r="W1828" s="1">
        <v>0.0</v>
      </c>
      <c r="X1828" s="1">
        <v>0.0</v>
      </c>
    </row>
    <row r="1829" spans="1:24" ht="15.75" customHeight="1">
      <c r="A1829" s="1">
        <v>5.4303848E7</v>
      </c>
      <c r="B1829" s="1" t="s">
        <v>8068</v>
      </c>
      <c r="C1829" s="1" t="s">
        <v>8069</v>
      </c>
      <c r="D1829" s="1" t="s">
        <v>8070</v>
      </c>
      <c r="F1829" s="1" t="str">
        <f t="shared" si="136" ref="F1829:G1829">""</f>
        <v/>
      </c>
      <c r="G1829" s="1" t="str">
        <f t="shared" si="136"/>
        <v/>
      </c>
      <c r="H1829" s="1">
        <v>0.0</v>
      </c>
      <c r="I1829" s="1">
        <v>3.93</v>
      </c>
      <c r="J1829" s="1" t="s">
        <v>8071</v>
      </c>
      <c r="K1829" s="1" t="s">
        <v>37</v>
      </c>
      <c r="L1829" s="1">
        <v>191.0</v>
      </c>
      <c r="M1829" s="1">
        <v>2021.0</v>
      </c>
      <c r="N1829" s="1">
        <v>2021.0</v>
      </c>
      <c r="P1829" s="2">
        <v>44216.0</v>
      </c>
      <c r="Q1829" s="1" t="s">
        <v>502</v>
      </c>
      <c r="R1829" s="1" t="s">
        <v>8072</v>
      </c>
      <c r="S1829" s="1" t="s">
        <v>32</v>
      </c>
      <c r="W1829" s="1">
        <v>0.0</v>
      </c>
      <c r="X1829" s="1">
        <v>0.0</v>
      </c>
    </row>
    <row r="1830" spans="1:24" ht="15.75" customHeight="1">
      <c r="A1830" s="1">
        <v>301133.0</v>
      </c>
      <c r="B1830" s="1" t="s">
        <v>8073</v>
      </c>
      <c r="C1830" s="1" t="s">
        <v>8074</v>
      </c>
      <c r="D1830" s="1" t="s">
        <v>8075</v>
      </c>
      <c r="E1830" s="1" t="s">
        <v>8076</v>
      </c>
      <c r="F1830" s="1" t="str">
        <f>"0773524142"</f>
        <v>0773524142</v>
      </c>
      <c r="G1830" s="1" t="str">
        <f>"9780773524149"</f>
        <v>9780773524149</v>
      </c>
      <c r="H1830" s="1">
        <v>0.0</v>
      </c>
      <c r="I1830" s="1">
        <v>3.67</v>
      </c>
      <c r="J1830" s="1" t="s">
        <v>6570</v>
      </c>
      <c r="K1830" s="1" t="s">
        <v>44</v>
      </c>
      <c r="L1830" s="1">
        <v>456.0</v>
      </c>
      <c r="M1830" s="1">
        <v>1999.0</v>
      </c>
      <c r="N1830" s="1">
        <v>1999.0</v>
      </c>
      <c r="P1830" s="3">
        <v>45270.0</v>
      </c>
      <c r="Q1830" s="1" t="s">
        <v>2129</v>
      </c>
      <c r="R1830" s="1" t="s">
        <v>8077</v>
      </c>
      <c r="S1830" s="1" t="s">
        <v>32</v>
      </c>
      <c r="W1830" s="1">
        <v>0.0</v>
      </c>
      <c r="X1830" s="1">
        <v>0.0</v>
      </c>
    </row>
    <row r="1831" spans="1:24" ht="15.75" customHeight="1">
      <c r="A1831" s="1">
        <v>1.7978434E7</v>
      </c>
      <c r="B1831" s="1" t="s">
        <v>8078</v>
      </c>
      <c r="C1831" s="1" t="s">
        <v>8079</v>
      </c>
      <c r="D1831" s="1" t="s">
        <v>8080</v>
      </c>
      <c r="E1831" s="1" t="s">
        <v>8079</v>
      </c>
      <c r="F1831" s="1" t="str">
        <f>"0307745422"</f>
        <v>0307745422</v>
      </c>
      <c r="G1831" s="1" t="str">
        <f>"9780307745422"</f>
        <v>9780307745422</v>
      </c>
      <c r="H1831" s="1">
        <v>0.0</v>
      </c>
      <c r="I1831" s="1">
        <v>3.44</v>
      </c>
      <c r="J1831" s="1" t="s">
        <v>69</v>
      </c>
      <c r="K1831" s="1" t="s">
        <v>44</v>
      </c>
      <c r="L1831" s="1">
        <v>224.0</v>
      </c>
      <c r="M1831" s="1">
        <v>2014.0</v>
      </c>
      <c r="N1831" s="1">
        <v>2011.0</v>
      </c>
      <c r="P1831" s="2">
        <v>42345.0</v>
      </c>
      <c r="Q1831" s="1" t="s">
        <v>818</v>
      </c>
      <c r="R1831" s="1" t="s">
        <v>8081</v>
      </c>
      <c r="S1831" s="1" t="s">
        <v>32</v>
      </c>
      <c r="W1831" s="1">
        <v>0.0</v>
      </c>
      <c r="X1831" s="1">
        <v>1.0</v>
      </c>
    </row>
    <row r="1832" spans="1:24" ht="15.75" customHeight="1">
      <c r="A1832" s="1">
        <v>1344316.0</v>
      </c>
      <c r="B1832" s="1" t="s">
        <v>8082</v>
      </c>
      <c r="C1832" s="1" t="s">
        <v>8083</v>
      </c>
      <c r="D1832" s="1" t="s">
        <v>8084</v>
      </c>
      <c r="F1832" s="1" t="str">
        <f>"080707957X"</f>
        <v>080707957X</v>
      </c>
      <c r="G1832" s="1" t="str">
        <f>"9780807079577"</f>
        <v>9780807079577</v>
      </c>
      <c r="H1832" s="1">
        <v>0.0</v>
      </c>
      <c r="I1832" s="1">
        <v>3.89</v>
      </c>
      <c r="J1832" s="1" t="s">
        <v>758</v>
      </c>
      <c r="K1832" s="1" t="s">
        <v>44</v>
      </c>
      <c r="L1832" s="1">
        <v>264.0</v>
      </c>
      <c r="M1832" s="1">
        <v>2004.0</v>
      </c>
      <c r="N1832" s="1">
        <v>2004.0</v>
      </c>
      <c r="P1832" s="2">
        <v>43046.0</v>
      </c>
      <c r="Q1832" s="1" t="s">
        <v>1110</v>
      </c>
      <c r="R1832" s="1" t="s">
        <v>8085</v>
      </c>
      <c r="S1832" s="1" t="s">
        <v>32</v>
      </c>
      <c r="W1832" s="1">
        <v>0.0</v>
      </c>
      <c r="X1832" s="1">
        <v>0.0</v>
      </c>
    </row>
    <row r="1833" spans="1:24" ht="15.75" customHeight="1">
      <c r="A1833" s="1">
        <v>5.9808264E7</v>
      </c>
      <c r="B1833" s="1" t="s">
        <v>8086</v>
      </c>
      <c r="C1833" s="1" t="s">
        <v>8087</v>
      </c>
      <c r="D1833" s="1" t="s">
        <v>8088</v>
      </c>
      <c r="F1833" s="1" t="str">
        <f>"1250151171"</f>
        <v>1250151171</v>
      </c>
      <c r="G1833" s="1" t="str">
        <f>"9781250151179"</f>
        <v>9781250151179</v>
      </c>
      <c r="H1833" s="1">
        <v>0.0</v>
      </c>
      <c r="I1833" s="1">
        <v>3.5</v>
      </c>
      <c r="J1833" s="1" t="s">
        <v>2484</v>
      </c>
      <c r="K1833" s="1" t="s">
        <v>37</v>
      </c>
      <c r="L1833" s="1">
        <v>272.0</v>
      </c>
      <c r="M1833" s="1">
        <v>2022.0</v>
      </c>
      <c r="N1833" s="1">
        <v>2022.0</v>
      </c>
      <c r="P1833" s="2">
        <v>45167.0</v>
      </c>
      <c r="Q1833" s="1" t="s">
        <v>55</v>
      </c>
      <c r="R1833" s="1" t="s">
        <v>8089</v>
      </c>
      <c r="S1833" s="1" t="s">
        <v>32</v>
      </c>
      <c r="W1833" s="1">
        <v>0.0</v>
      </c>
      <c r="X1833" s="1">
        <v>0.0</v>
      </c>
    </row>
    <row r="1834" spans="1:24" ht="15.75" customHeight="1">
      <c r="A1834" s="1">
        <v>1908088.0</v>
      </c>
      <c r="B1834" s="1" t="s">
        <v>8090</v>
      </c>
      <c r="C1834" s="1" t="s">
        <v>8091</v>
      </c>
      <c r="D1834" s="1" t="s">
        <v>8092</v>
      </c>
      <c r="F1834" s="1" t="str">
        <f>"0980286581"</f>
        <v>0980286581</v>
      </c>
      <c r="G1834" s="1" t="str">
        <f>"9780980286588"</f>
        <v>9780980286588</v>
      </c>
      <c r="H1834" s="1">
        <v>0.0</v>
      </c>
      <c r="I1834" s="1">
        <v>4.32</v>
      </c>
      <c r="J1834" s="1" t="s">
        <v>8093</v>
      </c>
      <c r="K1834" s="1" t="s">
        <v>44</v>
      </c>
      <c r="L1834" s="1">
        <v>496.0</v>
      </c>
      <c r="M1834" s="1">
        <v>2007.0</v>
      </c>
      <c r="N1834" s="1">
        <v>1990.0</v>
      </c>
      <c r="P1834" s="2">
        <v>45236.0</v>
      </c>
      <c r="Q1834" s="1" t="s">
        <v>502</v>
      </c>
      <c r="R1834" s="1" t="s">
        <v>8094</v>
      </c>
      <c r="S1834" s="1" t="s">
        <v>32</v>
      </c>
      <c r="W1834" s="1">
        <v>0.0</v>
      </c>
      <c r="X1834" s="1">
        <v>0.0</v>
      </c>
    </row>
    <row r="1835" spans="1:24" ht="15.75" customHeight="1">
      <c r="A1835" s="1">
        <v>2454275.0</v>
      </c>
      <c r="B1835" s="1" t="s">
        <v>8095</v>
      </c>
      <c r="C1835" s="1" t="s">
        <v>8096</v>
      </c>
      <c r="D1835" s="1" t="s">
        <v>8097</v>
      </c>
      <c r="F1835" s="1" t="str">
        <f>"1565842103"</f>
        <v>1565842103</v>
      </c>
      <c r="G1835" s="1" t="str">
        <f>"9781565842106"</f>
        <v>9781565842106</v>
      </c>
      <c r="H1835" s="1">
        <v>0.0</v>
      </c>
      <c r="I1835" s="1">
        <v>4.08</v>
      </c>
      <c r="J1835" s="1" t="s">
        <v>1104</v>
      </c>
      <c r="K1835" s="1" t="s">
        <v>37</v>
      </c>
      <c r="L1835" s="1">
        <v>384.0</v>
      </c>
      <c r="M1835" s="1">
        <v>1994.0</v>
      </c>
      <c r="N1835" s="1">
        <v>1994.0</v>
      </c>
      <c r="P1835" s="2">
        <v>45113.0</v>
      </c>
      <c r="Q1835" s="1" t="s">
        <v>5810</v>
      </c>
      <c r="R1835" s="1" t="s">
        <v>8098</v>
      </c>
      <c r="S1835" s="1" t="s">
        <v>32</v>
      </c>
      <c r="W1835" s="1">
        <v>0.0</v>
      </c>
      <c r="X1835" s="1">
        <v>1.0</v>
      </c>
    </row>
    <row r="1836" spans="1:24" ht="15.75" customHeight="1">
      <c r="A1836" s="1">
        <v>827327.0</v>
      </c>
      <c r="B1836" s="1" t="s">
        <v>8099</v>
      </c>
      <c r="C1836" s="1" t="s">
        <v>8100</v>
      </c>
      <c r="D1836" s="1" t="s">
        <v>8101</v>
      </c>
      <c r="E1836" s="1" t="s">
        <v>2502</v>
      </c>
      <c r="F1836" s="1" t="str">
        <f>"1590170024"</f>
        <v>1590170024</v>
      </c>
      <c r="G1836" s="1" t="str">
        <f>"9781590170021"</f>
        <v>9781590170021</v>
      </c>
      <c r="H1836" s="1">
        <v>0.0</v>
      </c>
      <c r="I1836" s="1">
        <v>3.99</v>
      </c>
      <c r="J1836" s="1" t="s">
        <v>204</v>
      </c>
      <c r="K1836" s="1" t="s">
        <v>44</v>
      </c>
      <c r="L1836" s="1">
        <v>643.0</v>
      </c>
      <c r="M1836" s="1">
        <v>2002.0</v>
      </c>
      <c r="N1836" s="1">
        <v>1961.0</v>
      </c>
      <c r="P1836" s="2">
        <v>45102.0</v>
      </c>
      <c r="Q1836" s="1" t="s">
        <v>502</v>
      </c>
      <c r="R1836" s="1" t="s">
        <v>8102</v>
      </c>
      <c r="S1836" s="1" t="s">
        <v>32</v>
      </c>
      <c r="W1836" s="1">
        <v>0.0</v>
      </c>
      <c r="X1836" s="1">
        <v>0.0</v>
      </c>
    </row>
    <row r="1837" spans="1:24" ht="15.75" customHeight="1">
      <c r="A1837" s="1">
        <v>41793.0</v>
      </c>
      <c r="B1837" s="1" t="s">
        <v>8103</v>
      </c>
      <c r="C1837" s="1" t="s">
        <v>8104</v>
      </c>
      <c r="D1837" s="1" t="s">
        <v>8105</v>
      </c>
      <c r="F1837" s="1" t="str">
        <f>"0596006624"</f>
        <v>0596006624</v>
      </c>
      <c r="G1837" s="1" t="str">
        <f>"9780596006624"</f>
        <v>9780596006624</v>
      </c>
      <c r="H1837" s="1">
        <v>0.0</v>
      </c>
      <c r="I1837" s="1">
        <v>4.05</v>
      </c>
      <c r="J1837" s="1" t="s">
        <v>8106</v>
      </c>
      <c r="K1837" s="1" t="s">
        <v>37</v>
      </c>
      <c r="L1837" s="1">
        <v>258.0</v>
      </c>
      <c r="M1837" s="1">
        <v>2004.0</v>
      </c>
      <c r="N1837" s="1">
        <v>2004.0</v>
      </c>
      <c r="P1837" s="2">
        <v>44043.0</v>
      </c>
      <c r="Q1837" s="1" t="s">
        <v>32</v>
      </c>
      <c r="R1837" s="1" t="s">
        <v>8107</v>
      </c>
      <c r="S1837" s="1" t="s">
        <v>32</v>
      </c>
      <c r="W1837" s="1">
        <v>0.0</v>
      </c>
      <c r="X1837" s="1">
        <v>0.0</v>
      </c>
    </row>
    <row r="1838" spans="1:24" ht="15.75" customHeight="1">
      <c r="A1838" s="1">
        <v>2.9283361E7</v>
      </c>
      <c r="B1838" s="1" t="s">
        <v>8108</v>
      </c>
      <c r="C1838" s="1" t="s">
        <v>8109</v>
      </c>
      <c r="D1838" s="1" t="s">
        <v>8110</v>
      </c>
      <c r="F1838" s="1" t="str">
        <f>"0190209062"</f>
        <v>0190209062</v>
      </c>
      <c r="G1838" s="1" t="str">
        <f>"9780190209063"</f>
        <v>9780190209063</v>
      </c>
      <c r="H1838" s="1">
        <v>0.0</v>
      </c>
      <c r="I1838" s="1">
        <v>4.8</v>
      </c>
      <c r="J1838" s="1" t="s">
        <v>181</v>
      </c>
      <c r="K1838" s="1" t="s">
        <v>37</v>
      </c>
      <c r="L1838" s="1">
        <v>304.0</v>
      </c>
      <c r="M1838" s="1">
        <v>2016.0</v>
      </c>
      <c r="P1838" s="2">
        <v>45191.0</v>
      </c>
      <c r="Q1838" s="1" t="s">
        <v>55</v>
      </c>
      <c r="R1838" s="1" t="s">
        <v>8111</v>
      </c>
      <c r="S1838" s="1" t="s">
        <v>32</v>
      </c>
      <c r="W1838" s="1">
        <v>0.0</v>
      </c>
      <c r="X1838" s="1">
        <v>0.0</v>
      </c>
    </row>
    <row r="1839" spans="1:24" ht="15.75" customHeight="1">
      <c r="A1839" s="1">
        <v>373557.0</v>
      </c>
      <c r="B1839" s="1" t="s">
        <v>8112</v>
      </c>
      <c r="C1839" s="1" t="s">
        <v>8113</v>
      </c>
      <c r="D1839" s="1" t="s">
        <v>8114</v>
      </c>
      <c r="F1839" s="1" t="str">
        <f>"1929631308"</f>
        <v>1929631308</v>
      </c>
      <c r="G1839" s="1" t="str">
        <f>"9781929631308"</f>
        <v>9781929631308</v>
      </c>
      <c r="H1839" s="1">
        <v>0.0</v>
      </c>
      <c r="I1839" s="1">
        <v>3.6</v>
      </c>
      <c r="J1839" s="1" t="s">
        <v>8115</v>
      </c>
      <c r="K1839" s="1" t="s">
        <v>44</v>
      </c>
      <c r="L1839" s="1">
        <v>206.0</v>
      </c>
      <c r="M1839" s="1">
        <v>2004.0</v>
      </c>
      <c r="N1839" s="1">
        <v>2004.0</v>
      </c>
      <c r="P1839" s="2">
        <v>45299.0</v>
      </c>
      <c r="Q1839" s="1" t="s">
        <v>30</v>
      </c>
      <c r="R1839" s="1" t="s">
        <v>8116</v>
      </c>
      <c r="S1839" s="1" t="s">
        <v>32</v>
      </c>
      <c r="W1839" s="1">
        <v>0.0</v>
      </c>
      <c r="X1839" s="1">
        <v>0.0</v>
      </c>
    </row>
    <row r="1840" spans="1:24" ht="15.75" customHeight="1">
      <c r="A1840" s="1">
        <v>3.0244626E7</v>
      </c>
      <c r="B1840" s="1" t="s">
        <v>8117</v>
      </c>
      <c r="C1840" s="1" t="s">
        <v>8118</v>
      </c>
      <c r="D1840" s="1" t="s">
        <v>8119</v>
      </c>
      <c r="F1840" s="1" t="str">
        <f>"1627794468"</f>
        <v>1627794468</v>
      </c>
      <c r="G1840" s="1" t="str">
        <f>"9781627794466"</f>
        <v>9781627794466</v>
      </c>
      <c r="H1840" s="1">
        <v>0.0</v>
      </c>
      <c r="I1840" s="1">
        <v>3.96</v>
      </c>
      <c r="J1840" s="1" t="s">
        <v>8120</v>
      </c>
      <c r="K1840" s="1" t="s">
        <v>37</v>
      </c>
      <c r="L1840" s="1">
        <v>866.0</v>
      </c>
      <c r="M1840" s="1">
        <v>2017.0</v>
      </c>
      <c r="N1840" s="1">
        <v>2017.0</v>
      </c>
      <c r="P1840" s="2">
        <v>42943.0</v>
      </c>
      <c r="Q1840" s="1" t="s">
        <v>502</v>
      </c>
      <c r="R1840" s="1" t="s">
        <v>8121</v>
      </c>
      <c r="S1840" s="1" t="s">
        <v>32</v>
      </c>
      <c r="W1840" s="1">
        <v>0.0</v>
      </c>
      <c r="X1840" s="1">
        <v>0.0</v>
      </c>
    </row>
    <row r="1841" spans="1:24" ht="15.75" customHeight="1">
      <c r="A1841" s="1">
        <v>5.7030264E7</v>
      </c>
      <c r="B1841" s="1" t="s">
        <v>8122</v>
      </c>
      <c r="C1841" s="1" t="s">
        <v>8123</v>
      </c>
      <c r="D1841" s="1" t="s">
        <v>8124</v>
      </c>
      <c r="E1841" s="1" t="s">
        <v>7556</v>
      </c>
      <c r="F1841" s="1" t="str">
        <f>"1913097587"</f>
        <v>1913097587</v>
      </c>
      <c r="G1841" s="1" t="str">
        <f>"9781913097585"</f>
        <v>9781913097585</v>
      </c>
      <c r="H1841" s="1">
        <v>0.0</v>
      </c>
      <c r="I1841" s="1">
        <v>4.27</v>
      </c>
      <c r="J1841" s="1" t="s">
        <v>144</v>
      </c>
      <c r="K1841" s="1" t="s">
        <v>44</v>
      </c>
      <c r="L1841" s="1">
        <v>88.0</v>
      </c>
      <c r="M1841" s="1">
        <v>2021.0</v>
      </c>
      <c r="N1841" s="1">
        <v>2020.0</v>
      </c>
      <c r="P1841" s="2">
        <v>45185.0</v>
      </c>
      <c r="Q1841" s="1" t="s">
        <v>1064</v>
      </c>
      <c r="R1841" s="1" t="s">
        <v>8125</v>
      </c>
      <c r="S1841" s="1" t="s">
        <v>32</v>
      </c>
      <c r="W1841" s="1">
        <v>0.0</v>
      </c>
      <c r="X1841" s="1">
        <v>0.0</v>
      </c>
    </row>
    <row r="1842" spans="1:24" ht="15.75" customHeight="1">
      <c r="A1842" s="1">
        <v>4.5026242E7</v>
      </c>
      <c r="B1842" s="1" t="s">
        <v>8126</v>
      </c>
      <c r="C1842" s="1" t="s">
        <v>8123</v>
      </c>
      <c r="D1842" s="1" t="s">
        <v>8124</v>
      </c>
      <c r="E1842" s="1" t="s">
        <v>8127</v>
      </c>
      <c r="F1842" s="1" t="str">
        <f>"8433998765"</f>
        <v>8433998765</v>
      </c>
      <c r="G1842" s="1" t="str">
        <f>"9788433998767"</f>
        <v>9788433998767</v>
      </c>
      <c r="H1842" s="1">
        <v>0.0</v>
      </c>
      <c r="I1842" s="1">
        <v>4.23</v>
      </c>
      <c r="J1842" s="1" t="s">
        <v>275</v>
      </c>
      <c r="K1842" s="1" t="s">
        <v>44</v>
      </c>
      <c r="L1842" s="1">
        <v>320.0</v>
      </c>
      <c r="M1842" s="1">
        <v>2019.0</v>
      </c>
      <c r="N1842" s="1">
        <v>2019.0</v>
      </c>
      <c r="P1842" s="2">
        <v>43950.0</v>
      </c>
      <c r="Q1842" s="1" t="s">
        <v>32</v>
      </c>
      <c r="R1842" s="1" t="s">
        <v>8128</v>
      </c>
      <c r="S1842" s="1" t="s">
        <v>32</v>
      </c>
      <c r="W1842" s="1">
        <v>0.0</v>
      </c>
      <c r="X1842" s="1">
        <v>0.0</v>
      </c>
    </row>
    <row r="1843" spans="1:24" ht="15.75" customHeight="1">
      <c r="A1843" s="1">
        <v>2.2237161E7</v>
      </c>
      <c r="B1843" s="1" t="s">
        <v>8129</v>
      </c>
      <c r="C1843" s="1" t="s">
        <v>8130</v>
      </c>
      <c r="D1843" s="1" t="s">
        <v>8131</v>
      </c>
      <c r="F1843" s="1" t="str">
        <f>"0374260508"</f>
        <v>0374260508</v>
      </c>
      <c r="G1843" s="1" t="str">
        <f>"9780374260507"</f>
        <v>9780374260507</v>
      </c>
      <c r="H1843" s="1">
        <v>0.0</v>
      </c>
      <c r="I1843" s="1">
        <v>3.75</v>
      </c>
      <c r="J1843" s="1" t="s">
        <v>438</v>
      </c>
      <c r="K1843" s="1" t="s">
        <v>37</v>
      </c>
      <c r="L1843" s="1">
        <v>289.0</v>
      </c>
      <c r="M1843" s="1">
        <v>2015.0</v>
      </c>
      <c r="N1843" s="1">
        <v>2015.0</v>
      </c>
      <c r="P1843" s="2">
        <v>45111.0</v>
      </c>
      <c r="Q1843" s="1" t="s">
        <v>261</v>
      </c>
      <c r="R1843" s="1" t="s">
        <v>8132</v>
      </c>
      <c r="S1843" s="1" t="s">
        <v>32</v>
      </c>
      <c r="W1843" s="1">
        <v>0.0</v>
      </c>
      <c r="X1843" s="1">
        <v>0.0</v>
      </c>
    </row>
    <row r="1844" spans="1:24" ht="15.75" customHeight="1">
      <c r="A1844" s="1">
        <v>95270.0</v>
      </c>
      <c r="B1844" s="1" t="s">
        <v>8133</v>
      </c>
      <c r="C1844" s="1" t="s">
        <v>8134</v>
      </c>
      <c r="D1844" s="1" t="s">
        <v>8135</v>
      </c>
      <c r="F1844" s="1" t="str">
        <f>"1586481819"</f>
        <v>1586481819</v>
      </c>
      <c r="G1844" s="1" t="str">
        <f>"9781586481810"</f>
        <v>9781586481810</v>
      </c>
      <c r="H1844" s="1">
        <v>0.0</v>
      </c>
      <c r="I1844" s="1">
        <v>4.07</v>
      </c>
      <c r="J1844" s="1" t="s">
        <v>4915</v>
      </c>
      <c r="K1844" s="1" t="s">
        <v>44</v>
      </c>
      <c r="L1844" s="1">
        <v>448.0</v>
      </c>
      <c r="M1844" s="1">
        <v>2003.0</v>
      </c>
      <c r="N1844" s="1">
        <v>2001.0</v>
      </c>
      <c r="P1844" s="3">
        <v>45278.0</v>
      </c>
      <c r="Q1844" s="1" t="s">
        <v>479</v>
      </c>
      <c r="R1844" s="1" t="s">
        <v>8136</v>
      </c>
      <c r="S1844" s="1" t="s">
        <v>32</v>
      </c>
      <c r="W1844" s="1">
        <v>0.0</v>
      </c>
      <c r="X1844" s="1">
        <v>0.0</v>
      </c>
    </row>
    <row r="1845" spans="1:24" ht="15.75" customHeight="1">
      <c r="A1845" s="1">
        <v>642889.0</v>
      </c>
      <c r="B1845" s="1" t="s">
        <v>8137</v>
      </c>
      <c r="C1845" s="1" t="s">
        <v>8134</v>
      </c>
      <c r="D1845" s="1" t="s">
        <v>8135</v>
      </c>
      <c r="F1845" s="1" t="str">
        <f>"1586483811"</f>
        <v>1586483811</v>
      </c>
      <c r="G1845" s="1" t="str">
        <f>"9781586483814"</f>
        <v>9781586483814</v>
      </c>
      <c r="H1845" s="1">
        <v>0.0</v>
      </c>
      <c r="I1845" s="1">
        <v>3.96</v>
      </c>
      <c r="J1845" s="1" t="s">
        <v>4915</v>
      </c>
      <c r="K1845" s="1" t="s">
        <v>44</v>
      </c>
      <c r="L1845" s="1">
        <v>304.0</v>
      </c>
      <c r="M1845" s="1">
        <v>2006.0</v>
      </c>
      <c r="N1845" s="1">
        <v>2005.0</v>
      </c>
      <c r="P1845" s="3">
        <v>45271.0</v>
      </c>
      <c r="Q1845" s="1" t="s">
        <v>2129</v>
      </c>
      <c r="R1845" s="1" t="s">
        <v>8138</v>
      </c>
      <c r="S1845" s="1" t="s">
        <v>32</v>
      </c>
      <c r="W1845" s="1">
        <v>0.0</v>
      </c>
      <c r="X1845" s="1">
        <v>0.0</v>
      </c>
    </row>
    <row r="1846" spans="1:24" ht="15.75" customHeight="1">
      <c r="A1846" s="1">
        <v>12046.0</v>
      </c>
      <c r="B1846" s="1" t="s">
        <v>8139</v>
      </c>
      <c r="C1846" s="1" t="s">
        <v>8140</v>
      </c>
      <c r="D1846" s="1" t="s">
        <v>8141</v>
      </c>
      <c r="E1846" s="1" t="s">
        <v>8142</v>
      </c>
      <c r="F1846" s="1" t="str">
        <f>"0061137049"</f>
        <v>0061137049</v>
      </c>
      <c r="G1846" s="1" t="str">
        <f>"9780061137044"</f>
        <v>9780061137044</v>
      </c>
      <c r="H1846" s="1">
        <v>0.0</v>
      </c>
      <c r="I1846" s="1">
        <v>4.29</v>
      </c>
      <c r="J1846" s="1" t="s">
        <v>968</v>
      </c>
      <c r="K1846" s="1" t="s">
        <v>44</v>
      </c>
      <c r="L1846" s="1">
        <v>688.0</v>
      </c>
      <c r="M1846" s="1">
        <v>2006.0</v>
      </c>
      <c r="N1846" s="1">
        <v>2001.0</v>
      </c>
      <c r="P1846" s="2">
        <v>41515.0</v>
      </c>
      <c r="Q1846" s="1" t="s">
        <v>8143</v>
      </c>
      <c r="R1846" s="1" t="s">
        <v>8144</v>
      </c>
      <c r="S1846" s="1" t="s">
        <v>32</v>
      </c>
      <c r="W1846" s="1">
        <v>0.0</v>
      </c>
      <c r="X1846" s="1">
        <v>1.0</v>
      </c>
    </row>
    <row r="1847" spans="1:24" ht="15.75" customHeight="1">
      <c r="A1847" s="1">
        <v>1.7133815E7</v>
      </c>
      <c r="B1847" s="1" t="s">
        <v>8145</v>
      </c>
      <c r="C1847" s="1" t="s">
        <v>8146</v>
      </c>
      <c r="D1847" s="1" t="s">
        <v>8147</v>
      </c>
      <c r="F1847" s="1" t="str">
        <f>"0745649661"</f>
        <v>0745649661</v>
      </c>
      <c r="G1847" s="1" t="str">
        <f>"9780745649665"</f>
        <v>9780745649665</v>
      </c>
      <c r="H1847" s="1">
        <v>0.0</v>
      </c>
      <c r="I1847" s="1">
        <v>3.9</v>
      </c>
      <c r="J1847" s="1" t="s">
        <v>4287</v>
      </c>
      <c r="K1847" s="1" t="s">
        <v>44</v>
      </c>
      <c r="L1847" s="1">
        <v>240.0</v>
      </c>
      <c r="M1847" s="1">
        <v>2013.0</v>
      </c>
      <c r="N1847" s="1">
        <v>2003.0</v>
      </c>
      <c r="P1847" s="2">
        <v>45113.0</v>
      </c>
      <c r="Q1847" s="1" t="s">
        <v>1207</v>
      </c>
      <c r="R1847" s="1" t="s">
        <v>8148</v>
      </c>
      <c r="S1847" s="1" t="s">
        <v>32</v>
      </c>
      <c r="W1847" s="1">
        <v>0.0</v>
      </c>
      <c r="X1847" s="1">
        <v>1.0</v>
      </c>
    </row>
    <row r="1848" spans="1:24" ht="15.75" customHeight="1">
      <c r="A1848" s="1">
        <v>2050203.0</v>
      </c>
      <c r="B1848" s="1" t="s">
        <v>8149</v>
      </c>
      <c r="C1848" s="1" t="s">
        <v>8150</v>
      </c>
      <c r="D1848" s="1" t="s">
        <v>8151</v>
      </c>
      <c r="F1848" s="1" t="str">
        <f>"0517150646"</f>
        <v>0517150646</v>
      </c>
      <c r="G1848" s="1" t="str">
        <f>"9780517150641"</f>
        <v>9780517150641</v>
      </c>
      <c r="H1848" s="1">
        <v>0.0</v>
      </c>
      <c r="I1848" s="1">
        <v>3.68</v>
      </c>
      <c r="J1848" s="1" t="s">
        <v>8152</v>
      </c>
      <c r="K1848" s="1" t="s">
        <v>37</v>
      </c>
      <c r="L1848" s="1">
        <v>496.0</v>
      </c>
      <c r="M1848" s="1">
        <v>1996.0</v>
      </c>
      <c r="N1848" s="1">
        <v>1899.0</v>
      </c>
      <c r="P1848" s="2">
        <v>44960.0</v>
      </c>
      <c r="Q1848" s="1" t="s">
        <v>32</v>
      </c>
      <c r="R1848" s="1" t="s">
        <v>8153</v>
      </c>
      <c r="S1848" s="1" t="s">
        <v>32</v>
      </c>
      <c r="W1848" s="1">
        <v>0.0</v>
      </c>
      <c r="X1848" s="1">
        <v>0.0</v>
      </c>
    </row>
    <row r="1849" spans="1:24" ht="15.75" customHeight="1">
      <c r="A1849" s="1">
        <v>2.6915632E7</v>
      </c>
      <c r="B1849" s="1" t="s">
        <v>8154</v>
      </c>
      <c r="C1849" s="1" t="s">
        <v>8150</v>
      </c>
      <c r="D1849" s="1" t="s">
        <v>8151</v>
      </c>
      <c r="F1849" s="1" t="str">
        <f>"1330211839"</f>
        <v>1330211839</v>
      </c>
      <c r="G1849" s="1" t="str">
        <f>"9781330211830"</f>
        <v>9781330211830</v>
      </c>
      <c r="H1849" s="1">
        <v>0.0</v>
      </c>
      <c r="I1849" s="1">
        <v>0.0</v>
      </c>
      <c r="J1849" s="1" t="s">
        <v>1131</v>
      </c>
      <c r="K1849" s="1" t="s">
        <v>44</v>
      </c>
      <c r="L1849" s="1">
        <v>484.0</v>
      </c>
      <c r="M1849" s="1">
        <v>2017.0</v>
      </c>
      <c r="N1849" s="1">
        <v>2015.0</v>
      </c>
      <c r="P1849" s="2">
        <v>44960.0</v>
      </c>
      <c r="Q1849" s="1" t="s">
        <v>32</v>
      </c>
      <c r="R1849" s="1" t="s">
        <v>8155</v>
      </c>
      <c r="S1849" s="1" t="s">
        <v>32</v>
      </c>
      <c r="W1849" s="1">
        <v>0.0</v>
      </c>
      <c r="X1849" s="1">
        <v>0.0</v>
      </c>
    </row>
    <row r="1850" spans="1:24" ht="15.75" customHeight="1">
      <c r="A1850" s="1">
        <v>43851.0</v>
      </c>
      <c r="B1850" s="1" t="s">
        <v>8156</v>
      </c>
      <c r="C1850" s="1" t="s">
        <v>8157</v>
      </c>
      <c r="D1850" s="1" t="s">
        <v>8158</v>
      </c>
      <c r="F1850" s="1" t="str">
        <f>"1585424919"</f>
        <v>1585424919</v>
      </c>
      <c r="G1850" s="1" t="str">
        <f>"9781585424917"</f>
        <v>9781585424917</v>
      </c>
      <c r="H1850" s="1">
        <v>0.0</v>
      </c>
      <c r="I1850" s="1">
        <v>4.21</v>
      </c>
      <c r="J1850" s="1" t="s">
        <v>5470</v>
      </c>
      <c r="K1850" s="1" t="s">
        <v>44</v>
      </c>
      <c r="L1850" s="1">
        <v>256.0</v>
      </c>
      <c r="M1850" s="1">
        <v>2006.0</v>
      </c>
      <c r="N1850" s="1">
        <v>1947.0</v>
      </c>
      <c r="P1850" s="2">
        <v>44790.0</v>
      </c>
      <c r="Q1850" s="1" t="s">
        <v>491</v>
      </c>
      <c r="R1850" s="1" t="s">
        <v>8159</v>
      </c>
      <c r="S1850" s="1" t="s">
        <v>32</v>
      </c>
      <c r="W1850" s="1">
        <v>0.0</v>
      </c>
      <c r="X1850" s="1">
        <v>0.0</v>
      </c>
    </row>
    <row r="1851" spans="1:24" ht="15.75" customHeight="1">
      <c r="A1851" s="1">
        <v>1.3707664E7</v>
      </c>
      <c r="B1851" s="1" t="s">
        <v>8160</v>
      </c>
      <c r="C1851" s="1" t="s">
        <v>8161</v>
      </c>
      <c r="D1851" s="1" t="s">
        <v>8162</v>
      </c>
      <c r="F1851" s="1" t="str">
        <f>"0393341860"</f>
        <v>0393341860</v>
      </c>
      <c r="G1851" s="1" t="str">
        <f>"9780393341867"</f>
        <v>9780393341867</v>
      </c>
      <c r="H1851" s="1">
        <v>0.0</v>
      </c>
      <c r="I1851" s="1">
        <v>4.1</v>
      </c>
      <c r="J1851" s="1" t="s">
        <v>248</v>
      </c>
      <c r="K1851" s="1" t="s">
        <v>44</v>
      </c>
      <c r="L1851" s="1">
        <v>1040.0</v>
      </c>
      <c r="M1851" s="1">
        <v>2013.0</v>
      </c>
      <c r="N1851" s="1">
        <v>1994.0</v>
      </c>
      <c r="P1851" s="2">
        <v>41368.0</v>
      </c>
      <c r="Q1851" s="1" t="s">
        <v>421</v>
      </c>
      <c r="R1851" s="1" t="s">
        <v>8163</v>
      </c>
      <c r="S1851" s="1" t="s">
        <v>32</v>
      </c>
      <c r="W1851" s="1">
        <v>0.0</v>
      </c>
      <c r="X1851" s="1">
        <v>0.0</v>
      </c>
    </row>
    <row r="1852" spans="1:24" ht="15.75" customHeight="1">
      <c r="A1852" s="1">
        <v>2.5899336E7</v>
      </c>
      <c r="B1852" s="1" t="s">
        <v>8164</v>
      </c>
      <c r="C1852" s="1" t="s">
        <v>8165</v>
      </c>
      <c r="D1852" s="1" t="s">
        <v>8166</v>
      </c>
      <c r="E1852" s="1" t="s">
        <v>8167</v>
      </c>
      <c r="F1852" s="1" t="str">
        <f t="shared" si="137" ref="F1852:G1852">""</f>
        <v/>
      </c>
      <c r="G1852" s="1" t="str">
        <f t="shared" si="137"/>
        <v/>
      </c>
      <c r="H1852" s="1">
        <v>0.0</v>
      </c>
      <c r="I1852" s="1">
        <v>4.4</v>
      </c>
      <c r="J1852" s="1" t="s">
        <v>1189</v>
      </c>
      <c r="K1852" s="1" t="s">
        <v>29</v>
      </c>
      <c r="L1852" s="1">
        <v>208.0</v>
      </c>
      <c r="M1852" s="1">
        <v>2016.0</v>
      </c>
      <c r="N1852" s="1">
        <v>2016.0</v>
      </c>
      <c r="P1852" s="3">
        <v>45243.0</v>
      </c>
      <c r="Q1852" s="1" t="s">
        <v>55</v>
      </c>
      <c r="R1852" s="1" t="s">
        <v>8168</v>
      </c>
      <c r="S1852" s="1" t="s">
        <v>32</v>
      </c>
      <c r="W1852" s="1">
        <v>0.0</v>
      </c>
      <c r="X1852" s="1">
        <v>0.0</v>
      </c>
    </row>
    <row r="1853" spans="1:24" ht="15.75" customHeight="1">
      <c r="A1853" s="1">
        <v>2.9633761E7</v>
      </c>
      <c r="B1853" s="1" t="s">
        <v>8169</v>
      </c>
      <c r="C1853" s="1" t="s">
        <v>8170</v>
      </c>
      <c r="D1853" s="1" t="s">
        <v>8171</v>
      </c>
      <c r="F1853" s="1" t="str">
        <f>"1608466825"</f>
        <v>1608466825</v>
      </c>
      <c r="G1853" s="1" t="str">
        <f>"9781608466825"</f>
        <v>9781608466825</v>
      </c>
      <c r="H1853" s="1">
        <v>0.0</v>
      </c>
      <c r="I1853" s="1">
        <v>3.88</v>
      </c>
      <c r="J1853" s="1" t="s">
        <v>792</v>
      </c>
      <c r="K1853" s="1" t="s">
        <v>44</v>
      </c>
      <c r="L1853" s="1">
        <v>400.0</v>
      </c>
      <c r="M1853" s="1">
        <v>2017.0</v>
      </c>
      <c r="P1853" s="3">
        <v>44190.0</v>
      </c>
      <c r="Q1853" s="1" t="s">
        <v>32</v>
      </c>
      <c r="R1853" s="1" t="s">
        <v>8172</v>
      </c>
      <c r="S1853" s="1" t="s">
        <v>32</v>
      </c>
      <c r="W1853" s="1">
        <v>0.0</v>
      </c>
      <c r="X1853" s="1">
        <v>0.0</v>
      </c>
    </row>
    <row r="1854" spans="1:24" ht="15.75" customHeight="1">
      <c r="A1854" s="1">
        <v>2.7131082E7</v>
      </c>
      <c r="B1854" s="1" t="s">
        <v>8173</v>
      </c>
      <c r="C1854" s="1" t="s">
        <v>8170</v>
      </c>
      <c r="D1854" s="1" t="s">
        <v>8171</v>
      </c>
      <c r="F1854" s="1" t="str">
        <f>"160846623X"</f>
        <v>160846623X</v>
      </c>
      <c r="G1854" s="1" t="str">
        <f>"9781608466238"</f>
        <v>9781608466238</v>
      </c>
      <c r="H1854" s="1">
        <v>0.0</v>
      </c>
      <c r="I1854" s="1">
        <v>4.07</v>
      </c>
      <c r="J1854" s="1" t="s">
        <v>792</v>
      </c>
      <c r="K1854" s="1" t="s">
        <v>44</v>
      </c>
      <c r="L1854" s="1">
        <v>404.0</v>
      </c>
      <c r="M1854" s="1">
        <v>2016.0</v>
      </c>
      <c r="N1854" s="1">
        <v>1996.0</v>
      </c>
      <c r="P1854" s="2">
        <v>43142.0</v>
      </c>
      <c r="Q1854" s="1" t="s">
        <v>32</v>
      </c>
      <c r="R1854" s="1" t="s">
        <v>8174</v>
      </c>
      <c r="S1854" s="1" t="s">
        <v>32</v>
      </c>
      <c r="W1854" s="1">
        <v>0.0</v>
      </c>
      <c r="X1854" s="1">
        <v>0.0</v>
      </c>
    </row>
    <row r="1855" spans="1:24" ht="15.75" customHeight="1">
      <c r="A1855" s="1">
        <v>5.8046912E7</v>
      </c>
      <c r="B1855" s="1" t="s">
        <v>8175</v>
      </c>
      <c r="C1855" s="1" t="s">
        <v>8176</v>
      </c>
      <c r="D1855" s="1" t="s">
        <v>8177</v>
      </c>
      <c r="F1855" s="1" t="str">
        <f t="shared" si="138" ref="F1855:G1855">""</f>
        <v/>
      </c>
      <c r="G1855" s="1" t="str">
        <f t="shared" si="138"/>
        <v/>
      </c>
      <c r="H1855" s="1">
        <v>0.0</v>
      </c>
      <c r="I1855" s="1">
        <v>4.2</v>
      </c>
      <c r="J1855" s="94" t="s">
        <v>8178</v>
      </c>
      <c r="K1855" s="1" t="s">
        <v>44</v>
      </c>
      <c r="L1855" s="1">
        <v>360.0</v>
      </c>
      <c r="M1855" s="1">
        <v>2021.0</v>
      </c>
      <c r="N1855" s="1">
        <v>1949.0</v>
      </c>
      <c r="P1855" s="2">
        <v>44790.0</v>
      </c>
      <c r="Q1855" s="1" t="s">
        <v>32</v>
      </c>
      <c r="R1855" s="1" t="s">
        <v>8179</v>
      </c>
      <c r="S1855" s="1" t="s">
        <v>32</v>
      </c>
      <c r="W1855" s="1">
        <v>0.0</v>
      </c>
      <c r="X1855" s="1">
        <v>0.0</v>
      </c>
    </row>
    <row r="1856" spans="1:24" ht="15.75" customHeight="1">
      <c r="A1856" s="1">
        <v>1344593.0</v>
      </c>
      <c r="B1856" s="1" t="s">
        <v>8180</v>
      </c>
      <c r="C1856" s="1" t="s">
        <v>8181</v>
      </c>
      <c r="D1856" s="1" t="s">
        <v>8182</v>
      </c>
      <c r="F1856" s="1" t="str">
        <f>"0814756743"</f>
        <v>0814756743</v>
      </c>
      <c r="G1856" s="1" t="str">
        <f>"9780814756744"</f>
        <v>9780814756744</v>
      </c>
      <c r="H1856" s="1">
        <v>0.0</v>
      </c>
      <c r="I1856" s="1">
        <v>4.0</v>
      </c>
      <c r="J1856" s="1" t="s">
        <v>1719</v>
      </c>
      <c r="K1856" s="1" t="s">
        <v>44</v>
      </c>
      <c r="L1856" s="1">
        <v>216.0</v>
      </c>
      <c r="M1856" s="1">
        <v>2002.0</v>
      </c>
      <c r="N1856" s="1">
        <v>2002.0</v>
      </c>
      <c r="P1856" s="2">
        <v>43984.0</v>
      </c>
      <c r="Q1856" s="1" t="s">
        <v>8183</v>
      </c>
      <c r="R1856" s="1" t="s">
        <v>8184</v>
      </c>
      <c r="S1856" s="1" t="s">
        <v>32</v>
      </c>
      <c r="W1856" s="1">
        <v>0.0</v>
      </c>
      <c r="X1856" s="1">
        <v>0.0</v>
      </c>
    </row>
    <row r="1857" spans="1:24" ht="15.75" customHeight="1">
      <c r="A1857" s="1">
        <v>4.5865956E7</v>
      </c>
      <c r="B1857" s="1" t="s">
        <v>8185</v>
      </c>
      <c r="C1857" s="1" t="s">
        <v>8186</v>
      </c>
      <c r="D1857" s="1" t="s">
        <v>8187</v>
      </c>
      <c r="E1857" s="1" t="s">
        <v>7528</v>
      </c>
      <c r="F1857" s="1" t="str">
        <f t="shared" si="139" ref="F1857:G1857">""</f>
        <v/>
      </c>
      <c r="G1857" s="1" t="str">
        <f t="shared" si="139"/>
        <v/>
      </c>
      <c r="H1857" s="1">
        <v>0.0</v>
      </c>
      <c r="I1857" s="1">
        <v>4.07</v>
      </c>
      <c r="J1857" s="1" t="s">
        <v>69</v>
      </c>
      <c r="K1857" s="1" t="s">
        <v>44</v>
      </c>
      <c r="L1857" s="1">
        <v>393.0</v>
      </c>
      <c r="M1857" s="1">
        <v>2010.0</v>
      </c>
      <c r="N1857" s="1">
        <v>1984.0</v>
      </c>
      <c r="P1857" s="2">
        <v>45129.0</v>
      </c>
      <c r="Q1857" s="1" t="s">
        <v>2497</v>
      </c>
      <c r="R1857" s="1" t="s">
        <v>8188</v>
      </c>
      <c r="S1857" s="1" t="s">
        <v>32</v>
      </c>
      <c r="W1857" s="1">
        <v>0.0</v>
      </c>
      <c r="X1857" s="1">
        <v>1.0</v>
      </c>
    </row>
    <row r="1858" spans="1:24" ht="15.75" customHeight="1">
      <c r="A1858" s="1">
        <v>7.5616707E7</v>
      </c>
      <c r="B1858" s="1" t="s">
        <v>8189</v>
      </c>
      <c r="C1858" s="1" t="s">
        <v>3288</v>
      </c>
      <c r="D1858" s="1" t="s">
        <v>8190</v>
      </c>
      <c r="F1858" s="1" t="str">
        <f>"1032131276"</f>
        <v>1032131276</v>
      </c>
      <c r="G1858" s="1" t="str">
        <f>"9781032131276"</f>
        <v>9781032131276</v>
      </c>
      <c r="H1858" s="1">
        <v>0.0</v>
      </c>
      <c r="I1858" s="1">
        <v>5.0</v>
      </c>
      <c r="K1858" s="1" t="s">
        <v>44</v>
      </c>
      <c r="M1858" s="1">
        <v>2022.0</v>
      </c>
      <c r="P1858" s="2">
        <v>45113.0</v>
      </c>
      <c r="Q1858" s="1" t="s">
        <v>32</v>
      </c>
      <c r="R1858" s="1" t="s">
        <v>8191</v>
      </c>
      <c r="S1858" s="1" t="s">
        <v>32</v>
      </c>
      <c r="W1858" s="1">
        <v>0.0</v>
      </c>
      <c r="X1858" s="1">
        <v>0.0</v>
      </c>
    </row>
    <row r="1859" spans="1:24" ht="15.75" customHeight="1">
      <c r="A1859" s="1">
        <v>1.7365309E7</v>
      </c>
      <c r="B1859" s="1" t="s">
        <v>8192</v>
      </c>
      <c r="C1859" s="1" t="s">
        <v>8193</v>
      </c>
      <c r="D1859" s="1" t="s">
        <v>8194</v>
      </c>
      <c r="F1859" s="1" t="str">
        <f t="shared" si="140" ref="F1859:G1859">""</f>
        <v/>
      </c>
      <c r="G1859" s="1" t="str">
        <f t="shared" si="140"/>
        <v/>
      </c>
      <c r="H1859" s="1">
        <v>0.0</v>
      </c>
      <c r="I1859" s="1">
        <v>3.56</v>
      </c>
      <c r="J1859" s="1" t="s">
        <v>8195</v>
      </c>
      <c r="K1859" s="1" t="s">
        <v>44</v>
      </c>
      <c r="L1859" s="1">
        <v>280.0</v>
      </c>
      <c r="M1859" s="1">
        <v>2013.0</v>
      </c>
      <c r="N1859" s="1">
        <v>2013.0</v>
      </c>
      <c r="P1859" s="2">
        <v>43967.0</v>
      </c>
      <c r="Q1859" s="1" t="s">
        <v>32</v>
      </c>
      <c r="R1859" s="1" t="s">
        <v>8196</v>
      </c>
      <c r="S1859" s="1" t="s">
        <v>32</v>
      </c>
      <c r="W1859" s="1">
        <v>0.0</v>
      </c>
      <c r="X1859" s="1">
        <v>0.0</v>
      </c>
    </row>
    <row r="1860" spans="1:24" ht="15.75" customHeight="1">
      <c r="A1860" s="1">
        <v>414824.0</v>
      </c>
      <c r="B1860" s="1" t="s">
        <v>8197</v>
      </c>
      <c r="C1860" s="1" t="s">
        <v>8198</v>
      </c>
      <c r="D1860" s="1" t="s">
        <v>8199</v>
      </c>
      <c r="F1860" s="1" t="str">
        <f>"0099443198"</f>
        <v>0099443198</v>
      </c>
      <c r="G1860" s="1" t="str">
        <f>"9780099443193"</f>
        <v>9780099443193</v>
      </c>
      <c r="H1860" s="1">
        <v>0.0</v>
      </c>
      <c r="I1860" s="1">
        <v>3.89</v>
      </c>
      <c r="J1860" s="1" t="s">
        <v>8200</v>
      </c>
      <c r="K1860" s="1" t="s">
        <v>44</v>
      </c>
      <c r="L1860" s="1">
        <v>256.0</v>
      </c>
      <c r="M1860" s="1">
        <v>2005.0</v>
      </c>
      <c r="N1860" s="1">
        <v>1977.0</v>
      </c>
      <c r="P1860" s="2">
        <v>45111.0</v>
      </c>
      <c r="Q1860" s="1" t="s">
        <v>261</v>
      </c>
      <c r="R1860" s="1" t="s">
        <v>8201</v>
      </c>
      <c r="S1860" s="1" t="s">
        <v>32</v>
      </c>
      <c r="W1860" s="1">
        <v>0.0</v>
      </c>
      <c r="X1860" s="1">
        <v>0.0</v>
      </c>
    </row>
    <row r="1861" spans="1:24" ht="15.75" customHeight="1">
      <c r="A1861" s="1">
        <v>220432.0</v>
      </c>
      <c r="B1861" s="1" t="s">
        <v>8202</v>
      </c>
      <c r="C1861" s="1" t="s">
        <v>8203</v>
      </c>
      <c r="D1861" s="1" t="s">
        <v>8204</v>
      </c>
      <c r="F1861" s="1" t="str">
        <f>"0201488329"</f>
        <v>0201488329</v>
      </c>
      <c r="G1861" s="1" t="str">
        <f>"9780201488326"</f>
        <v>9780201488326</v>
      </c>
      <c r="H1861" s="1">
        <v>0.0</v>
      </c>
      <c r="I1861" s="1">
        <v>3.78</v>
      </c>
      <c r="J1861" s="1" t="s">
        <v>8205</v>
      </c>
      <c r="K1861" s="1" t="s">
        <v>44</v>
      </c>
      <c r="L1861" s="1">
        <v>382.0</v>
      </c>
      <c r="M1861" s="1">
        <v>1996.0</v>
      </c>
      <c r="N1861" s="1">
        <v>1995.0</v>
      </c>
      <c r="P1861" s="2">
        <v>45182.0</v>
      </c>
      <c r="Q1861" s="1" t="s">
        <v>249</v>
      </c>
      <c r="R1861" s="1" t="s">
        <v>8206</v>
      </c>
      <c r="S1861" s="1" t="s">
        <v>32</v>
      </c>
      <c r="W1861" s="1">
        <v>0.0</v>
      </c>
      <c r="X1861" s="1">
        <v>0.0</v>
      </c>
    </row>
    <row r="1862" spans="1:24" ht="15.75" customHeight="1">
      <c r="A1862" s="1">
        <v>41363.0</v>
      </c>
      <c r="B1862" s="1" t="s">
        <v>8207</v>
      </c>
      <c r="C1862" s="1" t="s">
        <v>8208</v>
      </c>
      <c r="D1862" s="1" t="s">
        <v>8209</v>
      </c>
      <c r="F1862" s="1" t="str">
        <f>"0452273080"</f>
        <v>0452273080</v>
      </c>
      <c r="G1862" s="1" t="str">
        <f>"9780452273085"</f>
        <v>9780452273085</v>
      </c>
      <c r="H1862" s="1">
        <v>0.0</v>
      </c>
      <c r="I1862" s="1">
        <v>4.46</v>
      </c>
      <c r="J1862" s="1" t="s">
        <v>3748</v>
      </c>
      <c r="K1862" s="1" t="s">
        <v>44</v>
      </c>
      <c r="L1862" s="1">
        <v>1312.0</v>
      </c>
      <c r="M1862" s="1">
        <v>1996.0</v>
      </c>
      <c r="N1862" s="1">
        <v>1994.0</v>
      </c>
      <c r="P1862" s="2">
        <v>45123.0</v>
      </c>
      <c r="Q1862" s="1" t="s">
        <v>32</v>
      </c>
      <c r="R1862" s="1" t="s">
        <v>8210</v>
      </c>
      <c r="S1862" s="1" t="s">
        <v>32</v>
      </c>
      <c r="W1862" s="1">
        <v>0.0</v>
      </c>
      <c r="X1862" s="1">
        <v>0.0</v>
      </c>
    </row>
    <row r="1863" spans="1:24" ht="15.75" customHeight="1">
      <c r="A1863" s="1">
        <v>5.885714E7</v>
      </c>
      <c r="B1863" s="1" t="s">
        <v>8211</v>
      </c>
      <c r="C1863" s="1" t="s">
        <v>8212</v>
      </c>
      <c r="D1863" s="1" t="s">
        <v>8213</v>
      </c>
      <c r="E1863" s="1" t="s">
        <v>8214</v>
      </c>
      <c r="F1863" s="1" t="str">
        <f>"0062511408"</f>
        <v>0062511408</v>
      </c>
      <c r="G1863" s="1" t="str">
        <f>"9780062511409"</f>
        <v>9780062511409</v>
      </c>
      <c r="H1863" s="1">
        <v>0.0</v>
      </c>
      <c r="I1863" s="1">
        <v>3.91</v>
      </c>
      <c r="J1863" s="1" t="s">
        <v>8215</v>
      </c>
      <c r="K1863" s="1" t="s">
        <v>44</v>
      </c>
      <c r="L1863" s="1">
        <v>190.0</v>
      </c>
      <c r="M1863" s="1">
        <v>2018.0</v>
      </c>
      <c r="N1863" s="1">
        <v>1988.0</v>
      </c>
      <c r="P1863" s="2">
        <v>45160.0</v>
      </c>
      <c r="Q1863" s="1" t="s">
        <v>818</v>
      </c>
      <c r="R1863" s="1" t="s">
        <v>8216</v>
      </c>
      <c r="S1863" s="1" t="s">
        <v>32</v>
      </c>
      <c r="W1863" s="1">
        <v>0.0</v>
      </c>
      <c r="X1863" s="1">
        <v>1.0</v>
      </c>
    </row>
    <row r="1864" spans="1:24" ht="15.75" customHeight="1">
      <c r="A1864" s="1">
        <v>72657.0</v>
      </c>
      <c r="B1864" s="1" t="s">
        <v>8217</v>
      </c>
      <c r="C1864" s="1" t="s">
        <v>8218</v>
      </c>
      <c r="D1864" s="1" t="s">
        <v>8219</v>
      </c>
      <c r="E1864" s="1" t="s">
        <v>8220</v>
      </c>
      <c r="F1864" s="1" t="str">
        <f>"0826412769"</f>
        <v>0826412769</v>
      </c>
      <c r="G1864" s="1" t="str">
        <f>"9780826412768"</f>
        <v>9780826412768</v>
      </c>
      <c r="H1864" s="1">
        <v>0.0</v>
      </c>
      <c r="I1864" s="1">
        <v>4.3</v>
      </c>
      <c r="J1864" s="1" t="s">
        <v>6731</v>
      </c>
      <c r="K1864" s="1" t="s">
        <v>44</v>
      </c>
      <c r="L1864" s="1">
        <v>183.0</v>
      </c>
      <c r="M1864" s="1">
        <v>2000.0</v>
      </c>
      <c r="N1864" s="1">
        <v>1968.0</v>
      </c>
      <c r="P1864" s="3">
        <v>43032.0</v>
      </c>
      <c r="Q1864" s="1" t="s">
        <v>32</v>
      </c>
      <c r="R1864" s="1" t="s">
        <v>8221</v>
      </c>
      <c r="S1864" s="1" t="s">
        <v>32</v>
      </c>
      <c r="W1864" s="1">
        <v>0.0</v>
      </c>
      <c r="X1864" s="1">
        <v>0.0</v>
      </c>
    </row>
    <row r="1865" spans="1:24" ht="15.75" customHeight="1">
      <c r="A1865" s="1">
        <v>1078.0</v>
      </c>
      <c r="B1865" s="1" t="s">
        <v>8222</v>
      </c>
      <c r="C1865" s="1" t="s">
        <v>8223</v>
      </c>
      <c r="D1865" s="1" t="s">
        <v>8224</v>
      </c>
      <c r="E1865" s="1" t="s">
        <v>8225</v>
      </c>
      <c r="F1865" s="1" t="str">
        <f>"1416500189"</f>
        <v>1416500189</v>
      </c>
      <c r="G1865" s="1" t="str">
        <f>"9781416500186"</f>
        <v>9781416500186</v>
      </c>
      <c r="H1865" s="1">
        <v>0.0</v>
      </c>
      <c r="I1865" s="1">
        <v>4.0</v>
      </c>
      <c r="J1865" s="1" t="s">
        <v>8226</v>
      </c>
      <c r="K1865" s="1" t="s">
        <v>44</v>
      </c>
      <c r="L1865" s="1">
        <v>418.0</v>
      </c>
      <c r="M1865" s="1">
        <v>2005.0</v>
      </c>
      <c r="N1865" s="1">
        <v>1931.0</v>
      </c>
      <c r="P1865" s="2">
        <v>41018.0</v>
      </c>
      <c r="S1865" s="1" t="s">
        <v>271</v>
      </c>
      <c r="W1865" s="1">
        <v>1.0</v>
      </c>
      <c r="X1865" s="1">
        <v>0.0</v>
      </c>
    </row>
    <row r="1866" spans="1:24" ht="15.75" customHeight="1">
      <c r="A1866" s="1">
        <v>3549014.0</v>
      </c>
      <c r="B1866" s="1" t="s">
        <v>8227</v>
      </c>
      <c r="C1866" s="1" t="s">
        <v>8228</v>
      </c>
      <c r="D1866" s="1" t="s">
        <v>8229</v>
      </c>
      <c r="F1866" s="1" t="str">
        <f>"8432208760"</f>
        <v>8432208760</v>
      </c>
      <c r="G1866" s="1" t="str">
        <f>"9788432208768"</f>
        <v>9788432208768</v>
      </c>
      <c r="H1866" s="1">
        <v>0.0</v>
      </c>
      <c r="I1866" s="1">
        <v>4.09</v>
      </c>
      <c r="J1866" s="1" t="s">
        <v>5977</v>
      </c>
      <c r="K1866" s="1" t="s">
        <v>44</v>
      </c>
      <c r="L1866" s="1">
        <v>544.0</v>
      </c>
      <c r="M1866" s="1">
        <v>2003.0</v>
      </c>
      <c r="N1866" s="1">
        <v>2003.0</v>
      </c>
      <c r="P1866" s="3">
        <v>44118.0</v>
      </c>
      <c r="Q1866" s="1" t="s">
        <v>32</v>
      </c>
      <c r="R1866" s="1" t="s">
        <v>8230</v>
      </c>
      <c r="S1866" s="1" t="s">
        <v>32</v>
      </c>
      <c r="W1866" s="1">
        <v>0.0</v>
      </c>
      <c r="X1866" s="1">
        <v>0.0</v>
      </c>
    </row>
    <row r="1867" spans="1:24" ht="15.75" customHeight="1">
      <c r="A1867" s="1">
        <v>370645.0</v>
      </c>
      <c r="B1867" s="1" t="s">
        <v>8231</v>
      </c>
      <c r="C1867" s="1" t="s">
        <v>8232</v>
      </c>
      <c r="D1867" s="1" t="s">
        <v>8233</v>
      </c>
      <c r="F1867" s="1" t="str">
        <f>"1568985908"</f>
        <v>1568985908</v>
      </c>
      <c r="G1867" s="1" t="str">
        <f>"9781568985909"</f>
        <v>9781568985909</v>
      </c>
      <c r="H1867" s="1">
        <v>0.0</v>
      </c>
      <c r="I1867" s="1">
        <v>4.0</v>
      </c>
      <c r="J1867" s="1" t="s">
        <v>8234</v>
      </c>
      <c r="K1867" s="1" t="s">
        <v>37</v>
      </c>
      <c r="L1867" s="1">
        <v>223.0</v>
      </c>
      <c r="M1867" s="1">
        <v>2006.0</v>
      </c>
      <c r="N1867" s="1">
        <v>2007.0</v>
      </c>
      <c r="P1867" s="2">
        <v>44033.0</v>
      </c>
      <c r="Q1867" s="1" t="s">
        <v>32</v>
      </c>
      <c r="R1867" s="1" t="s">
        <v>8235</v>
      </c>
      <c r="S1867" s="1" t="s">
        <v>32</v>
      </c>
      <c r="W1867" s="1">
        <v>0.0</v>
      </c>
      <c r="X1867" s="1">
        <v>0.0</v>
      </c>
    </row>
    <row r="1868" spans="1:24" ht="15.75" customHeight="1">
      <c r="A1868" s="1">
        <v>341580.0</v>
      </c>
      <c r="B1868" s="1" t="s">
        <v>8236</v>
      </c>
      <c r="C1868" s="1" t="s">
        <v>8237</v>
      </c>
      <c r="D1868" s="1" t="s">
        <v>8238</v>
      </c>
      <c r="F1868" s="1" t="str">
        <f>"843392382X"</f>
        <v>843392382X</v>
      </c>
      <c r="G1868" s="1" t="str">
        <f>"9788433923820"</f>
        <v>9788433923820</v>
      </c>
      <c r="H1868" s="1">
        <v>0.0</v>
      </c>
      <c r="I1868" s="1">
        <v>4.42</v>
      </c>
      <c r="J1868" s="1" t="s">
        <v>6994</v>
      </c>
      <c r="K1868" s="1" t="s">
        <v>37</v>
      </c>
      <c r="L1868" s="1">
        <v>180.0</v>
      </c>
      <c r="M1868" s="1">
        <v>2006.0</v>
      </c>
      <c r="N1868" s="1">
        <v>1996.0</v>
      </c>
      <c r="P1868" s="2">
        <v>43976.0</v>
      </c>
      <c r="Q1868" s="1" t="s">
        <v>1110</v>
      </c>
      <c r="R1868" s="1" t="s">
        <v>8239</v>
      </c>
      <c r="S1868" s="1" t="s">
        <v>32</v>
      </c>
      <c r="W1868" s="1">
        <v>0.0</v>
      </c>
      <c r="X1868" s="1">
        <v>0.0</v>
      </c>
    </row>
    <row r="1869" spans="1:24" ht="15.75" customHeight="1">
      <c r="A1869" s="1">
        <v>1.7825574E7</v>
      </c>
      <c r="B1869" s="1" t="s">
        <v>8240</v>
      </c>
      <c r="C1869" s="1" t="s">
        <v>8237</v>
      </c>
      <c r="D1869" s="1" t="s">
        <v>8238</v>
      </c>
      <c r="F1869" s="1" t="str">
        <f>"9562476626"</f>
        <v>9562476626</v>
      </c>
      <c r="G1869" s="1" t="str">
        <f>"9789562476621"</f>
        <v>9789562476621</v>
      </c>
      <c r="H1869" s="1">
        <v>0.0</v>
      </c>
      <c r="I1869" s="1">
        <v>4.29</v>
      </c>
      <c r="J1869" s="1" t="s">
        <v>5977</v>
      </c>
      <c r="K1869" s="1" t="s">
        <v>44</v>
      </c>
      <c r="L1869" s="1">
        <v>287.0</v>
      </c>
      <c r="M1869" s="1">
        <v>2012.0</v>
      </c>
      <c r="N1869" s="1">
        <v>2012.0</v>
      </c>
      <c r="P1869" s="2">
        <v>43976.0</v>
      </c>
      <c r="Q1869" s="1" t="s">
        <v>32</v>
      </c>
      <c r="R1869" s="1" t="s">
        <v>8241</v>
      </c>
      <c r="S1869" s="1" t="s">
        <v>32</v>
      </c>
      <c r="W1869" s="1">
        <v>0.0</v>
      </c>
      <c r="X1869" s="1">
        <v>0.0</v>
      </c>
    </row>
    <row r="1870" spans="1:24" ht="15.75" customHeight="1">
      <c r="A1870" s="1">
        <v>3994538.0</v>
      </c>
      <c r="B1870" s="1" t="s">
        <v>8242</v>
      </c>
      <c r="C1870" s="1" t="s">
        <v>8237</v>
      </c>
      <c r="D1870" s="1" t="s">
        <v>8238</v>
      </c>
      <c r="F1870" s="1" t="str">
        <f>"9507313516"</f>
        <v>9507313516</v>
      </c>
      <c r="G1870" s="1" t="str">
        <f>"9789507313516"</f>
        <v>9789507313516</v>
      </c>
      <c r="H1870" s="1">
        <v>0.0</v>
      </c>
      <c r="I1870" s="1">
        <v>4.49</v>
      </c>
      <c r="J1870" s="1" t="s">
        <v>8243</v>
      </c>
      <c r="K1870" s="1" t="s">
        <v>44</v>
      </c>
      <c r="L1870" s="1">
        <v>217.0</v>
      </c>
      <c r="M1870" s="1">
        <v>2002.0</v>
      </c>
      <c r="N1870" s="1">
        <v>2001.0</v>
      </c>
      <c r="P1870" s="2">
        <v>43970.0</v>
      </c>
      <c r="Q1870" s="1" t="s">
        <v>32</v>
      </c>
      <c r="R1870" s="1" t="s">
        <v>8244</v>
      </c>
      <c r="S1870" s="1" t="s">
        <v>32</v>
      </c>
      <c r="W1870" s="1">
        <v>0.0</v>
      </c>
      <c r="X1870" s="1">
        <v>0.0</v>
      </c>
    </row>
    <row r="1871" spans="1:24" ht="15.75" customHeight="1">
      <c r="A1871" s="1">
        <v>1.7900295E7</v>
      </c>
      <c r="B1871" s="1" t="s">
        <v>8245</v>
      </c>
      <c r="C1871" s="1" t="s">
        <v>8246</v>
      </c>
      <c r="D1871" s="1" t="s">
        <v>8247</v>
      </c>
      <c r="F1871" s="1" t="str">
        <f>"9608189071"</f>
        <v>9608189071</v>
      </c>
      <c r="G1871" s="1" t="str">
        <f>"9789608189072"</f>
        <v>9789608189072</v>
      </c>
      <c r="H1871" s="1">
        <v>0.0</v>
      </c>
      <c r="I1871" s="1">
        <v>4.55</v>
      </c>
      <c r="J1871" s="1" t="s">
        <v>8248</v>
      </c>
      <c r="K1871" s="1" t="s">
        <v>37</v>
      </c>
      <c r="L1871" s="1">
        <v>500.0</v>
      </c>
      <c r="M1871" s="1">
        <v>2002.0</v>
      </c>
      <c r="N1871" s="1">
        <v>2001.0</v>
      </c>
      <c r="P1871" s="2">
        <v>45120.0</v>
      </c>
      <c r="Q1871" s="1" t="s">
        <v>725</v>
      </c>
      <c r="R1871" s="1" t="s">
        <v>8249</v>
      </c>
      <c r="S1871" s="1" t="s">
        <v>32</v>
      </c>
      <c r="W1871" s="1">
        <v>0.0</v>
      </c>
      <c r="X1871" s="1">
        <v>0.0</v>
      </c>
    </row>
    <row r="1872" spans="1:24" ht="15.75" customHeight="1">
      <c r="A1872" s="1">
        <v>108615.0</v>
      </c>
      <c r="B1872" s="1" t="s">
        <v>8250</v>
      </c>
      <c r="C1872" s="1" t="s">
        <v>8251</v>
      </c>
      <c r="D1872" s="1" t="s">
        <v>8252</v>
      </c>
      <c r="F1872" s="1" t="str">
        <f>"0006542565"</f>
        <v>0006542565</v>
      </c>
      <c r="G1872" s="1" t="str">
        <f>"9780006542568"</f>
        <v>9780006542568</v>
      </c>
      <c r="H1872" s="1">
        <v>0.0</v>
      </c>
      <c r="I1872" s="1">
        <v>3.59</v>
      </c>
      <c r="J1872" s="1" t="s">
        <v>917</v>
      </c>
      <c r="K1872" s="1" t="s">
        <v>44</v>
      </c>
      <c r="L1872" s="1">
        <v>140.0</v>
      </c>
      <c r="M1872" s="1">
        <v>2003.0</v>
      </c>
      <c r="N1872" s="1">
        <v>1979.0</v>
      </c>
      <c r="P1872" s="2">
        <v>45111.0</v>
      </c>
      <c r="Q1872" s="1" t="s">
        <v>261</v>
      </c>
      <c r="R1872" s="1" t="s">
        <v>8253</v>
      </c>
      <c r="S1872" s="1" t="s">
        <v>32</v>
      </c>
      <c r="W1872" s="1">
        <v>0.0</v>
      </c>
      <c r="X1872" s="1">
        <v>0.0</v>
      </c>
    </row>
    <row r="1873" spans="1:24" ht="15.75" customHeight="1">
      <c r="A1873" s="1">
        <v>130028.0</v>
      </c>
      <c r="B1873" s="1" t="s">
        <v>8254</v>
      </c>
      <c r="C1873" s="1" t="s">
        <v>8255</v>
      </c>
      <c r="D1873" s="1" t="s">
        <v>8256</v>
      </c>
      <c r="F1873" s="1" t="str">
        <f>"0802135331"</f>
        <v>0802135331</v>
      </c>
      <c r="G1873" s="1" t="str">
        <f>"9780802135339"</f>
        <v>9780802135339</v>
      </c>
      <c r="H1873" s="1">
        <v>0.0</v>
      </c>
      <c r="I1873" s="1">
        <v>3.91</v>
      </c>
      <c r="J1873" s="1" t="s">
        <v>663</v>
      </c>
      <c r="K1873" s="1" t="s">
        <v>44</v>
      </c>
      <c r="L1873" s="1">
        <v>208.0</v>
      </c>
      <c r="M1873" s="1">
        <v>1997.0</v>
      </c>
      <c r="N1873" s="1">
        <v>1987.0</v>
      </c>
      <c r="P1873" s="2">
        <v>45111.0</v>
      </c>
      <c r="Q1873" s="1" t="s">
        <v>261</v>
      </c>
      <c r="R1873" s="1" t="s">
        <v>8257</v>
      </c>
      <c r="S1873" s="1" t="s">
        <v>32</v>
      </c>
      <c r="W1873" s="1">
        <v>0.0</v>
      </c>
      <c r="X1873" s="1">
        <v>0.0</v>
      </c>
    </row>
    <row r="1874" spans="1:24" ht="15.75" customHeight="1">
      <c r="A1874" s="1">
        <v>2041759.0</v>
      </c>
      <c r="B1874" s="1" t="s">
        <v>8258</v>
      </c>
      <c r="C1874" s="1" t="s">
        <v>8259</v>
      </c>
      <c r="D1874" s="1" t="s">
        <v>8260</v>
      </c>
      <c r="F1874" s="1" t="str">
        <f>"0801480000"</f>
        <v>0801480000</v>
      </c>
      <c r="G1874" s="1" t="str">
        <f>"9780801480003"</f>
        <v>9780801480003</v>
      </c>
      <c r="H1874" s="1">
        <v>0.0</v>
      </c>
      <c r="I1874" s="1">
        <v>3.62</v>
      </c>
      <c r="J1874" s="1" t="s">
        <v>1907</v>
      </c>
      <c r="K1874" s="1" t="s">
        <v>44</v>
      </c>
      <c r="L1874" s="1">
        <v>355.0</v>
      </c>
      <c r="M1874" s="1">
        <v>1992.0</v>
      </c>
      <c r="N1874" s="1">
        <v>1990.0</v>
      </c>
      <c r="P1874" s="2">
        <v>45115.0</v>
      </c>
      <c r="Q1874" s="1" t="s">
        <v>32</v>
      </c>
      <c r="R1874" s="1" t="s">
        <v>8261</v>
      </c>
      <c r="S1874" s="1" t="s">
        <v>32</v>
      </c>
      <c r="W1874" s="1">
        <v>0.0</v>
      </c>
      <c r="X1874" s="1">
        <v>0.0</v>
      </c>
    </row>
    <row r="1875" spans="1:24" ht="15.75" customHeight="1">
      <c r="A1875" s="1">
        <v>5.571162E7</v>
      </c>
      <c r="B1875" s="1" t="s">
        <v>8262</v>
      </c>
      <c r="C1875" s="1" t="s">
        <v>8263</v>
      </c>
      <c r="D1875" s="1" t="s">
        <v>8264</v>
      </c>
      <c r="F1875" s="1" t="str">
        <f>"1982140909"</f>
        <v>1982140909</v>
      </c>
      <c r="G1875" s="1" t="str">
        <f>"9781982140908"</f>
        <v>9781982140908</v>
      </c>
      <c r="H1875" s="1">
        <v>0.0</v>
      </c>
      <c r="I1875" s="1">
        <v>3.78</v>
      </c>
      <c r="J1875" s="1" t="s">
        <v>8265</v>
      </c>
      <c r="K1875" s="1" t="s">
        <v>37</v>
      </c>
      <c r="L1875" s="1">
        <v>272.0</v>
      </c>
      <c r="M1875" s="1">
        <v>2021.0</v>
      </c>
      <c r="N1875" s="1">
        <v>2021.0</v>
      </c>
      <c r="P1875" s="2">
        <v>45153.0</v>
      </c>
      <c r="Q1875" s="1" t="s">
        <v>32</v>
      </c>
      <c r="R1875" s="1" t="s">
        <v>8266</v>
      </c>
      <c r="S1875" s="1" t="s">
        <v>32</v>
      </c>
      <c r="W1875" s="1">
        <v>0.0</v>
      </c>
      <c r="X1875" s="1">
        <v>0.0</v>
      </c>
    </row>
    <row r="1876" spans="1:24" ht="15.75" customHeight="1">
      <c r="A1876" s="1">
        <v>5.0698585E7</v>
      </c>
      <c r="B1876" s="1" t="s">
        <v>8267</v>
      </c>
      <c r="C1876" s="1" t="s">
        <v>8268</v>
      </c>
      <c r="D1876" s="1" t="s">
        <v>8269</v>
      </c>
      <c r="F1876" s="1" t="str">
        <f>"1948226960"</f>
        <v>1948226960</v>
      </c>
      <c r="G1876" s="1" t="str">
        <f>"9781948226967"</f>
        <v>9781948226967</v>
      </c>
      <c r="H1876" s="1">
        <v>0.0</v>
      </c>
      <c r="I1876" s="1">
        <v>3.55</v>
      </c>
      <c r="J1876" s="1" t="s">
        <v>6428</v>
      </c>
      <c r="K1876" s="1" t="s">
        <v>37</v>
      </c>
      <c r="L1876" s="1">
        <v>320.0</v>
      </c>
      <c r="M1876" s="1">
        <v>2020.0</v>
      </c>
      <c r="N1876" s="1">
        <v>2020.0</v>
      </c>
      <c r="P1876" s="2">
        <v>44049.0</v>
      </c>
      <c r="Q1876" s="1" t="s">
        <v>32</v>
      </c>
      <c r="R1876" s="1" t="s">
        <v>8270</v>
      </c>
      <c r="S1876" s="1" t="s">
        <v>32</v>
      </c>
      <c r="W1876" s="1">
        <v>0.0</v>
      </c>
      <c r="X1876" s="1">
        <v>0.0</v>
      </c>
    </row>
    <row r="1877" spans="1:24" ht="15.75" customHeight="1">
      <c r="A1877" s="1">
        <v>1214607.0</v>
      </c>
      <c r="B1877" s="1" t="s">
        <v>8271</v>
      </c>
      <c r="C1877" s="1" t="s">
        <v>8272</v>
      </c>
      <c r="D1877" s="1" t="s">
        <v>8273</v>
      </c>
      <c r="E1877" s="1" t="s">
        <v>8274</v>
      </c>
      <c r="F1877" s="1" t="str">
        <f>"0345434889"</f>
        <v>0345434889</v>
      </c>
      <c r="G1877" s="1" t="str">
        <f>"9780345434883"</f>
        <v>9780345434883</v>
      </c>
      <c r="H1877" s="1">
        <v>0.0</v>
      </c>
      <c r="I1877" s="1">
        <v>3.85</v>
      </c>
      <c r="J1877" s="1" t="s">
        <v>1416</v>
      </c>
      <c r="K1877" s="1" t="s">
        <v>44</v>
      </c>
      <c r="L1877" s="1">
        <v>651.0</v>
      </c>
      <c r="M1877" s="1">
        <v>2001.0</v>
      </c>
      <c r="N1877" s="1">
        <v>1999.0</v>
      </c>
      <c r="P1877" s="2">
        <v>45156.0</v>
      </c>
      <c r="Q1877" s="1" t="s">
        <v>32</v>
      </c>
      <c r="R1877" s="1" t="s">
        <v>8275</v>
      </c>
      <c r="S1877" s="1" t="s">
        <v>32</v>
      </c>
      <c r="W1877" s="1">
        <v>0.0</v>
      </c>
      <c r="X1877" s="1">
        <v>0.0</v>
      </c>
    </row>
    <row r="1878" spans="1:24" ht="15.75" customHeight="1">
      <c r="A1878" s="1">
        <v>4.5889905E7</v>
      </c>
      <c r="B1878" s="1" t="s">
        <v>8276</v>
      </c>
      <c r="C1878" s="1" t="s">
        <v>8277</v>
      </c>
      <c r="D1878" s="1" t="s">
        <v>8278</v>
      </c>
      <c r="F1878" s="1" t="str">
        <f>"0143134280"</f>
        <v>0143134280</v>
      </c>
      <c r="G1878" s="1" t="str">
        <f>"9780143134282"</f>
        <v>9780143134282</v>
      </c>
      <c r="H1878" s="1">
        <v>0.0</v>
      </c>
      <c r="I1878" s="1">
        <v>3.32</v>
      </c>
      <c r="J1878" s="1" t="s">
        <v>309</v>
      </c>
      <c r="K1878" s="1" t="s">
        <v>44</v>
      </c>
      <c r="L1878" s="1">
        <v>240.0</v>
      </c>
      <c r="M1878" s="1">
        <v>2020.0</v>
      </c>
      <c r="N1878" s="1">
        <v>2020.0</v>
      </c>
      <c r="P1878" s="2">
        <v>43921.0</v>
      </c>
      <c r="Q1878" s="1" t="s">
        <v>383</v>
      </c>
      <c r="R1878" s="1" t="s">
        <v>8279</v>
      </c>
      <c r="S1878" s="1" t="s">
        <v>32</v>
      </c>
      <c r="W1878" s="1">
        <v>0.0</v>
      </c>
      <c r="X1878" s="1">
        <v>1.0</v>
      </c>
    </row>
    <row r="1879" spans="1:24" ht="15.75" customHeight="1">
      <c r="A1879" s="1">
        <v>9569744.0</v>
      </c>
      <c r="B1879" s="1" t="s">
        <v>8280</v>
      </c>
      <c r="C1879" s="1" t="s">
        <v>8281</v>
      </c>
      <c r="D1879" s="1" t="s">
        <v>8282</v>
      </c>
      <c r="F1879" s="1" t="str">
        <f>"0140195300"</f>
        <v>0140195300</v>
      </c>
      <c r="G1879" s="1" t="str">
        <f>"9780140195309"</f>
        <v>9780140195309</v>
      </c>
      <c r="H1879" s="1">
        <v>0.0</v>
      </c>
      <c r="I1879" s="1">
        <v>0.0</v>
      </c>
      <c r="J1879" s="1" t="s">
        <v>8283</v>
      </c>
      <c r="K1879" s="1" t="s">
        <v>44</v>
      </c>
      <c r="L1879" s="1">
        <v>320.0</v>
      </c>
      <c r="M1879" s="1">
        <v>1999.0</v>
      </c>
      <c r="N1879" s="1">
        <v>1999.0</v>
      </c>
      <c r="P1879" s="2">
        <v>45181.0</v>
      </c>
      <c r="Q1879" s="1" t="s">
        <v>249</v>
      </c>
      <c r="R1879" s="1" t="s">
        <v>8284</v>
      </c>
      <c r="S1879" s="1" t="s">
        <v>32</v>
      </c>
      <c r="W1879" s="1">
        <v>0.0</v>
      </c>
      <c r="X1879" s="1">
        <v>0.0</v>
      </c>
    </row>
    <row r="1880" spans="1:24" ht="15.75" customHeight="1">
      <c r="A1880" s="1">
        <v>1686.0</v>
      </c>
      <c r="B1880" s="1" t="s">
        <v>8285</v>
      </c>
      <c r="C1880" s="1" t="s">
        <v>8286</v>
      </c>
      <c r="D1880" s="1" t="s">
        <v>8287</v>
      </c>
      <c r="F1880" s="1" t="str">
        <f>"0520227573"</f>
        <v>0520227573</v>
      </c>
      <c r="G1880" s="1" t="str">
        <f>"9780520227576"</f>
        <v>9780520227576</v>
      </c>
      <c r="H1880" s="1">
        <v>0.0</v>
      </c>
      <c r="I1880" s="1">
        <v>4.28</v>
      </c>
      <c r="J1880" s="1" t="s">
        <v>552</v>
      </c>
      <c r="K1880" s="1" t="s">
        <v>44</v>
      </c>
      <c r="L1880" s="1">
        <v>576.0</v>
      </c>
      <c r="M1880" s="1">
        <v>2000.0</v>
      </c>
      <c r="N1880" s="1">
        <v>1967.0</v>
      </c>
      <c r="P1880" s="2">
        <v>44242.0</v>
      </c>
      <c r="Q1880" s="1" t="s">
        <v>1739</v>
      </c>
      <c r="R1880" s="1" t="s">
        <v>8288</v>
      </c>
      <c r="S1880" s="1" t="s">
        <v>32</v>
      </c>
      <c r="W1880" s="1">
        <v>0.0</v>
      </c>
      <c r="X1880" s="1">
        <v>0.0</v>
      </c>
    </row>
    <row r="1881" spans="1:24" ht="15.75" customHeight="1">
      <c r="A1881" s="1">
        <v>2.3360049E7</v>
      </c>
      <c r="B1881" s="1" t="s">
        <v>8289</v>
      </c>
      <c r="C1881" s="1" t="s">
        <v>8290</v>
      </c>
      <c r="D1881" s="1" t="s">
        <v>8291</v>
      </c>
      <c r="F1881" s="1" t="str">
        <f>"0465064841"</f>
        <v>0465064841</v>
      </c>
      <c r="G1881" s="1" t="str">
        <f>"9780465064847"</f>
        <v>9780465064847</v>
      </c>
      <c r="H1881" s="1">
        <v>0.0</v>
      </c>
      <c r="I1881" s="1">
        <v>4.18</v>
      </c>
      <c r="J1881" s="1" t="s">
        <v>1536</v>
      </c>
      <c r="K1881" s="1" t="s">
        <v>44</v>
      </c>
      <c r="L1881" s="1">
        <v>408.0</v>
      </c>
      <c r="M1881" s="1">
        <v>2015.0</v>
      </c>
      <c r="N1881" s="1">
        <v>2015.0</v>
      </c>
      <c r="P1881" s="2">
        <v>45173.0</v>
      </c>
      <c r="Q1881" s="1" t="s">
        <v>249</v>
      </c>
      <c r="R1881" s="1" t="s">
        <v>8292</v>
      </c>
      <c r="S1881" s="1" t="s">
        <v>32</v>
      </c>
      <c r="W1881" s="1">
        <v>0.0</v>
      </c>
      <c r="X1881" s="1">
        <v>0.0</v>
      </c>
    </row>
    <row r="1882" spans="1:24" ht="15.75" customHeight="1">
      <c r="A1882" s="1">
        <v>1087927.0</v>
      </c>
      <c r="B1882" s="1" t="s">
        <v>8293</v>
      </c>
      <c r="C1882" s="1" t="s">
        <v>8290</v>
      </c>
      <c r="D1882" s="1" t="s">
        <v>8291</v>
      </c>
      <c r="F1882" s="1" t="str">
        <f>"006097740X"</f>
        <v>006097740X</v>
      </c>
      <c r="G1882" s="1" t="str">
        <f>"9780060977405"</f>
        <v>9780060977405</v>
      </c>
      <c r="H1882" s="1">
        <v>0.0</v>
      </c>
      <c r="I1882" s="1">
        <v>3.82</v>
      </c>
      <c r="J1882" s="1" t="s">
        <v>677</v>
      </c>
      <c r="K1882" s="1" t="s">
        <v>44</v>
      </c>
      <c r="L1882" s="1">
        <v>384.0</v>
      </c>
      <c r="M1882" s="1">
        <v>1998.0</v>
      </c>
      <c r="N1882" s="1">
        <v>1997.0</v>
      </c>
      <c r="P1882" s="2">
        <v>45173.0</v>
      </c>
      <c r="Q1882" s="1" t="s">
        <v>249</v>
      </c>
      <c r="R1882" s="1" t="s">
        <v>8294</v>
      </c>
      <c r="S1882" s="1" t="s">
        <v>32</v>
      </c>
      <c r="W1882" s="1">
        <v>0.0</v>
      </c>
      <c r="X1882" s="1">
        <v>0.0</v>
      </c>
    </row>
    <row r="1883" spans="1:24" ht="15.75" customHeight="1">
      <c r="A1883" s="1">
        <v>110090.0</v>
      </c>
      <c r="B1883" s="1" t="s">
        <v>8295</v>
      </c>
      <c r="C1883" s="1" t="s">
        <v>8296</v>
      </c>
      <c r="D1883" s="1" t="s">
        <v>8297</v>
      </c>
      <c r="F1883" s="1" t="str">
        <f>"0375724672"</f>
        <v>0375724672</v>
      </c>
      <c r="G1883" s="1" t="str">
        <f>"9780375724671"</f>
        <v>9780375724671</v>
      </c>
      <c r="H1883" s="1">
        <v>0.0</v>
      </c>
      <c r="I1883" s="1">
        <v>3.83</v>
      </c>
      <c r="J1883" s="1" t="s">
        <v>69</v>
      </c>
      <c r="K1883" s="1" t="s">
        <v>44</v>
      </c>
      <c r="L1883" s="1">
        <v>384.0</v>
      </c>
      <c r="M1883" s="1">
        <v>2001.0</v>
      </c>
      <c r="N1883" s="1">
        <v>2000.0</v>
      </c>
      <c r="P1883" s="2">
        <v>45111.0</v>
      </c>
      <c r="Q1883" s="1" t="s">
        <v>261</v>
      </c>
      <c r="R1883" s="1" t="s">
        <v>8298</v>
      </c>
      <c r="S1883" s="1" t="s">
        <v>32</v>
      </c>
      <c r="W1883" s="1">
        <v>0.0</v>
      </c>
      <c r="X1883" s="1">
        <v>0.0</v>
      </c>
    </row>
    <row r="1884" spans="1:24" ht="15.75" customHeight="1">
      <c r="A1884" s="1">
        <v>316496.0</v>
      </c>
      <c r="B1884" s="1" t="s">
        <v>8299</v>
      </c>
      <c r="C1884" s="1" t="s">
        <v>8296</v>
      </c>
      <c r="D1884" s="1" t="s">
        <v>8297</v>
      </c>
      <c r="F1884" s="1" t="str">
        <f>"0702229784"</f>
        <v>0702229784</v>
      </c>
      <c r="G1884" s="1" t="str">
        <f>"9780702229787"</f>
        <v>9780702229787</v>
      </c>
      <c r="H1884" s="1">
        <v>0.0</v>
      </c>
      <c r="I1884" s="1">
        <v>3.73</v>
      </c>
      <c r="J1884" s="1" t="s">
        <v>8300</v>
      </c>
      <c r="K1884" s="1" t="s">
        <v>44</v>
      </c>
      <c r="L1884" s="1">
        <v>515.0</v>
      </c>
      <c r="M1884" s="1">
        <v>1998.0</v>
      </c>
      <c r="N1884" s="1">
        <v>1988.0</v>
      </c>
      <c r="P1884" s="2">
        <v>41840.0</v>
      </c>
      <c r="Q1884" s="1" t="s">
        <v>261</v>
      </c>
      <c r="R1884" s="1" t="s">
        <v>8301</v>
      </c>
      <c r="S1884" s="1" t="s">
        <v>32</v>
      </c>
      <c r="W1884" s="1">
        <v>0.0</v>
      </c>
      <c r="X1884" s="1">
        <v>0.0</v>
      </c>
    </row>
    <row r="1885" spans="1:24" ht="15.75" customHeight="1">
      <c r="A1885" s="1">
        <v>3.2191717E7</v>
      </c>
      <c r="B1885" s="1" t="s">
        <v>8302</v>
      </c>
      <c r="C1885" s="1" t="s">
        <v>8303</v>
      </c>
      <c r="D1885" s="1" t="s">
        <v>8304</v>
      </c>
      <c r="E1885" s="1" t="s">
        <v>8305</v>
      </c>
      <c r="F1885" s="1" t="str">
        <f>"1631492985"</f>
        <v>1631492985</v>
      </c>
      <c r="G1885" s="1" t="str">
        <f>"9781631492983"</f>
        <v>9781631492983</v>
      </c>
      <c r="H1885" s="1">
        <v>0.0</v>
      </c>
      <c r="I1885" s="1">
        <v>3.9</v>
      </c>
      <c r="J1885" s="1" t="s">
        <v>643</v>
      </c>
      <c r="K1885" s="1" t="s">
        <v>37</v>
      </c>
      <c r="L1885" s="1">
        <v>464.0</v>
      </c>
      <c r="M1885" s="1">
        <v>2017.0</v>
      </c>
      <c r="P1885" s="2">
        <v>45113.0</v>
      </c>
      <c r="Q1885" s="1" t="s">
        <v>115</v>
      </c>
      <c r="R1885" s="1" t="s">
        <v>8306</v>
      </c>
      <c r="S1885" s="1" t="s">
        <v>32</v>
      </c>
      <c r="W1885" s="1">
        <v>0.0</v>
      </c>
      <c r="X1885" s="1">
        <v>1.0</v>
      </c>
    </row>
    <row r="1886" spans="1:24" ht="15.75" customHeight="1">
      <c r="A1886" s="1">
        <v>3.4524485E7</v>
      </c>
      <c r="B1886" s="1" t="s">
        <v>8307</v>
      </c>
      <c r="C1886" s="1" t="s">
        <v>8308</v>
      </c>
      <c r="D1886" s="1" t="s">
        <v>8309</v>
      </c>
      <c r="E1886" s="1" t="s">
        <v>8310</v>
      </c>
      <c r="F1886" s="1" t="str">
        <f>"022629983X"</f>
        <v>022629983X</v>
      </c>
      <c r="G1886" s="1" t="str">
        <f>"9780226299839"</f>
        <v>9780226299839</v>
      </c>
      <c r="H1886" s="1">
        <v>0.0</v>
      </c>
      <c r="I1886" s="1">
        <v>4.16</v>
      </c>
      <c r="J1886" s="1" t="s">
        <v>78</v>
      </c>
      <c r="K1886" s="1" t="s">
        <v>37</v>
      </c>
      <c r="L1886" s="1">
        <v>320.0</v>
      </c>
      <c r="M1886" s="1">
        <v>2017.0</v>
      </c>
      <c r="N1886" s="1">
        <v>2017.0</v>
      </c>
      <c r="P1886" s="2">
        <v>43943.0</v>
      </c>
      <c r="Q1886" s="1" t="s">
        <v>32</v>
      </c>
      <c r="R1886" s="1" t="s">
        <v>8311</v>
      </c>
      <c r="S1886" s="1" t="s">
        <v>32</v>
      </c>
      <c r="W1886" s="1">
        <v>0.0</v>
      </c>
      <c r="X1886" s="1">
        <v>0.0</v>
      </c>
    </row>
    <row r="1887" spans="1:24" ht="15.75" customHeight="1">
      <c r="A1887" s="1">
        <v>5.0403455E7</v>
      </c>
      <c r="B1887" s="1" t="s">
        <v>8312</v>
      </c>
      <c r="C1887" s="1" t="s">
        <v>8313</v>
      </c>
      <c r="D1887" s="1" t="s">
        <v>8314</v>
      </c>
      <c r="F1887" s="1" t="str">
        <f>"0374207941"</f>
        <v>0374207941</v>
      </c>
      <c r="G1887" s="1" t="str">
        <f>"9780374207946"</f>
        <v>9780374207946</v>
      </c>
      <c r="H1887" s="1">
        <v>0.0</v>
      </c>
      <c r="I1887" s="1">
        <v>3.88</v>
      </c>
      <c r="J1887" s="1" t="s">
        <v>438</v>
      </c>
      <c r="K1887" s="1" t="s">
        <v>37</v>
      </c>
      <c r="L1887" s="1">
        <v>352.0</v>
      </c>
      <c r="M1887" s="1">
        <v>2020.0</v>
      </c>
      <c r="N1887" s="1">
        <v>2020.0</v>
      </c>
      <c r="P1887" s="2">
        <v>44198.0</v>
      </c>
      <c r="Q1887" s="1" t="s">
        <v>55</v>
      </c>
      <c r="R1887" s="1" t="s">
        <v>8315</v>
      </c>
      <c r="S1887" s="1" t="s">
        <v>32</v>
      </c>
      <c r="W1887" s="1">
        <v>0.0</v>
      </c>
      <c r="X1887" s="1">
        <v>0.0</v>
      </c>
    </row>
    <row r="1888" spans="1:24" ht="15.75" customHeight="1">
      <c r="A1888" s="1">
        <v>2.8116739E7</v>
      </c>
      <c r="B1888" s="1" t="s">
        <v>8316</v>
      </c>
      <c r="C1888" s="1" t="s">
        <v>8313</v>
      </c>
      <c r="D1888" s="1" t="s">
        <v>8314</v>
      </c>
      <c r="F1888" s="1" t="str">
        <f>"0374227764"</f>
        <v>0374227764</v>
      </c>
      <c r="G1888" s="1" t="str">
        <f>"9780374227760"</f>
        <v>9780374227760</v>
      </c>
      <c r="H1888" s="1">
        <v>0.0</v>
      </c>
      <c r="I1888" s="1">
        <v>3.88</v>
      </c>
      <c r="J1888" s="1" t="s">
        <v>438</v>
      </c>
      <c r="K1888" s="1" t="s">
        <v>37</v>
      </c>
      <c r="L1888" s="1">
        <v>257.0</v>
      </c>
      <c r="M1888" s="1">
        <v>2016.0</v>
      </c>
      <c r="N1888" s="1">
        <v>2016.0</v>
      </c>
      <c r="P1888" s="2">
        <v>45143.0</v>
      </c>
      <c r="Q1888" s="1" t="s">
        <v>32</v>
      </c>
      <c r="R1888" s="1" t="s">
        <v>8317</v>
      </c>
      <c r="S1888" s="1" t="s">
        <v>32</v>
      </c>
      <c r="W1888" s="1">
        <v>0.0</v>
      </c>
      <c r="X1888" s="1">
        <v>0.0</v>
      </c>
    </row>
    <row r="1889" spans="1:24" ht="15.75" customHeight="1">
      <c r="A1889" s="1">
        <v>712665.0</v>
      </c>
      <c r="B1889" s="1" t="s">
        <v>8318</v>
      </c>
      <c r="C1889" s="1" t="s">
        <v>8319</v>
      </c>
      <c r="D1889" s="1" t="s">
        <v>8320</v>
      </c>
      <c r="F1889" s="1" t="str">
        <f>"0316332259"</f>
        <v>0316332259</v>
      </c>
      <c r="G1889" s="1" t="str">
        <f>"9780316332255"</f>
        <v>9780316332255</v>
      </c>
      <c r="H1889" s="1">
        <v>0.0</v>
      </c>
      <c r="I1889" s="1">
        <v>4.16</v>
      </c>
      <c r="J1889" s="1" t="s">
        <v>2445</v>
      </c>
      <c r="K1889" s="1" t="s">
        <v>37</v>
      </c>
      <c r="L1889" s="1">
        <v>560.0</v>
      </c>
      <c r="M1889" s="1">
        <v>1995.0</v>
      </c>
      <c r="N1889" s="1">
        <v>1994.0</v>
      </c>
      <c r="P1889" s="2">
        <v>41313.0</v>
      </c>
      <c r="Q1889" s="1" t="s">
        <v>109</v>
      </c>
      <c r="R1889" s="1" t="s">
        <v>8321</v>
      </c>
      <c r="S1889" s="1" t="s">
        <v>32</v>
      </c>
      <c r="W1889" s="1">
        <v>0.0</v>
      </c>
      <c r="X1889" s="1">
        <v>0.0</v>
      </c>
    </row>
    <row r="1890" spans="1:24" ht="15.75" customHeight="1">
      <c r="A1890" s="1">
        <v>24482.0</v>
      </c>
      <c r="B1890" s="1" t="s">
        <v>8322</v>
      </c>
      <c r="C1890" s="1" t="s">
        <v>8323</v>
      </c>
      <c r="D1890" s="1" t="s">
        <v>8324</v>
      </c>
      <c r="E1890" s="1" t="s">
        <v>8325</v>
      </c>
      <c r="F1890" s="1" t="str">
        <f>"1590170199"</f>
        <v>1590170199</v>
      </c>
      <c r="G1890" s="1" t="str">
        <f>"9781590170199"</f>
        <v>9781590170199</v>
      </c>
      <c r="H1890" s="1">
        <v>0.0</v>
      </c>
      <c r="I1890" s="1">
        <v>3.76</v>
      </c>
      <c r="J1890" s="1" t="s">
        <v>2537</v>
      </c>
      <c r="K1890" s="1" t="s">
        <v>44</v>
      </c>
      <c r="L1890" s="1">
        <v>76.0</v>
      </c>
      <c r="M1890" s="1">
        <v>2002.0</v>
      </c>
      <c r="N1890" s="1">
        <v>1972.0</v>
      </c>
      <c r="P1890" s="2">
        <v>44814.0</v>
      </c>
      <c r="Q1890" s="1" t="s">
        <v>115</v>
      </c>
      <c r="R1890" s="1" t="s">
        <v>8326</v>
      </c>
      <c r="S1890" s="1" t="s">
        <v>32</v>
      </c>
      <c r="W1890" s="1">
        <v>0.0</v>
      </c>
      <c r="X1890" s="1">
        <v>0.0</v>
      </c>
    </row>
    <row r="1891" spans="1:24" ht="15.75" customHeight="1">
      <c r="A1891" s="1">
        <v>250722.0</v>
      </c>
      <c r="B1891" s="1" t="s">
        <v>8327</v>
      </c>
      <c r="C1891" s="1" t="s">
        <v>8328</v>
      </c>
      <c r="D1891" s="1" t="s">
        <v>8329</v>
      </c>
      <c r="F1891" s="1" t="str">
        <f>"1565849361"</f>
        <v>1565849361</v>
      </c>
      <c r="G1891" s="1" t="str">
        <f>"9781565849365"</f>
        <v>9781565849365</v>
      </c>
      <c r="H1891" s="1">
        <v>0.0</v>
      </c>
      <c r="I1891" s="1">
        <v>4.33</v>
      </c>
      <c r="J1891" s="1" t="s">
        <v>1104</v>
      </c>
      <c r="K1891" s="1" t="s">
        <v>44</v>
      </c>
      <c r="L1891" s="1">
        <v>587.0</v>
      </c>
      <c r="M1891" s="1">
        <v>2004.0</v>
      </c>
      <c r="N1891" s="1">
        <v>2003.0</v>
      </c>
      <c r="P1891" s="2">
        <v>45269.0</v>
      </c>
      <c r="Q1891" s="1" t="s">
        <v>479</v>
      </c>
      <c r="R1891" s="1" t="s">
        <v>8330</v>
      </c>
      <c r="S1891" s="1" t="s">
        <v>32</v>
      </c>
      <c r="W1891" s="1">
        <v>0.0</v>
      </c>
      <c r="X1891" s="1">
        <v>0.0</v>
      </c>
    </row>
    <row r="1892" spans="1:24" ht="15.75" customHeight="1">
      <c r="A1892" s="1">
        <v>51726.0</v>
      </c>
      <c r="B1892" s="1" t="s">
        <v>8331</v>
      </c>
      <c r="C1892" s="1" t="s">
        <v>8332</v>
      </c>
      <c r="D1892" s="1" t="s">
        <v>8333</v>
      </c>
      <c r="E1892" s="1" t="s">
        <v>8334</v>
      </c>
      <c r="F1892" s="1" t="str">
        <f>"0385058985"</f>
        <v>0385058985</v>
      </c>
      <c r="G1892" s="1" t="str">
        <f>"9780385058988"</f>
        <v>9780385058988</v>
      </c>
      <c r="H1892" s="1">
        <v>0.0</v>
      </c>
      <c r="I1892" s="1">
        <v>4.12</v>
      </c>
      <c r="J1892" s="1" t="s">
        <v>287</v>
      </c>
      <c r="K1892" s="1" t="s">
        <v>44</v>
      </c>
      <c r="L1892" s="1">
        <v>219.0</v>
      </c>
      <c r="M1892" s="1">
        <v>1967.0</v>
      </c>
      <c r="N1892" s="1">
        <v>1966.0</v>
      </c>
      <c r="P1892" s="2">
        <v>43982.0</v>
      </c>
      <c r="Q1892" s="1" t="s">
        <v>32</v>
      </c>
      <c r="R1892" s="1" t="s">
        <v>8335</v>
      </c>
      <c r="S1892" s="1" t="s">
        <v>32</v>
      </c>
      <c r="W1892" s="1">
        <v>0.0</v>
      </c>
      <c r="X1892" s="1">
        <v>0.0</v>
      </c>
    </row>
    <row r="1893" spans="1:24" ht="15.75" customHeight="1">
      <c r="A1893" s="1">
        <v>1380639.0</v>
      </c>
      <c r="B1893" s="1" t="s">
        <v>8336</v>
      </c>
      <c r="C1893" s="1" t="s">
        <v>8332</v>
      </c>
      <c r="D1893" s="1" t="s">
        <v>8333</v>
      </c>
      <c r="F1893" s="1" t="str">
        <f>"0394719948"</f>
        <v>0394719948</v>
      </c>
      <c r="G1893" s="1" t="str">
        <f>"9780394719948"</f>
        <v>9780394719948</v>
      </c>
      <c r="H1893" s="1">
        <v>0.0</v>
      </c>
      <c r="I1893" s="1">
        <v>3.88</v>
      </c>
      <c r="J1893" s="1" t="s">
        <v>69</v>
      </c>
      <c r="K1893" s="1" t="s">
        <v>44</v>
      </c>
      <c r="L1893" s="1">
        <v>270.0</v>
      </c>
      <c r="M1893" s="1">
        <v>1974.0</v>
      </c>
      <c r="N1893" s="1">
        <v>1973.0</v>
      </c>
      <c r="P1893" s="2">
        <v>45108.0</v>
      </c>
      <c r="Q1893" s="1" t="s">
        <v>32</v>
      </c>
      <c r="R1893" s="1" t="s">
        <v>8337</v>
      </c>
      <c r="S1893" s="1" t="s">
        <v>32</v>
      </c>
      <c r="W1893" s="1">
        <v>0.0</v>
      </c>
      <c r="X1893" s="1">
        <v>0.0</v>
      </c>
    </row>
    <row r="1894" spans="1:24" ht="15.75" customHeight="1">
      <c r="A1894" s="1">
        <v>1.5812438E7</v>
      </c>
      <c r="B1894" s="1" t="s">
        <v>8338</v>
      </c>
      <c r="C1894" s="1" t="s">
        <v>8339</v>
      </c>
      <c r="D1894" s="1" t="s">
        <v>8340</v>
      </c>
      <c r="E1894" s="1" t="s">
        <v>8341</v>
      </c>
      <c r="F1894" s="1" t="str">
        <f>"0822352494"</f>
        <v>0822352494</v>
      </c>
      <c r="G1894" s="1" t="str">
        <f>"9780822352495"</f>
        <v>9780822352495</v>
      </c>
      <c r="H1894" s="1">
        <v>0.0</v>
      </c>
      <c r="I1894" s="1">
        <v>4.33</v>
      </c>
      <c r="J1894" s="1" t="s">
        <v>1341</v>
      </c>
      <c r="K1894" s="1" t="s">
        <v>37</v>
      </c>
      <c r="L1894" s="1">
        <v>488.0</v>
      </c>
      <c r="M1894" s="1">
        <v>2012.0</v>
      </c>
      <c r="N1894" s="1">
        <v>2012.0</v>
      </c>
      <c r="P1894" s="2">
        <v>45147.0</v>
      </c>
      <c r="Q1894" s="1" t="s">
        <v>55</v>
      </c>
      <c r="R1894" s="1" t="s">
        <v>8342</v>
      </c>
      <c r="S1894" s="1" t="s">
        <v>32</v>
      </c>
      <c r="W1894" s="1">
        <v>0.0</v>
      </c>
      <c r="X1894" s="1">
        <v>0.0</v>
      </c>
    </row>
    <row r="1895" spans="1:24" ht="15.75" customHeight="1">
      <c r="A1895" s="1">
        <v>3.549069E7</v>
      </c>
      <c r="B1895" s="1" t="s">
        <v>8343</v>
      </c>
      <c r="C1895" s="1" t="s">
        <v>8344</v>
      </c>
      <c r="D1895" s="1" t="s">
        <v>8345</v>
      </c>
      <c r="F1895" s="1" t="str">
        <f>"1912316048"</f>
        <v>1912316048</v>
      </c>
      <c r="G1895" s="1" t="str">
        <f>"9781912316045"</f>
        <v>9781912316045</v>
      </c>
      <c r="H1895" s="1">
        <v>0.0</v>
      </c>
      <c r="I1895" s="1">
        <v>4.37</v>
      </c>
      <c r="J1895" s="1" t="s">
        <v>8346</v>
      </c>
      <c r="K1895" s="1" t="s">
        <v>44</v>
      </c>
      <c r="L1895" s="1">
        <v>320.0</v>
      </c>
      <c r="M1895" s="1">
        <v>2017.0</v>
      </c>
      <c r="P1895" s="2">
        <v>45145.0</v>
      </c>
      <c r="Q1895" s="1" t="s">
        <v>32</v>
      </c>
      <c r="R1895" s="1" t="s">
        <v>8347</v>
      </c>
      <c r="S1895" s="1" t="s">
        <v>32</v>
      </c>
      <c r="W1895" s="1">
        <v>0.0</v>
      </c>
      <c r="X1895" s="1">
        <v>0.0</v>
      </c>
    </row>
    <row r="1896" spans="1:24" ht="15.75" customHeight="1">
      <c r="A1896" s="1">
        <v>1.7316555E7</v>
      </c>
      <c r="B1896" s="1" t="s">
        <v>8348</v>
      </c>
      <c r="C1896" s="1" t="s">
        <v>8349</v>
      </c>
      <c r="D1896" s="1" t="s">
        <v>8350</v>
      </c>
      <c r="F1896" s="1" t="str">
        <f>"1590516389"</f>
        <v>1590516389</v>
      </c>
      <c r="G1896" s="1" t="str">
        <f>"9781590516386"</f>
        <v>9781590516386</v>
      </c>
      <c r="H1896" s="1">
        <v>0.0</v>
      </c>
      <c r="I1896" s="1">
        <v>3.21</v>
      </c>
      <c r="J1896" s="1" t="s">
        <v>8351</v>
      </c>
      <c r="K1896" s="1" t="s">
        <v>44</v>
      </c>
      <c r="L1896" s="1">
        <v>256.0</v>
      </c>
      <c r="M1896" s="1">
        <v>2013.0</v>
      </c>
      <c r="N1896" s="1">
        <v>2013.0</v>
      </c>
      <c r="P1896" s="2">
        <v>41647.0</v>
      </c>
      <c r="Q1896" s="1" t="s">
        <v>32</v>
      </c>
      <c r="R1896" s="1" t="s">
        <v>8352</v>
      </c>
      <c r="S1896" s="1" t="s">
        <v>32</v>
      </c>
      <c r="W1896" s="1">
        <v>0.0</v>
      </c>
      <c r="X1896" s="1">
        <v>0.0</v>
      </c>
    </row>
    <row r="1897" spans="1:24" ht="15.75" customHeight="1">
      <c r="A1897" s="1">
        <v>611084.0</v>
      </c>
      <c r="B1897" s="1" t="s">
        <v>8353</v>
      </c>
      <c r="C1897" s="1" t="s">
        <v>8354</v>
      </c>
      <c r="D1897" s="1" t="s">
        <v>8355</v>
      </c>
      <c r="F1897" s="1" t="str">
        <f>"3434530088"</f>
        <v>3434530088</v>
      </c>
      <c r="G1897" s="1" t="str">
        <f>"9783434530084"</f>
        <v>9783434530084</v>
      </c>
      <c r="H1897" s="1">
        <v>0.0</v>
      </c>
      <c r="I1897" s="1">
        <v>3.92</v>
      </c>
      <c r="J1897" s="1" t="s">
        <v>8356</v>
      </c>
      <c r="K1897" s="1" t="s">
        <v>37</v>
      </c>
      <c r="L1897" s="1">
        <v>449.0</v>
      </c>
      <c r="M1897" s="1">
        <v>2000.0</v>
      </c>
      <c r="N1897" s="1">
        <v>1975.0</v>
      </c>
      <c r="P1897" s="2">
        <v>45129.0</v>
      </c>
      <c r="Q1897" s="1" t="s">
        <v>633</v>
      </c>
      <c r="R1897" s="1" t="s">
        <v>8357</v>
      </c>
      <c r="S1897" s="1" t="s">
        <v>32</v>
      </c>
      <c r="W1897" s="1">
        <v>0.0</v>
      </c>
      <c r="X1897" s="1">
        <v>0.0</v>
      </c>
    </row>
    <row r="1898" spans="1:24" ht="15.75" customHeight="1">
      <c r="A1898" s="1">
        <v>481309.0</v>
      </c>
      <c r="B1898" s="1" t="s">
        <v>8358</v>
      </c>
      <c r="C1898" s="1" t="s">
        <v>8359</v>
      </c>
      <c r="D1898" s="1" t="s">
        <v>8360</v>
      </c>
      <c r="E1898" s="1" t="s">
        <v>8361</v>
      </c>
      <c r="F1898" s="1" t="str">
        <f>"0674045351"</f>
        <v>0674045351</v>
      </c>
      <c r="G1898" s="1" t="str">
        <f>"9780674045354"</f>
        <v>9780674045354</v>
      </c>
      <c r="H1898" s="1">
        <v>0.0</v>
      </c>
      <c r="I1898" s="1">
        <v>3.94</v>
      </c>
      <c r="J1898" s="1" t="s">
        <v>2273</v>
      </c>
      <c r="K1898" s="1" t="s">
        <v>44</v>
      </c>
      <c r="L1898" s="1">
        <v>320.0</v>
      </c>
      <c r="M1898" s="1">
        <v>1983.0</v>
      </c>
      <c r="N1898" s="1">
        <v>1983.0</v>
      </c>
      <c r="P1898" s="2">
        <v>44455.0</v>
      </c>
      <c r="Q1898" s="1" t="s">
        <v>1258</v>
      </c>
      <c r="R1898" s="1" t="s">
        <v>8362</v>
      </c>
      <c r="S1898" s="1" t="s">
        <v>32</v>
      </c>
      <c r="W1898" s="1">
        <v>0.0</v>
      </c>
      <c r="X1898" s="1">
        <v>0.0</v>
      </c>
    </row>
    <row r="1899" spans="1:24" ht="15.75" customHeight="1">
      <c r="A1899" s="1">
        <v>3.0652247E7</v>
      </c>
      <c r="B1899" s="1" t="s">
        <v>8363</v>
      </c>
      <c r="C1899" s="1" t="s">
        <v>8364</v>
      </c>
      <c r="D1899" s="1" t="s">
        <v>8365</v>
      </c>
      <c r="E1899" s="1" t="s">
        <v>8366</v>
      </c>
      <c r="F1899" s="1" t="str">
        <f>"1568585233"</f>
        <v>1568585233</v>
      </c>
      <c r="G1899" s="1" t="str">
        <f>"9781568585239"</f>
        <v>9781568585239</v>
      </c>
      <c r="H1899" s="1">
        <v>0.0</v>
      </c>
      <c r="I1899" s="1">
        <v>4.1</v>
      </c>
      <c r="J1899" s="1" t="s">
        <v>121</v>
      </c>
      <c r="K1899" s="1" t="s">
        <v>37</v>
      </c>
      <c r="L1899" s="1">
        <v>272.0</v>
      </c>
      <c r="M1899" s="1">
        <v>2017.0</v>
      </c>
      <c r="N1899" s="1">
        <v>2017.0</v>
      </c>
      <c r="P1899" s="2">
        <v>42958.0</v>
      </c>
      <c r="Q1899" s="1" t="s">
        <v>32</v>
      </c>
      <c r="R1899" s="1" t="s">
        <v>8367</v>
      </c>
      <c r="S1899" s="1" t="s">
        <v>32</v>
      </c>
      <c r="W1899" s="1">
        <v>0.0</v>
      </c>
      <c r="X1899" s="1">
        <v>0.0</v>
      </c>
    </row>
    <row r="1900" spans="1:24" ht="15.75" customHeight="1">
      <c r="A1900" s="1">
        <v>1.0821772E7</v>
      </c>
      <c r="B1900" s="1" t="s">
        <v>8368</v>
      </c>
      <c r="C1900" s="1" t="s">
        <v>8369</v>
      </c>
      <c r="D1900" s="1" t="s">
        <v>8370</v>
      </c>
      <c r="E1900" s="1" t="s">
        <v>8371</v>
      </c>
      <c r="F1900" s="1" t="str">
        <f>"0374229767"</f>
        <v>0374229767</v>
      </c>
      <c r="G1900" s="1" t="str">
        <f>"9780374229764"</f>
        <v>9780374229764</v>
      </c>
      <c r="H1900" s="1">
        <v>0.0</v>
      </c>
      <c r="I1900" s="1">
        <v>3.78</v>
      </c>
      <c r="J1900" s="1" t="s">
        <v>438</v>
      </c>
      <c r="K1900" s="1" t="s">
        <v>37</v>
      </c>
      <c r="L1900" s="1">
        <v>1133.0</v>
      </c>
      <c r="M1900" s="1">
        <v>2011.0</v>
      </c>
      <c r="N1900" s="1">
        <v>2005.0</v>
      </c>
      <c r="P1900" s="2">
        <v>45129.0</v>
      </c>
      <c r="Q1900" s="1" t="s">
        <v>145</v>
      </c>
      <c r="R1900" s="1" t="s">
        <v>8372</v>
      </c>
      <c r="S1900" s="1" t="s">
        <v>32</v>
      </c>
      <c r="W1900" s="1">
        <v>0.0</v>
      </c>
      <c r="X1900" s="1">
        <v>0.0</v>
      </c>
    </row>
    <row r="1901" spans="1:24" ht="15.75" customHeight="1">
      <c r="A1901" s="1">
        <v>807028.0</v>
      </c>
      <c r="B1901" s="1" t="s">
        <v>8373</v>
      </c>
      <c r="C1901" s="1" t="s">
        <v>8374</v>
      </c>
      <c r="D1901" s="1" t="s">
        <v>8375</v>
      </c>
      <c r="F1901" s="1" t="str">
        <f>"0872860965"</f>
        <v>0872860965</v>
      </c>
      <c r="G1901" s="1" t="str">
        <f>"9780872860964"</f>
        <v>9780872860964</v>
      </c>
      <c r="H1901" s="1">
        <v>0.0</v>
      </c>
      <c r="I1901" s="1">
        <v>4.1</v>
      </c>
      <c r="J1901" s="1" t="s">
        <v>8376</v>
      </c>
      <c r="K1901" s="1" t="s">
        <v>44</v>
      </c>
      <c r="L1901" s="1">
        <v>144.0</v>
      </c>
      <c r="M1901" s="1">
        <v>1978.0</v>
      </c>
      <c r="N1901" s="1">
        <v>1978.0</v>
      </c>
      <c r="P1901" s="2">
        <v>41585.0</v>
      </c>
      <c r="Q1901" s="1" t="s">
        <v>32</v>
      </c>
      <c r="R1901" s="1" t="s">
        <v>8377</v>
      </c>
      <c r="S1901" s="1" t="s">
        <v>32</v>
      </c>
      <c r="W1901" s="1">
        <v>0.0</v>
      </c>
      <c r="X1901" s="1">
        <v>0.0</v>
      </c>
    </row>
    <row r="1902" spans="1:24" ht="15.75" customHeight="1">
      <c r="A1902" s="1">
        <v>2348383.0</v>
      </c>
      <c r="B1902" s="1" t="s">
        <v>8378</v>
      </c>
      <c r="C1902" s="1" t="s">
        <v>8379</v>
      </c>
      <c r="D1902" s="1" t="s">
        <v>8380</v>
      </c>
      <c r="F1902" s="1" t="str">
        <f>"1929223064"</f>
        <v>1929223064</v>
      </c>
      <c r="G1902" s="1" t="str">
        <f>"9781929223060"</f>
        <v>9781929223060</v>
      </c>
      <c r="H1902" s="1">
        <v>0.0</v>
      </c>
      <c r="I1902" s="1">
        <v>3.89</v>
      </c>
      <c r="J1902" s="1" t="s">
        <v>8381</v>
      </c>
      <c r="K1902" s="1" t="s">
        <v>44</v>
      </c>
      <c r="L1902" s="1">
        <v>768.0</v>
      </c>
      <c r="M1902" s="1">
        <v>2001.0</v>
      </c>
      <c r="N1902" s="1">
        <v>2001.0</v>
      </c>
      <c r="P1902" s="3">
        <v>45276.0</v>
      </c>
      <c r="Q1902" s="1" t="s">
        <v>479</v>
      </c>
      <c r="R1902" s="1" t="s">
        <v>8382</v>
      </c>
      <c r="S1902" s="1" t="s">
        <v>32</v>
      </c>
      <c r="W1902" s="1">
        <v>0.0</v>
      </c>
      <c r="X1902" s="1">
        <v>0.0</v>
      </c>
    </row>
    <row r="1903" spans="1:24" ht="15.75" customHeight="1">
      <c r="A1903" s="1">
        <v>334286.0</v>
      </c>
      <c r="B1903" s="1" t="s">
        <v>8383</v>
      </c>
      <c r="C1903" s="1" t="s">
        <v>8384</v>
      </c>
      <c r="D1903" s="1" t="s">
        <v>8385</v>
      </c>
      <c r="F1903" s="1" t="str">
        <f>"0140260706"</f>
        <v>0140260706</v>
      </c>
      <c r="G1903" s="1" t="str">
        <f>"9780140260700"</f>
        <v>9780140260700</v>
      </c>
      <c r="H1903" s="1">
        <v>0.0</v>
      </c>
      <c r="I1903" s="1">
        <v>3.91</v>
      </c>
      <c r="J1903" s="1" t="s">
        <v>309</v>
      </c>
      <c r="K1903" s="1" t="s">
        <v>44</v>
      </c>
      <c r="L1903" s="1">
        <v>112.0</v>
      </c>
      <c r="M1903" s="1">
        <v>1984.0</v>
      </c>
      <c r="N1903" s="1">
        <v>1973.0</v>
      </c>
      <c r="P1903" s="3">
        <v>42334.0</v>
      </c>
      <c r="Q1903" s="1" t="s">
        <v>5610</v>
      </c>
      <c r="R1903" s="1" t="s">
        <v>8386</v>
      </c>
      <c r="S1903" s="1" t="s">
        <v>32</v>
      </c>
      <c r="W1903" s="1">
        <v>0.0</v>
      </c>
      <c r="X1903" s="1">
        <v>0.0</v>
      </c>
    </row>
    <row r="1904" spans="1:24" ht="15.75" customHeight="1">
      <c r="A1904" s="77">
        <v>509086.0</v>
      </c>
      <c r="B1904" s="77" t="s">
        <v>8387</v>
      </c>
      <c r="C1904" s="77" t="s">
        <v>8388</v>
      </c>
      <c r="D1904" s="77" t="s">
        <v>8389</v>
      </c>
      <c r="E1904" s="77" t="s">
        <v>8390</v>
      </c>
      <c r="F1904" s="77" t="str">
        <f>"8478446591"</f>
        <v>8478446591</v>
      </c>
      <c r="G1904" s="77" t="str">
        <f>"9788478446599"</f>
        <v>9788478446599</v>
      </c>
      <c r="H1904" s="77">
        <v>0.0</v>
      </c>
      <c r="I1904" s="77">
        <v>4.23</v>
      </c>
      <c r="J1904" s="77" t="s">
        <v>638</v>
      </c>
      <c r="K1904" s="77" t="s">
        <v>44</v>
      </c>
      <c r="L1904" s="77">
        <v>786.0</v>
      </c>
      <c r="M1904" s="77">
        <v>2003.0</v>
      </c>
      <c r="N1904" s="77">
        <v>1983.0</v>
      </c>
      <c r="O1904" s="78"/>
      <c r="P1904" s="79">
        <v>43976.0</v>
      </c>
      <c r="Q1904" s="80" t="s">
        <v>7589</v>
      </c>
      <c r="R1904" s="77" t="s">
        <v>8391</v>
      </c>
      <c r="S1904" s="77" t="s">
        <v>32</v>
      </c>
      <c r="T1904" s="78"/>
      <c r="U1904" s="78"/>
      <c r="V1904" s="78"/>
      <c r="W1904" s="77">
        <v>0.0</v>
      </c>
      <c r="X1904" s="77">
        <v>0.0</v>
      </c>
    </row>
    <row r="1905" spans="1:24" ht="15.75" customHeight="1">
      <c r="A1905" s="77">
        <v>2.6212752E7</v>
      </c>
      <c r="B1905" s="77" t="s">
        <v>8392</v>
      </c>
      <c r="C1905" s="77" t="s">
        <v>8388</v>
      </c>
      <c r="D1905" s="77" t="s">
        <v>8389</v>
      </c>
      <c r="E1905" s="77" t="s">
        <v>8393</v>
      </c>
      <c r="F1905" s="77" t="str">
        <f>"8416280304"</f>
        <v>8416280304</v>
      </c>
      <c r="G1905" s="77" t="str">
        <f>"9788416280308"</f>
        <v>9788416280308</v>
      </c>
      <c r="H1905" s="77">
        <v>0.0</v>
      </c>
      <c r="I1905" s="77">
        <v>4.03</v>
      </c>
      <c r="J1905" s="77" t="s">
        <v>638</v>
      </c>
      <c r="K1905" s="77" t="s">
        <v>29</v>
      </c>
      <c r="L1905" s="77">
        <v>304.0</v>
      </c>
      <c r="M1905" s="77">
        <v>2014.0</v>
      </c>
      <c r="N1905" s="77">
        <v>2001.0</v>
      </c>
      <c r="O1905" s="78"/>
      <c r="P1905" s="79">
        <v>43976.0</v>
      </c>
      <c r="Q1905" s="80" t="s">
        <v>7589</v>
      </c>
      <c r="R1905" s="77" t="s">
        <v>8394</v>
      </c>
      <c r="S1905" s="77" t="s">
        <v>32</v>
      </c>
      <c r="T1905" s="78"/>
      <c r="U1905" s="78"/>
      <c r="V1905" s="78"/>
      <c r="W1905" s="77">
        <v>0.0</v>
      </c>
      <c r="X1905" s="77">
        <v>0.0</v>
      </c>
    </row>
    <row r="1906" spans="1:24" ht="15.75" customHeight="1">
      <c r="A1906" s="77">
        <v>5.0416289E7</v>
      </c>
      <c r="B1906" s="77" t="s">
        <v>8395</v>
      </c>
      <c r="C1906" s="77" t="s">
        <v>8388</v>
      </c>
      <c r="D1906" s="77" t="s">
        <v>8389</v>
      </c>
      <c r="E1906" s="77" t="s">
        <v>8396</v>
      </c>
      <c r="F1906" s="77" t="str">
        <f>"841799680X"</f>
        <v>841799680X</v>
      </c>
      <c r="G1906" s="77" t="str">
        <f>"9788417996802"</f>
        <v>9788417996802</v>
      </c>
      <c r="H1906" s="77">
        <v>0.0</v>
      </c>
      <c r="I1906" s="77">
        <v>4.2</v>
      </c>
      <c r="J1906" s="77" t="s">
        <v>638</v>
      </c>
      <c r="K1906" s="77" t="s">
        <v>29</v>
      </c>
      <c r="L1906" s="77">
        <v>351.0</v>
      </c>
      <c r="M1906" s="77">
        <v>2020.0</v>
      </c>
      <c r="N1906" s="78"/>
      <c r="O1906" s="78"/>
      <c r="P1906" s="79">
        <v>43976.0</v>
      </c>
      <c r="Q1906" s="80" t="s">
        <v>7589</v>
      </c>
      <c r="R1906" s="77" t="s">
        <v>8397</v>
      </c>
      <c r="S1906" s="77" t="s">
        <v>32</v>
      </c>
      <c r="T1906" s="78"/>
      <c r="U1906" s="78"/>
      <c r="V1906" s="78"/>
      <c r="W1906" s="77">
        <v>0.0</v>
      </c>
      <c r="X1906" s="77">
        <v>0.0</v>
      </c>
    </row>
    <row r="1907" spans="1:24" ht="15.75" customHeight="1">
      <c r="A1907" s="1">
        <v>2003208.0</v>
      </c>
      <c r="B1907" s="1" t="s">
        <v>8398</v>
      </c>
      <c r="C1907" s="1" t="s">
        <v>8399</v>
      </c>
      <c r="D1907" s="1" t="s">
        <v>8400</v>
      </c>
      <c r="F1907" s="1" t="str">
        <f>"0521008042"</f>
        <v>0521008042</v>
      </c>
      <c r="G1907" s="1" t="str">
        <f>"9780521008044"</f>
        <v>9780521008044</v>
      </c>
      <c r="H1907" s="1">
        <v>0.0</v>
      </c>
      <c r="I1907" s="1">
        <v>3.84</v>
      </c>
      <c r="J1907" s="1" t="s">
        <v>388</v>
      </c>
      <c r="K1907" s="1" t="s">
        <v>44</v>
      </c>
      <c r="L1907" s="1">
        <v>364.0</v>
      </c>
      <c r="M1907" s="1">
        <v>2003.0</v>
      </c>
      <c r="N1907" s="1">
        <v>2003.0</v>
      </c>
      <c r="P1907" s="2">
        <v>45153.0</v>
      </c>
      <c r="Q1907" s="1" t="s">
        <v>32</v>
      </c>
      <c r="R1907" s="1" t="s">
        <v>8401</v>
      </c>
      <c r="S1907" s="1" t="s">
        <v>32</v>
      </c>
      <c r="W1907" s="1">
        <v>0.0</v>
      </c>
      <c r="X1907" s="1">
        <v>0.0</v>
      </c>
    </row>
    <row r="1908" spans="1:24" ht="15.75" customHeight="1">
      <c r="A1908" s="1">
        <v>1203734.0</v>
      </c>
      <c r="B1908" s="1" t="s">
        <v>8402</v>
      </c>
      <c r="C1908" s="1" t="s">
        <v>8403</v>
      </c>
      <c r="D1908" s="1" t="s">
        <v>8404</v>
      </c>
      <c r="F1908" s="1" t="str">
        <f>"0060148993"</f>
        <v>0060148993</v>
      </c>
      <c r="G1908" s="1" t="str">
        <f>"9780060148997"</f>
        <v>9780060148997</v>
      </c>
      <c r="H1908" s="1">
        <v>0.0</v>
      </c>
      <c r="I1908" s="1">
        <v>4.07</v>
      </c>
      <c r="J1908" s="1" t="s">
        <v>4805</v>
      </c>
      <c r="K1908" s="1" t="s">
        <v>37</v>
      </c>
      <c r="L1908" s="1">
        <v>481.0</v>
      </c>
      <c r="M1908" s="1">
        <v>1981.0</v>
      </c>
      <c r="N1908" s="1">
        <v>1981.0</v>
      </c>
      <c r="P1908" s="2">
        <v>45236.0</v>
      </c>
      <c r="Q1908" s="1" t="s">
        <v>935</v>
      </c>
      <c r="R1908" s="1" t="s">
        <v>8405</v>
      </c>
      <c r="S1908" s="1" t="s">
        <v>32</v>
      </c>
      <c r="W1908" s="1">
        <v>0.0</v>
      </c>
      <c r="X1908" s="1">
        <v>0.0</v>
      </c>
    </row>
    <row r="1909" spans="1:24" ht="15.75" customHeight="1">
      <c r="A1909" s="1">
        <v>1.0791288E7</v>
      </c>
      <c r="B1909" s="1" t="s">
        <v>8406</v>
      </c>
      <c r="C1909" s="1" t="s">
        <v>8407</v>
      </c>
      <c r="D1909" s="1" t="s">
        <v>8408</v>
      </c>
      <c r="F1909" s="1" t="str">
        <f>"0300141106"</f>
        <v>0300141106</v>
      </c>
      <c r="G1909" s="1" t="str">
        <f>"9780300141108"</f>
        <v>9780300141108</v>
      </c>
      <c r="H1909" s="1">
        <v>0.0</v>
      </c>
      <c r="I1909" s="1">
        <v>3.15</v>
      </c>
      <c r="J1909" s="1" t="s">
        <v>962</v>
      </c>
      <c r="K1909" s="1" t="s">
        <v>37</v>
      </c>
      <c r="L1909" s="1">
        <v>224.0</v>
      </c>
      <c r="M1909" s="1">
        <v>2011.0</v>
      </c>
      <c r="N1909" s="1">
        <v>2011.0</v>
      </c>
      <c r="P1909" s="2">
        <v>45172.0</v>
      </c>
      <c r="Q1909" s="1" t="s">
        <v>32</v>
      </c>
      <c r="R1909" s="1" t="s">
        <v>8409</v>
      </c>
      <c r="S1909" s="1" t="s">
        <v>32</v>
      </c>
      <c r="W1909" s="1">
        <v>0.0</v>
      </c>
      <c r="X1909" s="1">
        <v>0.0</v>
      </c>
    </row>
    <row r="1910" spans="1:24" ht="15.75" customHeight="1">
      <c r="A1910" s="1">
        <v>948234.0</v>
      </c>
      <c r="B1910" s="1" t="s">
        <v>8410</v>
      </c>
      <c r="C1910" s="1" t="s">
        <v>8411</v>
      </c>
      <c r="D1910" s="1" t="s">
        <v>8412</v>
      </c>
      <c r="F1910" s="1" t="str">
        <f>"0879727306"</f>
        <v>0879727306</v>
      </c>
      <c r="G1910" s="1" t="str">
        <f>"9780879727307"</f>
        <v>9780879727307</v>
      </c>
      <c r="H1910" s="1">
        <v>0.0</v>
      </c>
      <c r="I1910" s="1">
        <v>3.2</v>
      </c>
      <c r="J1910" s="1" t="s">
        <v>8413</v>
      </c>
      <c r="K1910" s="1" t="s">
        <v>44</v>
      </c>
      <c r="L1910" s="1">
        <v>228.0</v>
      </c>
      <c r="M1910" s="1">
        <v>1997.0</v>
      </c>
      <c r="N1910" s="1">
        <v>1997.0</v>
      </c>
      <c r="P1910" s="2">
        <v>45183.0</v>
      </c>
      <c r="Q1910" s="1" t="s">
        <v>1739</v>
      </c>
      <c r="R1910" s="1" t="s">
        <v>8414</v>
      </c>
      <c r="S1910" s="1" t="s">
        <v>32</v>
      </c>
      <c r="W1910" s="1">
        <v>0.0</v>
      </c>
      <c r="X1910" s="1">
        <v>0.0</v>
      </c>
    </row>
    <row r="1911" spans="1:24" ht="15.75" customHeight="1">
      <c r="A1911" s="1">
        <v>777260.0</v>
      </c>
      <c r="B1911" s="1" t="s">
        <v>8415</v>
      </c>
      <c r="C1911" s="1" t="s">
        <v>8416</v>
      </c>
      <c r="D1911" s="1" t="s">
        <v>8417</v>
      </c>
      <c r="F1911" s="1" t="str">
        <f>"0879516240"</f>
        <v>0879516240</v>
      </c>
      <c r="G1911" s="1" t="str">
        <f>"9780879516246"</f>
        <v>9780879516246</v>
      </c>
      <c r="H1911" s="1">
        <v>0.0</v>
      </c>
      <c r="I1911" s="1">
        <v>4.55</v>
      </c>
      <c r="J1911" s="1" t="s">
        <v>8418</v>
      </c>
      <c r="K1911" s="1" t="s">
        <v>44</v>
      </c>
      <c r="L1911" s="1">
        <v>496.0</v>
      </c>
      <c r="M1911" s="1">
        <v>1995.0</v>
      </c>
      <c r="N1911" s="1">
        <v>1986.0</v>
      </c>
      <c r="P1911" s="2">
        <v>43961.0</v>
      </c>
      <c r="Q1911" s="1" t="s">
        <v>32</v>
      </c>
      <c r="R1911" s="1" t="s">
        <v>8419</v>
      </c>
      <c r="S1911" s="1" t="s">
        <v>32</v>
      </c>
      <c r="W1911" s="1">
        <v>0.0</v>
      </c>
      <c r="X1911" s="1">
        <v>0.0</v>
      </c>
    </row>
    <row r="1912" spans="1:24" ht="15.75" customHeight="1">
      <c r="A1912" s="1">
        <v>358725.0</v>
      </c>
      <c r="B1912" s="1" t="s">
        <v>8420</v>
      </c>
      <c r="C1912" s="1" t="s">
        <v>8421</v>
      </c>
      <c r="D1912" s="1" t="s">
        <v>8422</v>
      </c>
      <c r="F1912" s="1" t="str">
        <f>"1400066050"</f>
        <v>1400066050</v>
      </c>
      <c r="G1912" s="1" t="str">
        <f>"9781400066056"</f>
        <v>9781400066056</v>
      </c>
      <c r="H1912" s="1">
        <v>4.0</v>
      </c>
      <c r="I1912" s="1">
        <v>3.28</v>
      </c>
      <c r="J1912" s="1" t="s">
        <v>1189</v>
      </c>
      <c r="K1912" s="1" t="s">
        <v>37</v>
      </c>
      <c r="L1912" s="1">
        <v>240.0</v>
      </c>
      <c r="M1912" s="1">
        <v>2007.0</v>
      </c>
      <c r="N1912" s="1">
        <v>2007.0</v>
      </c>
      <c r="O1912" s="2">
        <v>41021.0</v>
      </c>
      <c r="P1912" s="2">
        <v>41018.0</v>
      </c>
      <c r="S1912" s="1" t="s">
        <v>271</v>
      </c>
      <c r="W1912" s="1">
        <v>1.0</v>
      </c>
      <c r="X1912" s="1">
        <v>0.0</v>
      </c>
    </row>
    <row r="1913" spans="1:24" ht="15.75" customHeight="1">
      <c r="A1913" s="1">
        <v>2.0912405E7</v>
      </c>
      <c r="B1913" s="1" t="s">
        <v>8423</v>
      </c>
      <c r="C1913" s="1" t="s">
        <v>8424</v>
      </c>
      <c r="D1913" s="1" t="s">
        <v>8425</v>
      </c>
      <c r="F1913" s="1" t="str">
        <f>"0801453372"</f>
        <v>0801453372</v>
      </c>
      <c r="G1913" s="1" t="str">
        <f>"9780801453373"</f>
        <v>9780801453373</v>
      </c>
      <c r="H1913" s="1">
        <v>0.0</v>
      </c>
      <c r="I1913" s="1">
        <v>3.46</v>
      </c>
      <c r="J1913" s="1" t="s">
        <v>1907</v>
      </c>
      <c r="K1913" s="1" t="s">
        <v>37</v>
      </c>
      <c r="L1913" s="1">
        <v>304.0</v>
      </c>
      <c r="M1913" s="1">
        <v>2014.0</v>
      </c>
      <c r="N1913" s="1">
        <v>2014.0</v>
      </c>
      <c r="P1913" s="3">
        <v>45214.0</v>
      </c>
      <c r="Q1913" s="1" t="s">
        <v>32</v>
      </c>
      <c r="R1913" s="1" t="s">
        <v>8426</v>
      </c>
      <c r="S1913" s="1" t="s">
        <v>32</v>
      </c>
      <c r="W1913" s="1">
        <v>0.0</v>
      </c>
      <c r="X1913" s="1">
        <v>0.0</v>
      </c>
    </row>
    <row r="1914" spans="1:24" ht="15.75" customHeight="1">
      <c r="A1914" s="1">
        <v>510537.0</v>
      </c>
      <c r="B1914" s="1" t="s">
        <v>8427</v>
      </c>
      <c r="C1914" s="1" t="s">
        <v>8428</v>
      </c>
      <c r="D1914" s="1" t="s">
        <v>8429</v>
      </c>
      <c r="F1914" s="1" t="str">
        <f>"0201441926"</f>
        <v>0201441926</v>
      </c>
      <c r="G1914" s="1" t="str">
        <f>"9780201441925"</f>
        <v>9780201441925</v>
      </c>
      <c r="H1914" s="1">
        <v>0.0</v>
      </c>
      <c r="I1914" s="1">
        <v>4.28</v>
      </c>
      <c r="J1914" s="1" t="s">
        <v>564</v>
      </c>
      <c r="K1914" s="1" t="s">
        <v>44</v>
      </c>
      <c r="L1914" s="1">
        <v>449.0</v>
      </c>
      <c r="M1914" s="1">
        <v>1996.0</v>
      </c>
      <c r="N1914" s="1">
        <v>1995.0</v>
      </c>
      <c r="P1914" s="2">
        <v>45180.0</v>
      </c>
      <c r="Q1914" s="1" t="s">
        <v>1682</v>
      </c>
      <c r="R1914" s="1" t="s">
        <v>8430</v>
      </c>
      <c r="S1914" s="1" t="s">
        <v>32</v>
      </c>
      <c r="W1914" s="1">
        <v>0.0</v>
      </c>
      <c r="X1914" s="1">
        <v>0.0</v>
      </c>
    </row>
    <row r="1915" spans="1:24" ht="15.75" customHeight="1">
      <c r="A1915" s="1">
        <v>2.2104547E7</v>
      </c>
      <c r="B1915" s="1" t="s">
        <v>8431</v>
      </c>
      <c r="C1915" s="1" t="s">
        <v>8432</v>
      </c>
      <c r="D1915" s="1" t="s">
        <v>8433</v>
      </c>
      <c r="F1915" s="1" t="str">
        <f>"0262027550"</f>
        <v>0262027550</v>
      </c>
      <c r="G1915" s="1" t="str">
        <f>"9780262027557"</f>
        <v>9780262027557</v>
      </c>
      <c r="H1915" s="1">
        <v>0.0</v>
      </c>
      <c r="I1915" s="1">
        <v>3.94</v>
      </c>
      <c r="J1915" s="1" t="s">
        <v>75</v>
      </c>
      <c r="K1915" s="1" t="s">
        <v>37</v>
      </c>
      <c r="L1915" s="1">
        <v>304.0</v>
      </c>
      <c r="M1915" s="1">
        <v>2014.0</v>
      </c>
      <c r="N1915" s="1">
        <v>2014.0</v>
      </c>
      <c r="P1915" s="2">
        <v>42966.0</v>
      </c>
      <c r="Q1915" s="1" t="s">
        <v>32</v>
      </c>
      <c r="R1915" s="1" t="s">
        <v>8434</v>
      </c>
      <c r="S1915" s="1" t="s">
        <v>32</v>
      </c>
      <c r="W1915" s="1">
        <v>0.0</v>
      </c>
      <c r="X1915" s="1">
        <v>0.0</v>
      </c>
    </row>
    <row r="1916" spans="1:24" ht="15.75" customHeight="1">
      <c r="A1916" s="1">
        <v>22584.0</v>
      </c>
      <c r="B1916" s="1" t="s">
        <v>8435</v>
      </c>
      <c r="C1916" s="1" t="s">
        <v>8436</v>
      </c>
      <c r="D1916" s="1" t="s">
        <v>8437</v>
      </c>
      <c r="E1916" s="1" t="s">
        <v>8438</v>
      </c>
      <c r="F1916" s="1" t="str">
        <f>"1857983416"</f>
        <v>1857983416</v>
      </c>
      <c r="G1916" s="1" t="str">
        <f>"9781857983418"</f>
        <v>9781857983418</v>
      </c>
      <c r="H1916" s="1">
        <v>0.0</v>
      </c>
      <c r="I1916" s="1">
        <v>3.91</v>
      </c>
      <c r="J1916" s="1" t="s">
        <v>1099</v>
      </c>
      <c r="K1916" s="1" t="s">
        <v>44</v>
      </c>
      <c r="L1916" s="1">
        <v>204.0</v>
      </c>
      <c r="M1916" s="1">
        <v>2001.0</v>
      </c>
      <c r="N1916" s="1">
        <v>1974.0</v>
      </c>
      <c r="P1916" s="2">
        <v>45129.0</v>
      </c>
      <c r="Q1916" s="1" t="s">
        <v>502</v>
      </c>
      <c r="R1916" s="1" t="s">
        <v>8439</v>
      </c>
      <c r="S1916" s="1" t="s">
        <v>32</v>
      </c>
      <c r="W1916" s="1">
        <v>0.0</v>
      </c>
      <c r="X1916" s="1">
        <v>0.0</v>
      </c>
    </row>
    <row r="1917" spans="1:24" ht="15.75" customHeight="1">
      <c r="A1917" s="1">
        <v>7026738.0</v>
      </c>
      <c r="B1917" s="1" t="s">
        <v>8435</v>
      </c>
      <c r="C1917" s="1" t="s">
        <v>8436</v>
      </c>
      <c r="D1917" s="1" t="s">
        <v>8437</v>
      </c>
      <c r="F1917" s="1" t="str">
        <f>"0879976241"</f>
        <v>0879976241</v>
      </c>
      <c r="G1917" s="1" t="str">
        <f>"9780879976248"</f>
        <v>9780879976248</v>
      </c>
      <c r="H1917" s="1">
        <v>0.0</v>
      </c>
      <c r="I1917" s="1">
        <v>3.91</v>
      </c>
      <c r="J1917" s="1" t="s">
        <v>8440</v>
      </c>
      <c r="K1917" s="1" t="s">
        <v>1225</v>
      </c>
      <c r="L1917" s="1">
        <v>208.0</v>
      </c>
      <c r="M1917" s="1">
        <v>1981.0</v>
      </c>
      <c r="N1917" s="1">
        <v>1974.0</v>
      </c>
      <c r="P1917" s="3">
        <v>41635.0</v>
      </c>
      <c r="Q1917" s="1" t="s">
        <v>32</v>
      </c>
      <c r="R1917" s="1" t="s">
        <v>8441</v>
      </c>
      <c r="S1917" s="1" t="s">
        <v>32</v>
      </c>
      <c r="W1917" s="1">
        <v>0.0</v>
      </c>
      <c r="X1917" s="1">
        <v>0.0</v>
      </c>
    </row>
    <row r="1918" spans="1:24" ht="15.75" customHeight="1">
      <c r="A1918" s="1">
        <v>8583388.0</v>
      </c>
      <c r="B1918" s="1" t="s">
        <v>8442</v>
      </c>
      <c r="C1918" s="1" t="s">
        <v>8443</v>
      </c>
      <c r="D1918" s="1" t="s">
        <v>8444</v>
      </c>
      <c r="F1918" s="1" t="str">
        <f>"0500251738"</f>
        <v>0500251738</v>
      </c>
      <c r="G1918" s="1" t="str">
        <f>"9780500251737"</f>
        <v>9780500251737</v>
      </c>
      <c r="H1918" s="1">
        <v>0.0</v>
      </c>
      <c r="I1918" s="1">
        <v>4.01</v>
      </c>
      <c r="J1918" s="1" t="s">
        <v>192</v>
      </c>
      <c r="K1918" s="1" t="s">
        <v>37</v>
      </c>
      <c r="L1918" s="1">
        <v>220.0</v>
      </c>
      <c r="M1918" s="1">
        <v>2010.0</v>
      </c>
      <c r="N1918" s="1">
        <v>2010.0</v>
      </c>
      <c r="P1918" s="2">
        <v>45114.0</v>
      </c>
      <c r="Q1918" s="1" t="s">
        <v>2810</v>
      </c>
      <c r="R1918" s="1" t="s">
        <v>8445</v>
      </c>
      <c r="S1918" s="1" t="s">
        <v>32</v>
      </c>
      <c r="W1918" s="1">
        <v>0.0</v>
      </c>
      <c r="X1918" s="1">
        <v>0.0</v>
      </c>
    </row>
    <row r="1919" spans="1:24" ht="15.75" customHeight="1">
      <c r="A1919" s="1">
        <v>701359.0</v>
      </c>
      <c r="B1919" s="1" t="s">
        <v>8446</v>
      </c>
      <c r="C1919" s="1" t="s">
        <v>8447</v>
      </c>
      <c r="D1919" s="1" t="s">
        <v>8448</v>
      </c>
      <c r="F1919" s="1" t="str">
        <f>"0198296428"</f>
        <v>0198296428</v>
      </c>
      <c r="G1919" s="1" t="str">
        <f>"9780198296423"</f>
        <v>9780198296423</v>
      </c>
      <c r="H1919" s="1">
        <v>0.0</v>
      </c>
      <c r="I1919" s="1">
        <v>3.93</v>
      </c>
      <c r="J1919" s="1" t="s">
        <v>181</v>
      </c>
      <c r="K1919" s="1" t="s">
        <v>44</v>
      </c>
      <c r="L1919" s="1">
        <v>328.0</v>
      </c>
      <c r="M1919" s="1">
        <v>1999.0</v>
      </c>
      <c r="N1919" s="1">
        <v>1997.0</v>
      </c>
      <c r="P1919" s="3">
        <v>43035.0</v>
      </c>
      <c r="Q1919" s="1" t="s">
        <v>32</v>
      </c>
      <c r="R1919" s="1" t="s">
        <v>8449</v>
      </c>
      <c r="S1919" s="1" t="s">
        <v>32</v>
      </c>
      <c r="W1919" s="1">
        <v>0.0</v>
      </c>
      <c r="X1919" s="1">
        <v>0.0</v>
      </c>
    </row>
    <row r="1920" spans="1:24" ht="15.75" customHeight="1">
      <c r="A1920" s="1">
        <v>43945.0</v>
      </c>
      <c r="B1920" s="1" t="s">
        <v>8450</v>
      </c>
      <c r="C1920" s="1" t="s">
        <v>8451</v>
      </c>
      <c r="D1920" s="1" t="s">
        <v>8452</v>
      </c>
      <c r="F1920" s="1" t="str">
        <f t="shared" si="141" ref="F1920:G1920">""</f>
        <v/>
      </c>
      <c r="G1920" s="1" t="str">
        <f t="shared" si="141"/>
        <v/>
      </c>
      <c r="H1920" s="1">
        <v>0.0</v>
      </c>
      <c r="I1920" s="1">
        <v>3.71</v>
      </c>
      <c r="J1920" s="1" t="s">
        <v>69</v>
      </c>
      <c r="K1920" s="1" t="s">
        <v>44</v>
      </c>
      <c r="L1920" s="1">
        <v>274.0</v>
      </c>
      <c r="M1920" s="1">
        <v>1995.0</v>
      </c>
      <c r="N1920" s="1">
        <v>1969.0</v>
      </c>
      <c r="P1920" s="2">
        <v>41667.0</v>
      </c>
      <c r="Q1920" s="1" t="s">
        <v>32</v>
      </c>
      <c r="R1920" s="1" t="s">
        <v>8453</v>
      </c>
      <c r="S1920" s="1" t="s">
        <v>32</v>
      </c>
      <c r="W1920" s="1">
        <v>0.0</v>
      </c>
      <c r="X1920" s="1">
        <v>0.0</v>
      </c>
    </row>
    <row r="1921" spans="1:24" ht="15.75" customHeight="1">
      <c r="A1921" s="1">
        <v>276214.0</v>
      </c>
      <c r="B1921" s="1" t="s">
        <v>8454</v>
      </c>
      <c r="C1921" s="1" t="s">
        <v>8455</v>
      </c>
      <c r="D1921" s="1" t="s">
        <v>8456</v>
      </c>
      <c r="E1921" s="1" t="s">
        <v>8457</v>
      </c>
      <c r="F1921" s="1" t="str">
        <f>"0674399749"</f>
        <v>0674399749</v>
      </c>
      <c r="G1921" s="1" t="str">
        <f>"9780674399747"</f>
        <v>9780674399747</v>
      </c>
      <c r="H1921" s="1">
        <v>0.0</v>
      </c>
      <c r="I1921" s="1">
        <v>4.0</v>
      </c>
      <c r="J1921" s="1" t="s">
        <v>8458</v>
      </c>
      <c r="K1921" s="1" t="s">
        <v>44</v>
      </c>
      <c r="L1921" s="1">
        <v>670.0</v>
      </c>
      <c r="M1921" s="1">
        <v>1992.0</v>
      </c>
      <c r="N1921" s="1">
        <v>1985.0</v>
      </c>
      <c r="P1921" s="2">
        <v>44166.0</v>
      </c>
      <c r="Q1921" s="1" t="s">
        <v>138</v>
      </c>
      <c r="R1921" s="1" t="s">
        <v>8459</v>
      </c>
      <c r="S1921" s="1" t="s">
        <v>32</v>
      </c>
      <c r="W1921" s="1">
        <v>0.0</v>
      </c>
      <c r="X1921" s="1">
        <v>0.0</v>
      </c>
    </row>
    <row r="1922" spans="1:24" ht="15.75" customHeight="1">
      <c r="A1922" s="1">
        <v>27432.0</v>
      </c>
      <c r="B1922" s="1" t="s">
        <v>8460</v>
      </c>
      <c r="C1922" s="1" t="s">
        <v>8461</v>
      </c>
      <c r="D1922" s="1" t="s">
        <v>8462</v>
      </c>
      <c r="F1922" s="1" t="str">
        <f>"038542339X"</f>
        <v>038542339X</v>
      </c>
      <c r="G1922" s="1" t="str">
        <f>"9780385423397"</f>
        <v>9780385423397</v>
      </c>
      <c r="H1922" s="1">
        <v>0.0</v>
      </c>
      <c r="I1922" s="1">
        <v>4.2</v>
      </c>
      <c r="J1922" s="1" t="s">
        <v>287</v>
      </c>
      <c r="K1922" s="1" t="s">
        <v>44</v>
      </c>
      <c r="L1922" s="1">
        <v>777.0</v>
      </c>
      <c r="M1922" s="1">
        <v>1995.0</v>
      </c>
      <c r="N1922" s="1">
        <v>1994.0</v>
      </c>
      <c r="P1922" s="2">
        <v>45154.0</v>
      </c>
      <c r="Q1922" s="1" t="s">
        <v>553</v>
      </c>
      <c r="R1922" s="1" t="s">
        <v>8463</v>
      </c>
      <c r="S1922" s="1" t="s">
        <v>32</v>
      </c>
      <c r="W1922" s="1">
        <v>0.0</v>
      </c>
      <c r="X1922" s="1">
        <v>0.0</v>
      </c>
    </row>
    <row r="1923" spans="1:24" ht="15.75" customHeight="1">
      <c r="A1923" s="1">
        <v>5.6212581E7</v>
      </c>
      <c r="B1923" s="1" t="s">
        <v>8464</v>
      </c>
      <c r="C1923" s="1" t="s">
        <v>8461</v>
      </c>
      <c r="D1923" s="1" t="s">
        <v>8462</v>
      </c>
      <c r="F1923" s="1" t="str">
        <f>"0525567321"</f>
        <v>0525567321</v>
      </c>
      <c r="G1923" s="1" t="str">
        <f>"9780525567325"</f>
        <v>9780525567325</v>
      </c>
      <c r="H1923" s="1">
        <v>0.0</v>
      </c>
      <c r="I1923" s="1">
        <v>4.47</v>
      </c>
      <c r="J1923" s="1" t="s">
        <v>287</v>
      </c>
      <c r="K1923" s="1" t="s">
        <v>44</v>
      </c>
      <c r="L1923" s="1">
        <v>640.0</v>
      </c>
      <c r="M1923" s="1">
        <v>2021.0</v>
      </c>
      <c r="N1923" s="1">
        <v>2021.0</v>
      </c>
      <c r="P1923" s="2">
        <v>45113.0</v>
      </c>
      <c r="Q1923" s="1" t="s">
        <v>2446</v>
      </c>
      <c r="R1923" s="1" t="s">
        <v>8465</v>
      </c>
      <c r="S1923" s="1" t="s">
        <v>32</v>
      </c>
      <c r="W1923" s="1">
        <v>1.0</v>
      </c>
      <c r="X1923" s="1">
        <v>1.0</v>
      </c>
    </row>
    <row r="1924" spans="1:24" ht="15.75" customHeight="1">
      <c r="A1924" s="1">
        <v>6.2669176E7</v>
      </c>
      <c r="B1924" s="1" t="s">
        <v>8466</v>
      </c>
      <c r="C1924" s="1" t="s">
        <v>8467</v>
      </c>
      <c r="D1924" s="1" t="s">
        <v>8468</v>
      </c>
      <c r="F1924" s="1" t="str">
        <f>"1914344006"</f>
        <v>1914344006</v>
      </c>
      <c r="G1924" s="1" t="str">
        <f>""</f>
        <v/>
      </c>
      <c r="H1924" s="1">
        <v>0.0</v>
      </c>
      <c r="I1924" s="1">
        <v>3.84</v>
      </c>
      <c r="J1924" s="1" t="s">
        <v>8469</v>
      </c>
      <c r="K1924" s="1" t="s">
        <v>29</v>
      </c>
      <c r="L1924" s="1">
        <v>0.0</v>
      </c>
      <c r="M1924" s="1">
        <v>2022.0</v>
      </c>
      <c r="N1924" s="1">
        <v>2016.0</v>
      </c>
      <c r="P1924" s="2">
        <v>45113.0</v>
      </c>
      <c r="Q1924" s="1" t="s">
        <v>788</v>
      </c>
      <c r="R1924" s="1" t="s">
        <v>8470</v>
      </c>
      <c r="S1924" s="1" t="s">
        <v>32</v>
      </c>
      <c r="W1924" s="1">
        <v>0.0</v>
      </c>
      <c r="X1924" s="1">
        <v>1.0</v>
      </c>
    </row>
    <row r="1925" spans="1:24" ht="15.75" customHeight="1">
      <c r="A1925" s="1">
        <v>108658.0</v>
      </c>
      <c r="B1925" s="1" t="s">
        <v>8471</v>
      </c>
      <c r="C1925" s="1" t="s">
        <v>8472</v>
      </c>
      <c r="D1925" s="1" t="s">
        <v>8473</v>
      </c>
      <c r="E1925" s="1" t="s">
        <v>8474</v>
      </c>
      <c r="F1925" s="1" t="str">
        <f>"0872861872"</f>
        <v>0872861872</v>
      </c>
      <c r="G1925" s="1" t="str">
        <f>"9780872861879"</f>
        <v>9780872861879</v>
      </c>
      <c r="H1925" s="1">
        <v>0.0</v>
      </c>
      <c r="I1925" s="1">
        <v>4.24</v>
      </c>
      <c r="J1925" s="1" t="s">
        <v>568</v>
      </c>
      <c r="K1925" s="1" t="s">
        <v>44</v>
      </c>
      <c r="L1925" s="1">
        <v>96.0</v>
      </c>
      <c r="M1925" s="1">
        <v>2001.0</v>
      </c>
      <c r="N1925" s="1">
        <v>1986.0</v>
      </c>
      <c r="P1925" s="2">
        <v>43287.0</v>
      </c>
      <c r="Q1925" s="1" t="s">
        <v>421</v>
      </c>
      <c r="R1925" s="1" t="s">
        <v>8475</v>
      </c>
      <c r="S1925" s="1" t="s">
        <v>32</v>
      </c>
      <c r="W1925" s="1">
        <v>0.0</v>
      </c>
      <c r="X1925" s="1">
        <v>0.0</v>
      </c>
    </row>
    <row r="1926" spans="1:24" ht="15.75" customHeight="1">
      <c r="A1926" s="1">
        <v>151390.0</v>
      </c>
      <c r="B1926" s="1" t="s">
        <v>8476</v>
      </c>
      <c r="C1926" s="1" t="s">
        <v>8477</v>
      </c>
      <c r="D1926" s="1" t="s">
        <v>8478</v>
      </c>
      <c r="E1926" s="1" t="s">
        <v>8479</v>
      </c>
      <c r="F1926" s="1" t="str">
        <f>"0140448993"</f>
        <v>0140448993</v>
      </c>
      <c r="G1926" s="1" t="str">
        <f>"9780140448993"</f>
        <v>9780140448993</v>
      </c>
      <c r="H1926" s="1">
        <v>0.0</v>
      </c>
      <c r="I1926" s="1">
        <v>3.69</v>
      </c>
      <c r="J1926" s="1" t="s">
        <v>309</v>
      </c>
      <c r="K1926" s="1" t="s">
        <v>44</v>
      </c>
      <c r="L1926" s="1">
        <v>383.0</v>
      </c>
      <c r="M1926" s="1">
        <v>2003.0</v>
      </c>
      <c r="N1926" s="1">
        <v>1133.0</v>
      </c>
      <c r="P1926" s="2">
        <v>44808.0</v>
      </c>
      <c r="Q1926" s="1" t="s">
        <v>1739</v>
      </c>
      <c r="R1926" s="1" t="s">
        <v>8480</v>
      </c>
      <c r="S1926" s="1" t="s">
        <v>32</v>
      </c>
      <c r="W1926" s="1">
        <v>0.0</v>
      </c>
      <c r="X1926" s="1">
        <v>0.0</v>
      </c>
    </row>
    <row r="1927" spans="1:24" ht="15.75" customHeight="1">
      <c r="A1927" s="1">
        <v>232567.0</v>
      </c>
      <c r="B1927" s="1" t="s">
        <v>8481</v>
      </c>
      <c r="C1927" s="1" t="s">
        <v>8482</v>
      </c>
      <c r="D1927" s="1" t="s">
        <v>8483</v>
      </c>
      <c r="F1927" s="1" t="str">
        <f>"006090495X"</f>
        <v>006090495X</v>
      </c>
      <c r="G1927" s="1" t="str">
        <f>"9780060904951"</f>
        <v>9780060904951</v>
      </c>
      <c r="H1927" s="1">
        <v>0.0</v>
      </c>
      <c r="I1927" s="1">
        <v>4.07</v>
      </c>
      <c r="J1927" s="1" t="s">
        <v>917</v>
      </c>
      <c r="K1927" s="1" t="s">
        <v>44</v>
      </c>
      <c r="L1927" s="1">
        <v>320.0</v>
      </c>
      <c r="M1927" s="1">
        <v>1976.0</v>
      </c>
      <c r="N1927" s="1">
        <v>1955.0</v>
      </c>
      <c r="P1927" s="2">
        <v>45137.0</v>
      </c>
      <c r="Q1927" s="1" t="s">
        <v>32</v>
      </c>
      <c r="R1927" s="1" t="s">
        <v>8484</v>
      </c>
      <c r="S1927" s="1" t="s">
        <v>32</v>
      </c>
      <c r="W1927" s="1">
        <v>0.0</v>
      </c>
      <c r="X1927" s="1">
        <v>0.0</v>
      </c>
    </row>
    <row r="1928" spans="1:24" ht="15.75" customHeight="1">
      <c r="A1928" s="1">
        <v>3.5239671E7</v>
      </c>
      <c r="B1928" s="1" t="s">
        <v>8485</v>
      </c>
      <c r="C1928" s="1" t="s">
        <v>8486</v>
      </c>
      <c r="D1928" s="1" t="s">
        <v>8487</v>
      </c>
      <c r="F1928" s="1" t="str">
        <f>"1776561163"</f>
        <v>1776561163</v>
      </c>
      <c r="G1928" s="1" t="str">
        <f>"9781776561162"</f>
        <v>9781776561162</v>
      </c>
      <c r="H1928" s="1">
        <v>0.0</v>
      </c>
      <c r="I1928" s="1">
        <v>3.3</v>
      </c>
      <c r="J1928" s="1" t="s">
        <v>8488</v>
      </c>
      <c r="K1928" s="1" t="s">
        <v>44</v>
      </c>
      <c r="L1928" s="1">
        <v>224.0</v>
      </c>
      <c r="M1928" s="1">
        <v>2017.0</v>
      </c>
      <c r="N1928" s="1">
        <v>2017.0</v>
      </c>
      <c r="P1928" s="3">
        <v>45274.0</v>
      </c>
      <c r="Q1928" s="1" t="s">
        <v>145</v>
      </c>
      <c r="R1928" s="1" t="s">
        <v>8489</v>
      </c>
      <c r="S1928" s="1" t="s">
        <v>32</v>
      </c>
      <c r="W1928" s="1">
        <v>0.0</v>
      </c>
      <c r="X1928" s="1">
        <v>0.0</v>
      </c>
    </row>
    <row r="1929" spans="1:24" ht="15.75" customHeight="1">
      <c r="A1929" s="1">
        <v>4.3088155E7</v>
      </c>
      <c r="B1929" s="1" t="s">
        <v>8490</v>
      </c>
      <c r="C1929" s="1" t="s">
        <v>8491</v>
      </c>
      <c r="D1929" s="1" t="s">
        <v>8492</v>
      </c>
      <c r="E1929" s="1" t="s">
        <v>8493</v>
      </c>
      <c r="F1929" s="1" t="str">
        <f>"0195003640"</f>
        <v>0195003640</v>
      </c>
      <c r="G1929" s="1" t="str">
        <f>"9780195003642"</f>
        <v>9780195003642</v>
      </c>
      <c r="H1929" s="1">
        <v>0.0</v>
      </c>
      <c r="I1929" s="1">
        <v>3.96</v>
      </c>
      <c r="J1929" s="1" t="s">
        <v>181</v>
      </c>
      <c r="K1929" s="1" t="s">
        <v>44</v>
      </c>
      <c r="M1929" s="1">
        <v>1971.0</v>
      </c>
      <c r="N1929" s="1">
        <v>-375.0</v>
      </c>
      <c r="P1929" s="3">
        <v>44479.0</v>
      </c>
      <c r="Q1929" s="1" t="s">
        <v>4539</v>
      </c>
      <c r="R1929" s="1" t="s">
        <v>8494</v>
      </c>
      <c r="S1929" s="1" t="s">
        <v>32</v>
      </c>
      <c r="W1929" s="1">
        <v>0.0</v>
      </c>
      <c r="X1929" s="1">
        <v>1.0</v>
      </c>
    </row>
    <row r="1930" spans="1:24" ht="15.75" customHeight="1">
      <c r="A1930" s="1">
        <v>6.1889842E7</v>
      </c>
      <c r="B1930" s="1" t="s">
        <v>8495</v>
      </c>
      <c r="C1930" s="1" t="s">
        <v>6287</v>
      </c>
      <c r="D1930" s="1" t="s">
        <v>8496</v>
      </c>
      <c r="F1930" s="1" t="str">
        <f>"1804270407"</f>
        <v>1804270407</v>
      </c>
      <c r="G1930" s="1" t="str">
        <f>"9781804270400"</f>
        <v>9781804270400</v>
      </c>
      <c r="H1930" s="1">
        <v>0.0</v>
      </c>
      <c r="I1930" s="1">
        <v>3.38</v>
      </c>
      <c r="J1930" s="1" t="s">
        <v>144</v>
      </c>
      <c r="K1930" s="1" t="s">
        <v>44</v>
      </c>
      <c r="L1930" s="1">
        <v>368.0</v>
      </c>
      <c r="M1930" s="1">
        <v>2024.0</v>
      </c>
      <c r="N1930" s="1">
        <v>2023.0</v>
      </c>
      <c r="P1930" s="2">
        <v>45046.0</v>
      </c>
      <c r="Q1930" s="1" t="s">
        <v>55</v>
      </c>
      <c r="R1930" s="1" t="s">
        <v>8497</v>
      </c>
      <c r="S1930" s="1" t="s">
        <v>32</v>
      </c>
      <c r="W1930" s="1">
        <v>0.0</v>
      </c>
      <c r="X1930" s="1">
        <v>0.0</v>
      </c>
    </row>
    <row r="1931" spans="1:24" ht="15.75" customHeight="1">
      <c r="A1931" s="1">
        <v>5.5856548E7</v>
      </c>
      <c r="B1931" s="1" t="s">
        <v>8498</v>
      </c>
      <c r="C1931" s="1" t="s">
        <v>6287</v>
      </c>
      <c r="D1931" s="1" t="s">
        <v>8496</v>
      </c>
      <c r="F1931" s="1" t="str">
        <f>"1913097501"</f>
        <v>1913097501</v>
      </c>
      <c r="G1931" s="1" t="str">
        <f>"9781913097509"</f>
        <v>9781913097509</v>
      </c>
      <c r="H1931" s="1">
        <v>0.0</v>
      </c>
      <c r="I1931" s="1">
        <v>4.17</v>
      </c>
      <c r="J1931" s="1" t="s">
        <v>144</v>
      </c>
      <c r="K1931" s="1" t="s">
        <v>44</v>
      </c>
      <c r="L1931" s="1">
        <v>345.0</v>
      </c>
      <c r="M1931" s="1">
        <v>2021.0</v>
      </c>
      <c r="N1931" s="1">
        <v>2021.0</v>
      </c>
      <c r="P1931" s="2">
        <v>45046.0</v>
      </c>
      <c r="Q1931" s="1" t="s">
        <v>32</v>
      </c>
      <c r="R1931" s="1" t="s">
        <v>8499</v>
      </c>
      <c r="S1931" s="1" t="s">
        <v>32</v>
      </c>
      <c r="W1931" s="1">
        <v>0.0</v>
      </c>
      <c r="X1931" s="1">
        <v>0.0</v>
      </c>
    </row>
    <row r="1932" spans="1:24" ht="15.75" customHeight="1">
      <c r="A1932" s="1">
        <v>1.9053197E7</v>
      </c>
      <c r="B1932" s="1" t="s">
        <v>8500</v>
      </c>
      <c r="C1932" s="1" t="s">
        <v>8501</v>
      </c>
      <c r="D1932" s="1" t="s">
        <v>8502</v>
      </c>
      <c r="E1932" s="1" t="s">
        <v>8503</v>
      </c>
      <c r="F1932" s="1" t="str">
        <f t="shared" si="142" ref="F1932:G1932">""</f>
        <v/>
      </c>
      <c r="G1932" s="1" t="str">
        <f t="shared" si="142"/>
        <v/>
      </c>
      <c r="H1932" s="1">
        <v>0.0</v>
      </c>
      <c r="I1932" s="1">
        <v>4.19</v>
      </c>
      <c r="J1932" s="1" t="s">
        <v>405</v>
      </c>
      <c r="K1932" s="1" t="s">
        <v>29</v>
      </c>
      <c r="L1932" s="1">
        <v>192.0</v>
      </c>
      <c r="M1932" s="1">
        <v>2008.0</v>
      </c>
      <c r="N1932" s="1">
        <v>2008.0</v>
      </c>
      <c r="P1932" s="2">
        <v>45140.0</v>
      </c>
      <c r="Q1932" s="1" t="s">
        <v>32</v>
      </c>
      <c r="R1932" s="1" t="s">
        <v>8504</v>
      </c>
      <c r="S1932" s="1" t="s">
        <v>32</v>
      </c>
      <c r="W1932" s="1">
        <v>0.0</v>
      </c>
      <c r="X1932" s="1">
        <v>0.0</v>
      </c>
    </row>
    <row r="1933" spans="1:24" ht="15.75" customHeight="1">
      <c r="A1933" s="1">
        <v>786014.0</v>
      </c>
      <c r="B1933" s="1" t="s">
        <v>8505</v>
      </c>
      <c r="C1933" s="1" t="s">
        <v>8506</v>
      </c>
      <c r="D1933" s="1" t="s">
        <v>8507</v>
      </c>
      <c r="E1933" s="1" t="s">
        <v>8508</v>
      </c>
      <c r="F1933" s="1" t="str">
        <f>"0874622212"</f>
        <v>0874622212</v>
      </c>
      <c r="G1933" s="1" t="str">
        <f>"9780874622218"</f>
        <v>9780874622218</v>
      </c>
      <c r="H1933" s="1">
        <v>0.0</v>
      </c>
      <c r="I1933" s="1">
        <v>3.97</v>
      </c>
      <c r="J1933" s="1" t="s">
        <v>8509</v>
      </c>
      <c r="K1933" s="1" t="s">
        <v>44</v>
      </c>
      <c r="L1933" s="1">
        <v>266.0</v>
      </c>
      <c r="M1933" s="1">
        <v>1980.0</v>
      </c>
      <c r="N1933" s="1">
        <v>528.0</v>
      </c>
      <c r="P1933" s="2">
        <v>44960.0</v>
      </c>
      <c r="Q1933" s="1" t="s">
        <v>32</v>
      </c>
      <c r="R1933" s="1" t="s">
        <v>8510</v>
      </c>
      <c r="S1933" s="1" t="s">
        <v>32</v>
      </c>
      <c r="W1933" s="1">
        <v>0.0</v>
      </c>
      <c r="X1933" s="1">
        <v>0.0</v>
      </c>
    </row>
    <row r="1934" spans="1:24" ht="15.75" customHeight="1">
      <c r="A1934" s="1">
        <v>6891386.0</v>
      </c>
      <c r="B1934" s="1" t="s">
        <v>8511</v>
      </c>
      <c r="C1934" s="1" t="s">
        <v>8506</v>
      </c>
      <c r="D1934" s="1" t="s">
        <v>8507</v>
      </c>
      <c r="F1934" s="1" t="str">
        <f>"141915625X"</f>
        <v>141915625X</v>
      </c>
      <c r="G1934" s="1" t="str">
        <f>"9781419156250"</f>
        <v>9781419156250</v>
      </c>
      <c r="H1934" s="1">
        <v>0.0</v>
      </c>
      <c r="I1934" s="1">
        <v>3.74</v>
      </c>
      <c r="J1934" s="1" t="s">
        <v>5480</v>
      </c>
      <c r="K1934" s="1" t="s">
        <v>44</v>
      </c>
      <c r="L1934" s="1">
        <v>48.0</v>
      </c>
      <c r="M1934" s="1">
        <v>2004.0</v>
      </c>
      <c r="N1934" s="1">
        <v>1958.0</v>
      </c>
      <c r="P1934" s="2">
        <v>44960.0</v>
      </c>
      <c r="Q1934" s="1" t="s">
        <v>32</v>
      </c>
      <c r="R1934" s="1" t="s">
        <v>8512</v>
      </c>
      <c r="S1934" s="1" t="s">
        <v>32</v>
      </c>
      <c r="W1934" s="1">
        <v>0.0</v>
      </c>
      <c r="X1934" s="1">
        <v>0.0</v>
      </c>
    </row>
    <row r="1935" spans="1:24" ht="15.75" customHeight="1">
      <c r="A1935" s="1">
        <v>3.8614632E7</v>
      </c>
      <c r="B1935" s="1" t="s">
        <v>8513</v>
      </c>
      <c r="C1935" s="1" t="s">
        <v>8514</v>
      </c>
      <c r="D1935" s="1" t="s">
        <v>8515</v>
      </c>
      <c r="E1935" s="1" t="s">
        <v>8516</v>
      </c>
      <c r="F1935" s="1" t="str">
        <f t="shared" si="143" ref="F1935:G1935">""</f>
        <v/>
      </c>
      <c r="G1935" s="1" t="str">
        <f t="shared" si="143"/>
        <v/>
      </c>
      <c r="H1935" s="1">
        <v>0.0</v>
      </c>
      <c r="I1935" s="1">
        <v>3.97</v>
      </c>
      <c r="K1935" s="1" t="s">
        <v>29</v>
      </c>
      <c r="L1935" s="1">
        <v>165.0</v>
      </c>
      <c r="M1935" s="1">
        <v>2018.0</v>
      </c>
      <c r="N1935" s="1">
        <v>150.0</v>
      </c>
      <c r="P1935" s="2">
        <v>45140.0</v>
      </c>
      <c r="Q1935" s="1" t="s">
        <v>32</v>
      </c>
      <c r="R1935" s="1" t="s">
        <v>8517</v>
      </c>
      <c r="S1935" s="1" t="s">
        <v>32</v>
      </c>
      <c r="W1935" s="1">
        <v>0.0</v>
      </c>
      <c r="X1935" s="1">
        <v>0.0</v>
      </c>
    </row>
    <row r="1936" spans="1:24" ht="15.75" customHeight="1">
      <c r="A1936" s="1">
        <v>603632.0</v>
      </c>
      <c r="B1936" s="1" t="s">
        <v>8518</v>
      </c>
      <c r="C1936" s="1" t="s">
        <v>8519</v>
      </c>
      <c r="D1936" s="1" t="s">
        <v>8520</v>
      </c>
      <c r="F1936" s="1" t="str">
        <f>"9505157258"</f>
        <v>9505157258</v>
      </c>
      <c r="G1936" s="1" t="str">
        <f>"9789505157259"</f>
        <v>9789505157259</v>
      </c>
      <c r="H1936" s="1">
        <v>0.0</v>
      </c>
      <c r="I1936" s="1">
        <v>4.32</v>
      </c>
      <c r="J1936" s="1" t="s">
        <v>8521</v>
      </c>
      <c r="K1936" s="1" t="s">
        <v>44</v>
      </c>
      <c r="L1936" s="1">
        <v>126.0</v>
      </c>
      <c r="M1936" s="1">
        <v>2009.0</v>
      </c>
      <c r="N1936" s="1">
        <v>1996.0</v>
      </c>
      <c r="P1936" s="2">
        <v>45072.0</v>
      </c>
      <c r="Q1936" s="1" t="s">
        <v>32</v>
      </c>
      <c r="R1936" s="1" t="s">
        <v>8522</v>
      </c>
      <c r="S1936" s="1" t="s">
        <v>32</v>
      </c>
      <c r="W1936" s="1">
        <v>0.0</v>
      </c>
      <c r="X1936" s="1">
        <v>0.0</v>
      </c>
    </row>
    <row r="1937" spans="1:24" ht="15.75" customHeight="1">
      <c r="A1937" s="1">
        <v>6.0470412E7</v>
      </c>
      <c r="B1937" s="1" t="s">
        <v>8523</v>
      </c>
      <c r="C1937" s="1" t="s">
        <v>8524</v>
      </c>
      <c r="D1937" s="1" t="s">
        <v>8525</v>
      </c>
      <c r="E1937" s="1" t="s">
        <v>8526</v>
      </c>
      <c r="F1937" s="1" t="str">
        <f>"0190648317"</f>
        <v>0190648317</v>
      </c>
      <c r="G1937" s="1" t="str">
        <f>"9780190648312"</f>
        <v>9780190648312</v>
      </c>
      <c r="H1937" s="1">
        <v>0.0</v>
      </c>
      <c r="I1937" s="1">
        <v>0.0</v>
      </c>
      <c r="J1937" s="1" t="s">
        <v>181</v>
      </c>
      <c r="K1937" s="1" t="s">
        <v>37</v>
      </c>
      <c r="L1937" s="1">
        <v>624.0</v>
      </c>
      <c r="M1937" s="1">
        <v>2022.0</v>
      </c>
      <c r="P1937" s="2">
        <v>45134.0</v>
      </c>
      <c r="Q1937" s="1" t="s">
        <v>32</v>
      </c>
      <c r="R1937" s="1" t="s">
        <v>8527</v>
      </c>
      <c r="S1937" s="1" t="s">
        <v>32</v>
      </c>
      <c r="W1937" s="1">
        <v>0.0</v>
      </c>
      <c r="X1937" s="1">
        <v>0.0</v>
      </c>
    </row>
    <row r="1938" spans="1:24" ht="15.75" customHeight="1">
      <c r="A1938" s="1">
        <v>7170963.0</v>
      </c>
      <c r="B1938" s="1" t="s">
        <v>8528</v>
      </c>
      <c r="C1938" s="1" t="s">
        <v>8529</v>
      </c>
      <c r="D1938" s="1" t="s">
        <v>8530</v>
      </c>
      <c r="F1938" s="1" t="str">
        <f>"0743291417"</f>
        <v>0743291417</v>
      </c>
      <c r="G1938" s="1" t="str">
        <f>"9780743291415"</f>
        <v>9780743291415</v>
      </c>
      <c r="H1938" s="1">
        <v>0.0</v>
      </c>
      <c r="I1938" s="1">
        <v>4.12</v>
      </c>
      <c r="J1938" s="1" t="s">
        <v>622</v>
      </c>
      <c r="K1938" s="1" t="s">
        <v>37</v>
      </c>
      <c r="L1938" s="1">
        <v>384.0</v>
      </c>
      <c r="M1938" s="1">
        <v>2009.0</v>
      </c>
      <c r="N1938" s="1">
        <v>2008.0</v>
      </c>
      <c r="P1938" s="2">
        <v>42556.0</v>
      </c>
      <c r="Q1938" s="1" t="s">
        <v>32</v>
      </c>
      <c r="R1938" s="1" t="s">
        <v>8531</v>
      </c>
      <c r="S1938" s="1" t="s">
        <v>32</v>
      </c>
      <c r="W1938" s="1">
        <v>0.0</v>
      </c>
      <c r="X1938" s="1">
        <v>0.0</v>
      </c>
    </row>
    <row r="1939" spans="1:24" ht="15.75" customHeight="1">
      <c r="A1939" s="1">
        <v>496585.0</v>
      </c>
      <c r="B1939" s="1" t="s">
        <v>8532</v>
      </c>
      <c r="C1939" s="1" t="s">
        <v>8533</v>
      </c>
      <c r="D1939" s="1" t="s">
        <v>8534</v>
      </c>
      <c r="F1939" s="1" t="str">
        <f>"0140135375"</f>
        <v>0140135375</v>
      </c>
      <c r="G1939" s="1" t="str">
        <f>"9780140135374"</f>
        <v>9780140135374</v>
      </c>
      <c r="H1939" s="1">
        <v>0.0</v>
      </c>
      <c r="I1939" s="1">
        <v>4.11</v>
      </c>
      <c r="J1939" s="1" t="s">
        <v>61</v>
      </c>
      <c r="K1939" s="1" t="s">
        <v>44</v>
      </c>
      <c r="L1939" s="1">
        <v>224.0</v>
      </c>
      <c r="M1939" s="1">
        <v>1965.0</v>
      </c>
      <c r="N1939" s="1">
        <v>1960.0</v>
      </c>
      <c r="P1939" s="2">
        <v>43950.0</v>
      </c>
      <c r="Q1939" s="1" t="s">
        <v>1064</v>
      </c>
      <c r="R1939" s="1" t="s">
        <v>8535</v>
      </c>
      <c r="S1939" s="1" t="s">
        <v>32</v>
      </c>
      <c r="W1939" s="1">
        <v>0.0</v>
      </c>
      <c r="X1939" s="1">
        <v>0.0</v>
      </c>
    </row>
    <row r="1940" spans="1:24" ht="15.75" customHeight="1">
      <c r="A1940" s="1">
        <v>746803.0</v>
      </c>
      <c r="B1940" s="1" t="s">
        <v>8536</v>
      </c>
      <c r="C1940" s="1" t="s">
        <v>8533</v>
      </c>
      <c r="D1940" s="1" t="s">
        <v>8534</v>
      </c>
      <c r="E1940" s="1" t="s">
        <v>8537</v>
      </c>
      <c r="F1940" s="1" t="str">
        <f>"0140134662"</f>
        <v>0140134662</v>
      </c>
      <c r="G1940" s="1" t="str">
        <f>"9780140134667"</f>
        <v>9780140134667</v>
      </c>
      <c r="H1940" s="1">
        <v>0.0</v>
      </c>
      <c r="I1940" s="1">
        <v>4.18</v>
      </c>
      <c r="J1940" s="1" t="s">
        <v>61</v>
      </c>
      <c r="K1940" s="1" t="s">
        <v>44</v>
      </c>
      <c r="L1940" s="1">
        <v>288.0</v>
      </c>
      <c r="M1940" s="1">
        <v>1990.0</v>
      </c>
      <c r="N1940" s="1">
        <v>1964.0</v>
      </c>
      <c r="P1940" s="2">
        <v>45173.0</v>
      </c>
      <c r="Q1940" s="1" t="s">
        <v>32</v>
      </c>
      <c r="R1940" s="1" t="s">
        <v>8538</v>
      </c>
      <c r="S1940" s="1" t="s">
        <v>32</v>
      </c>
      <c r="W1940" s="1">
        <v>0.0</v>
      </c>
      <c r="X1940" s="1">
        <v>0.0</v>
      </c>
    </row>
    <row r="1941" spans="1:24" ht="15.75" customHeight="1">
      <c r="A1941" s="1">
        <v>533074.0</v>
      </c>
      <c r="B1941" s="1" t="s">
        <v>8539</v>
      </c>
      <c r="C1941" s="1" t="s">
        <v>8540</v>
      </c>
      <c r="D1941" s="1" t="s">
        <v>8541</v>
      </c>
      <c r="E1941" s="1" t="s">
        <v>8542</v>
      </c>
      <c r="F1941" s="1" t="str">
        <f>"1578632595"</f>
        <v>1578632595</v>
      </c>
      <c r="G1941" s="1" t="str">
        <f>"0824297632597"</f>
        <v>0824297632597</v>
      </c>
      <c r="H1941" s="1">
        <v>0.0</v>
      </c>
      <c r="I1941" s="1">
        <v>3.99</v>
      </c>
      <c r="J1941" s="1" t="s">
        <v>8543</v>
      </c>
      <c r="K1941" s="1" t="s">
        <v>44</v>
      </c>
      <c r="L1941" s="1">
        <v>140.0</v>
      </c>
      <c r="M1941" s="1">
        <v>2003.0</v>
      </c>
      <c r="N1941" s="1">
        <v>-300.0</v>
      </c>
      <c r="P1941" s="2">
        <v>45070.0</v>
      </c>
      <c r="Q1941" s="1" t="s">
        <v>32</v>
      </c>
      <c r="R1941" s="1" t="s">
        <v>8544</v>
      </c>
      <c r="S1941" s="1" t="s">
        <v>32</v>
      </c>
      <c r="W1941" s="1">
        <v>0.0</v>
      </c>
      <c r="X1941" s="1">
        <v>0.0</v>
      </c>
    </row>
    <row r="1942" spans="1:24" ht="15.75" customHeight="1">
      <c r="A1942" s="1">
        <v>83272.0</v>
      </c>
      <c r="B1942" s="1" t="s">
        <v>8545</v>
      </c>
      <c r="C1942" s="1" t="s">
        <v>1172</v>
      </c>
      <c r="D1942" s="1" t="s">
        <v>8546</v>
      </c>
      <c r="F1942" s="1" t="str">
        <f>"0521002958"</f>
        <v>0521002958</v>
      </c>
      <c r="G1942" s="1" t="str">
        <f>"9780521002950"</f>
        <v>9780521002950</v>
      </c>
      <c r="H1942" s="1">
        <v>0.0</v>
      </c>
      <c r="I1942" s="1">
        <v>3.99</v>
      </c>
      <c r="J1942" s="1" t="s">
        <v>388</v>
      </c>
      <c r="K1942" s="1" t="s">
        <v>44</v>
      </c>
      <c r="L1942" s="1">
        <v>288.0</v>
      </c>
      <c r="M1942" s="1">
        <v>2001.0</v>
      </c>
      <c r="N1942" s="1">
        <v>1965.0</v>
      </c>
      <c r="P1942" s="2">
        <v>44261.0</v>
      </c>
      <c r="Q1942" s="1" t="s">
        <v>32</v>
      </c>
      <c r="R1942" s="1" t="s">
        <v>8547</v>
      </c>
      <c r="S1942" s="1" t="s">
        <v>32</v>
      </c>
      <c r="W1942" s="1">
        <v>0.0</v>
      </c>
      <c r="X1942" s="1">
        <v>0.0</v>
      </c>
    </row>
    <row r="1943" spans="1:24" ht="15.75" customHeight="1">
      <c r="A1943" s="1">
        <v>694962.0</v>
      </c>
      <c r="B1943" s="1" t="s">
        <v>8548</v>
      </c>
      <c r="C1943" s="1" t="s">
        <v>8549</v>
      </c>
      <c r="D1943" s="1" t="s">
        <v>8550</v>
      </c>
      <c r="F1943" s="1" t="str">
        <f>"0521483476"</f>
        <v>0521483476</v>
      </c>
      <c r="G1943" s="1" t="str">
        <f>"9780521483476"</f>
        <v>9780521483476</v>
      </c>
      <c r="H1943" s="1">
        <v>0.0</v>
      </c>
      <c r="I1943" s="1">
        <v>3.68</v>
      </c>
      <c r="J1943" s="1" t="s">
        <v>388</v>
      </c>
      <c r="K1943" s="1" t="s">
        <v>44</v>
      </c>
      <c r="L1943" s="1">
        <v>175.0</v>
      </c>
      <c r="M1943" s="1">
        <v>1995.0</v>
      </c>
      <c r="N1943" s="1">
        <v>1988.0</v>
      </c>
      <c r="P1943" s="2">
        <v>45153.0</v>
      </c>
      <c r="Q1943" s="1" t="s">
        <v>32</v>
      </c>
      <c r="R1943" s="1" t="s">
        <v>8551</v>
      </c>
      <c r="S1943" s="1" t="s">
        <v>32</v>
      </c>
      <c r="W1943" s="1">
        <v>0.0</v>
      </c>
      <c r="X1943" s="1">
        <v>0.0</v>
      </c>
    </row>
    <row r="1944" spans="1:24" ht="15.75" customHeight="1">
      <c r="A1944" s="1">
        <v>5.4304256E7</v>
      </c>
      <c r="B1944" s="1" t="s">
        <v>8552</v>
      </c>
      <c r="C1944" s="1" t="s">
        <v>8553</v>
      </c>
      <c r="D1944" s="1" t="s">
        <v>8554</v>
      </c>
      <c r="E1944" s="1" t="s">
        <v>8555</v>
      </c>
      <c r="F1944" s="1" t="str">
        <f>"198211021X"</f>
        <v>198211021X</v>
      </c>
      <c r="G1944" s="1" t="str">
        <f>"9781982110215"</f>
        <v>9781982110215</v>
      </c>
      <c r="H1944" s="1">
        <v>0.0</v>
      </c>
      <c r="I1944" s="1">
        <v>3.13</v>
      </c>
      <c r="J1944" s="1" t="s">
        <v>622</v>
      </c>
      <c r="K1944" s="1" t="s">
        <v>44</v>
      </c>
      <c r="L1944" s="1">
        <v>288.0</v>
      </c>
      <c r="M1944" s="1">
        <v>2021.0</v>
      </c>
      <c r="N1944" s="1">
        <v>2021.0</v>
      </c>
      <c r="P1944" s="2">
        <v>44216.0</v>
      </c>
      <c r="Q1944" s="1" t="s">
        <v>32</v>
      </c>
      <c r="R1944" s="1" t="s">
        <v>8556</v>
      </c>
      <c r="S1944" s="1" t="s">
        <v>32</v>
      </c>
      <c r="W1944" s="1">
        <v>0.0</v>
      </c>
      <c r="X1944" s="1">
        <v>0.0</v>
      </c>
    </row>
    <row r="1945" spans="1:24" ht="15.75" customHeight="1">
      <c r="A1945" s="1">
        <v>410434.0</v>
      </c>
      <c r="B1945" s="1" t="s">
        <v>8557</v>
      </c>
      <c r="C1945" s="1" t="s">
        <v>8558</v>
      </c>
      <c r="D1945" s="1" t="s">
        <v>8559</v>
      </c>
      <c r="F1945" s="1" t="str">
        <f>"0312200412"</f>
        <v>0312200412</v>
      </c>
      <c r="G1945" s="1" t="str">
        <f>"9780312200411"</f>
        <v>9780312200411</v>
      </c>
      <c r="H1945" s="1">
        <v>0.0</v>
      </c>
      <c r="I1945" s="1">
        <v>3.75</v>
      </c>
      <c r="J1945" s="1" t="s">
        <v>1006</v>
      </c>
      <c r="K1945" s="1" t="s">
        <v>37</v>
      </c>
      <c r="L1945" s="1">
        <v>208.0</v>
      </c>
      <c r="M1945" s="1">
        <v>1999.0</v>
      </c>
      <c r="N1945" s="1">
        <v>1999.0</v>
      </c>
      <c r="P1945" s="2">
        <v>43935.0</v>
      </c>
      <c r="Q1945" s="1" t="s">
        <v>127</v>
      </c>
      <c r="R1945" s="1" t="s">
        <v>8560</v>
      </c>
      <c r="S1945" s="1" t="s">
        <v>32</v>
      </c>
      <c r="W1945" s="1">
        <v>0.0</v>
      </c>
      <c r="X1945" s="1">
        <v>0.0</v>
      </c>
    </row>
    <row r="1946" spans="1:24" ht="15.75" customHeight="1">
      <c r="A1946" s="1">
        <v>5.0997655E7</v>
      </c>
      <c r="B1946" s="1" t="s">
        <v>8561</v>
      </c>
      <c r="C1946" s="1" t="s">
        <v>8562</v>
      </c>
      <c r="D1946" s="1" t="s">
        <v>8563</v>
      </c>
      <c r="E1946" s="1" t="s">
        <v>8564</v>
      </c>
      <c r="F1946" s="1" t="str">
        <f>"0063040794"</f>
        <v>0063040794</v>
      </c>
      <c r="G1946" s="1" t="str">
        <f>"9780063040793"</f>
        <v>9780063040793</v>
      </c>
      <c r="H1946" s="1">
        <v>0.0</v>
      </c>
      <c r="I1946" s="1">
        <v>4.28</v>
      </c>
      <c r="J1946" s="1" t="s">
        <v>1029</v>
      </c>
      <c r="K1946" s="1" t="s">
        <v>37</v>
      </c>
      <c r="L1946" s="1">
        <v>704.0</v>
      </c>
      <c r="M1946" s="1">
        <v>2022.0</v>
      </c>
      <c r="N1946" s="1">
        <v>2022.0</v>
      </c>
      <c r="P1946" s="2">
        <v>45313.0</v>
      </c>
      <c r="Q1946" s="1" t="s">
        <v>55</v>
      </c>
      <c r="R1946" s="1" t="s">
        <v>8565</v>
      </c>
      <c r="S1946" s="1" t="s">
        <v>32</v>
      </c>
      <c r="W1946" s="1">
        <v>0.0</v>
      </c>
      <c r="X1946" s="1">
        <v>0.0</v>
      </c>
    </row>
    <row r="1947" spans="1:24" ht="15.75" customHeight="1">
      <c r="A1947" s="1">
        <v>755509.0</v>
      </c>
      <c r="B1947" s="1" t="s">
        <v>8566</v>
      </c>
      <c r="C1947" s="1" t="s">
        <v>8567</v>
      </c>
      <c r="D1947" s="1" t="s">
        <v>8568</v>
      </c>
      <c r="F1947" s="1" t="str">
        <f>"1877727024"</f>
        <v>1877727024</v>
      </c>
      <c r="G1947" s="1" t="str">
        <f>"9781877727023"</f>
        <v>9781877727023</v>
      </c>
      <c r="H1947" s="1">
        <v>0.0</v>
      </c>
      <c r="I1947" s="1">
        <v>4.0</v>
      </c>
      <c r="J1947" s="1" t="s">
        <v>8569</v>
      </c>
      <c r="K1947" s="1" t="s">
        <v>44</v>
      </c>
      <c r="L1947" s="1">
        <v>254.0</v>
      </c>
      <c r="M1947" s="1">
        <v>2008.0</v>
      </c>
      <c r="N1947" s="1">
        <v>1990.0</v>
      </c>
      <c r="P1947" s="2">
        <v>45113.0</v>
      </c>
      <c r="Q1947" s="1" t="s">
        <v>2446</v>
      </c>
      <c r="R1947" s="1" t="s">
        <v>8570</v>
      </c>
      <c r="S1947" s="1" t="s">
        <v>32</v>
      </c>
      <c r="W1947" s="1">
        <v>0.0</v>
      </c>
      <c r="X1947" s="1">
        <v>1.0</v>
      </c>
    </row>
    <row r="1948" spans="1:24" ht="15.75" customHeight="1">
      <c r="A1948" s="1">
        <v>5.9808605E7</v>
      </c>
      <c r="B1948" s="1" t="s">
        <v>8571</v>
      </c>
      <c r="C1948" s="1" t="s">
        <v>8572</v>
      </c>
      <c r="D1948" s="1" t="s">
        <v>8573</v>
      </c>
      <c r="F1948" s="1" t="str">
        <f>"0374600848"</f>
        <v>0374600848</v>
      </c>
      <c r="G1948" s="1" t="str">
        <f>"9780374600846"</f>
        <v>9780374600846</v>
      </c>
      <c r="H1948" s="1">
        <v>0.0</v>
      </c>
      <c r="I1948" s="1">
        <v>4.14</v>
      </c>
      <c r="J1948" s="1" t="s">
        <v>438</v>
      </c>
      <c r="K1948" s="1" t="s">
        <v>37</v>
      </c>
      <c r="L1948" s="1">
        <v>288.0</v>
      </c>
      <c r="M1948" s="1">
        <v>2022.0</v>
      </c>
      <c r="N1948" s="1">
        <v>2022.0</v>
      </c>
      <c r="P1948" s="2">
        <v>45180.0</v>
      </c>
      <c r="Q1948" s="1" t="s">
        <v>1064</v>
      </c>
      <c r="R1948" s="1" t="s">
        <v>8574</v>
      </c>
      <c r="S1948" s="1" t="s">
        <v>32</v>
      </c>
      <c r="W1948" s="1">
        <v>0.0</v>
      </c>
      <c r="X1948" s="1">
        <v>0.0</v>
      </c>
    </row>
    <row r="1949" spans="1:24" ht="15.75" customHeight="1">
      <c r="A1949" s="1">
        <v>2.8114392E7</v>
      </c>
      <c r="B1949" s="1" t="s">
        <v>8575</v>
      </c>
      <c r="C1949" s="1" t="s">
        <v>8576</v>
      </c>
      <c r="D1949" s="1" t="s">
        <v>8577</v>
      </c>
      <c r="E1949" s="1" t="s">
        <v>8578</v>
      </c>
      <c r="F1949" s="1" t="str">
        <f>"0544812115"</f>
        <v>0544812115</v>
      </c>
      <c r="G1949" s="1" t="str">
        <f>"9780544812116"</f>
        <v>9780544812116</v>
      </c>
      <c r="H1949" s="1">
        <v>0.0</v>
      </c>
      <c r="I1949" s="1">
        <v>3.85</v>
      </c>
      <c r="J1949" s="1" t="s">
        <v>468</v>
      </c>
      <c r="K1949" s="1" t="s">
        <v>44</v>
      </c>
      <c r="L1949" s="1">
        <v>432.0</v>
      </c>
      <c r="M1949" s="1">
        <v>2016.0</v>
      </c>
      <c r="N1949" s="1">
        <v>2016.0</v>
      </c>
      <c r="P1949" s="2">
        <v>45114.0</v>
      </c>
      <c r="Q1949" s="1" t="s">
        <v>115</v>
      </c>
      <c r="R1949" s="1" t="s">
        <v>8579</v>
      </c>
      <c r="S1949" s="1" t="s">
        <v>32</v>
      </c>
      <c r="W1949" s="1">
        <v>0.0</v>
      </c>
      <c r="X1949" s="1">
        <v>0.0</v>
      </c>
    </row>
    <row r="1950" spans="1:24" ht="15.75" customHeight="1">
      <c r="A1950" s="1">
        <v>5.8958015E7</v>
      </c>
      <c r="B1950" s="1" t="s">
        <v>8580</v>
      </c>
      <c r="C1950" s="1" t="s">
        <v>8581</v>
      </c>
      <c r="D1950" s="1" t="s">
        <v>8582</v>
      </c>
      <c r="F1950" s="1" t="str">
        <f>"1578637708"</f>
        <v>1578637708</v>
      </c>
      <c r="G1950" s="1" t="str">
        <f>"9781578637706"</f>
        <v>9781578637706</v>
      </c>
      <c r="H1950" s="1">
        <v>0.0</v>
      </c>
      <c r="I1950" s="1">
        <v>4.21</v>
      </c>
      <c r="J1950" s="1" t="s">
        <v>405</v>
      </c>
      <c r="K1950" s="1" t="s">
        <v>44</v>
      </c>
      <c r="L1950" s="1">
        <v>288.0</v>
      </c>
      <c r="M1950" s="1">
        <v>2023.0</v>
      </c>
      <c r="N1950" s="1">
        <v>2002.0</v>
      </c>
      <c r="P1950" s="2">
        <v>45122.0</v>
      </c>
      <c r="Q1950" s="1" t="s">
        <v>32</v>
      </c>
      <c r="R1950" s="1" t="s">
        <v>8583</v>
      </c>
      <c r="S1950" s="1" t="s">
        <v>32</v>
      </c>
      <c r="W1950" s="1">
        <v>0.0</v>
      </c>
      <c r="X1950" s="1">
        <v>0.0</v>
      </c>
    </row>
    <row r="1951" spans="1:24" ht="15.75" customHeight="1">
      <c r="A1951" s="1">
        <v>4.1758416E7</v>
      </c>
      <c r="B1951" s="1" t="s">
        <v>8584</v>
      </c>
      <c r="C1951" s="1" t="s">
        <v>8581</v>
      </c>
      <c r="D1951" s="1" t="s">
        <v>8582</v>
      </c>
      <c r="F1951" s="1" t="str">
        <f>"1578636655"</f>
        <v>1578636655</v>
      </c>
      <c r="G1951" s="1" t="str">
        <f>"9781578636655"</f>
        <v>9781578636655</v>
      </c>
      <c r="H1951" s="1">
        <v>0.0</v>
      </c>
      <c r="I1951" s="1">
        <v>4.32</v>
      </c>
      <c r="J1951" s="1" t="s">
        <v>405</v>
      </c>
      <c r="K1951" s="1" t="s">
        <v>44</v>
      </c>
      <c r="L1951" s="1">
        <v>354.0</v>
      </c>
      <c r="M1951" s="1">
        <v>2019.0</v>
      </c>
      <c r="N1951" s="1">
        <v>1980.0</v>
      </c>
      <c r="P1951" s="2">
        <v>44254.0</v>
      </c>
      <c r="Q1951" s="1" t="s">
        <v>32</v>
      </c>
      <c r="R1951" s="1" t="s">
        <v>8585</v>
      </c>
      <c r="S1951" s="1" t="s">
        <v>32</v>
      </c>
      <c r="W1951" s="1">
        <v>0.0</v>
      </c>
      <c r="X1951" s="1">
        <v>0.0</v>
      </c>
    </row>
    <row r="1952" spans="1:24" ht="15.75" customHeight="1">
      <c r="A1952" s="1">
        <v>129223.0</v>
      </c>
      <c r="B1952" s="1" t="s">
        <v>8586</v>
      </c>
      <c r="C1952" s="1" t="s">
        <v>8587</v>
      </c>
      <c r="D1952" s="1" t="s">
        <v>8588</v>
      </c>
      <c r="F1952" s="1" t="str">
        <f>"184022455X"</f>
        <v>184022455X</v>
      </c>
      <c r="G1952" s="1" t="str">
        <f>"9781840224559"</f>
        <v>9781840224559</v>
      </c>
      <c r="H1952" s="1">
        <v>0.0</v>
      </c>
      <c r="I1952" s="1">
        <v>3.74</v>
      </c>
      <c r="J1952" s="1" t="s">
        <v>8589</v>
      </c>
      <c r="K1952" s="1" t="s">
        <v>44</v>
      </c>
      <c r="L1952" s="1">
        <v>448.0</v>
      </c>
      <c r="M1952" s="1">
        <v>2014.0</v>
      </c>
      <c r="N1952" s="1">
        <v>1928.0</v>
      </c>
      <c r="P1952" s="2">
        <v>45115.0</v>
      </c>
      <c r="Q1952" s="1" t="s">
        <v>32</v>
      </c>
      <c r="R1952" s="1" t="s">
        <v>8590</v>
      </c>
      <c r="S1952" s="1" t="s">
        <v>32</v>
      </c>
      <c r="W1952" s="1">
        <v>0.0</v>
      </c>
      <c r="X1952" s="1">
        <v>0.0</v>
      </c>
    </row>
    <row r="1953" spans="1:24" ht="15.75" customHeight="1">
      <c r="A1953" s="1">
        <v>1.30030232E8</v>
      </c>
      <c r="B1953" s="1" t="s">
        <v>8591</v>
      </c>
      <c r="C1953" s="1" t="s">
        <v>8592</v>
      </c>
      <c r="D1953" s="1" t="s">
        <v>8593</v>
      </c>
      <c r="F1953" s="1" t="str">
        <f t="shared" si="144" ref="F1953:G1953">""</f>
        <v/>
      </c>
      <c r="G1953" s="1" t="str">
        <f t="shared" si="144"/>
        <v/>
      </c>
      <c r="H1953" s="1">
        <v>0.0</v>
      </c>
      <c r="I1953" s="1">
        <v>4.46</v>
      </c>
      <c r="J1953" s="1" t="s">
        <v>8594</v>
      </c>
      <c r="K1953" s="1" t="s">
        <v>44</v>
      </c>
      <c r="L1953" s="1">
        <v>0.0</v>
      </c>
      <c r="N1953" s="1">
        <v>1923.0</v>
      </c>
      <c r="P1953" s="2">
        <v>45143.0</v>
      </c>
      <c r="Q1953" s="1" t="s">
        <v>449</v>
      </c>
      <c r="R1953" s="1" t="s">
        <v>8595</v>
      </c>
      <c r="S1953" s="1" t="s">
        <v>32</v>
      </c>
      <c r="W1953" s="1">
        <v>0.0</v>
      </c>
      <c r="X1953" s="1">
        <v>1.0</v>
      </c>
    </row>
    <row r="1954" spans="1:24" ht="15.75" customHeight="1">
      <c r="A1954" s="51">
        <v>93405.0</v>
      </c>
      <c r="B1954" s="51" t="s">
        <v>8596</v>
      </c>
      <c r="C1954" s="51" t="s">
        <v>8592</v>
      </c>
      <c r="D1954" s="51" t="s">
        <v>8593</v>
      </c>
      <c r="E1954" s="51" t="s">
        <v>8597</v>
      </c>
      <c r="F1954" s="51" t="str">
        <f>"0393308812"</f>
        <v>0393308812</v>
      </c>
      <c r="G1954" s="51" t="str">
        <f>"9780393308815"</f>
        <v>9780393308815</v>
      </c>
      <c r="H1954" s="51">
        <v>0.0</v>
      </c>
      <c r="I1954" s="51">
        <v>3.95</v>
      </c>
      <c r="J1954" s="51" t="s">
        <v>2467</v>
      </c>
      <c r="K1954" s="51" t="s">
        <v>44</v>
      </c>
      <c r="L1954" s="51">
        <v>237.0</v>
      </c>
      <c r="M1954" s="51">
        <v>1992.0</v>
      </c>
      <c r="N1954" s="51">
        <v>1910.0</v>
      </c>
      <c r="O1954" s="52"/>
      <c r="P1954" s="53">
        <v>44168.0</v>
      </c>
      <c r="Q1954" s="54" t="s">
        <v>4616</v>
      </c>
      <c r="R1954" s="51" t="s">
        <v>8599</v>
      </c>
      <c r="S1954" s="51" t="s">
        <v>32</v>
      </c>
      <c r="T1954" s="52"/>
      <c r="U1954" s="52"/>
      <c r="V1954" s="52"/>
      <c r="W1954" s="51">
        <v>0.0</v>
      </c>
      <c r="X1954" s="51">
        <v>0.0</v>
      </c>
    </row>
    <row r="1955" spans="1:24" ht="15.75" customHeight="1">
      <c r="A1955" s="51">
        <v>467164.0</v>
      </c>
      <c r="B1955" s="51" t="s">
        <v>8600</v>
      </c>
      <c r="C1955" s="51" t="s">
        <v>8592</v>
      </c>
      <c r="D1955" s="51" t="s">
        <v>8593</v>
      </c>
      <c r="E1955" s="51" t="s">
        <v>8601</v>
      </c>
      <c r="F1955" s="51" t="str">
        <f>"1573225851"</f>
        <v>1573225851</v>
      </c>
      <c r="G1955" s="51" t="str">
        <f>"9781573225854"</f>
        <v>9781573225854</v>
      </c>
      <c r="H1955" s="51">
        <v>0.0</v>
      </c>
      <c r="I1955" s="51">
        <v>4.34</v>
      </c>
      <c r="J1955" s="51" t="s">
        <v>2218</v>
      </c>
      <c r="K1955" s="51" t="s">
        <v>44</v>
      </c>
      <c r="L1955" s="51">
        <v>166.0</v>
      </c>
      <c r="M1955" s="51">
        <v>1997.0</v>
      </c>
      <c r="N1955" s="51">
        <v>1905.0</v>
      </c>
      <c r="O1955" s="52"/>
      <c r="P1955" s="53">
        <v>41671.0</v>
      </c>
      <c r="Q1955" s="54" t="s">
        <v>4616</v>
      </c>
      <c r="R1955" s="51" t="s">
        <v>8602</v>
      </c>
      <c r="S1955" s="51" t="s">
        <v>32</v>
      </c>
      <c r="T1955" s="52"/>
      <c r="U1955" s="52"/>
      <c r="V1955" s="52"/>
      <c r="W1955" s="51">
        <v>0.0</v>
      </c>
      <c r="X1955" s="51">
        <v>0.0</v>
      </c>
    </row>
    <row r="1956" spans="1:24" ht="15.75" customHeight="1">
      <c r="A1956" s="51">
        <v>46199.0</v>
      </c>
      <c r="B1956" s="51" t="s">
        <v>8603</v>
      </c>
      <c r="C1956" s="51" t="s">
        <v>8592</v>
      </c>
      <c r="D1956" s="51" t="s">
        <v>8593</v>
      </c>
      <c r="E1956" s="51" t="s">
        <v>8604</v>
      </c>
      <c r="F1956" s="51" t="str">
        <f>"0486422453"</f>
        <v>0486422453</v>
      </c>
      <c r="G1956" s="51" t="str">
        <f>"9780486422459"</f>
        <v>9780486422459</v>
      </c>
      <c r="H1956" s="51">
        <v>0.0</v>
      </c>
      <c r="I1956" s="51">
        <v>4.3</v>
      </c>
      <c r="J1956" s="51" t="s">
        <v>910</v>
      </c>
      <c r="K1956" s="51" t="s">
        <v>44</v>
      </c>
      <c r="L1956" s="51">
        <v>80.0</v>
      </c>
      <c r="M1956" s="51">
        <v>2002.0</v>
      </c>
      <c r="N1956" s="51">
        <v>1929.0</v>
      </c>
      <c r="O1956" s="52"/>
      <c r="P1956" s="114">
        <v>41635.0</v>
      </c>
      <c r="Q1956" s="54" t="s">
        <v>4616</v>
      </c>
      <c r="R1956" s="51" t="s">
        <v>8605</v>
      </c>
      <c r="S1956" s="51" t="s">
        <v>32</v>
      </c>
      <c r="T1956" s="52"/>
      <c r="U1956" s="52"/>
      <c r="V1956" s="52"/>
      <c r="W1956" s="51">
        <v>0.0</v>
      </c>
      <c r="X1956" s="51">
        <v>0.0</v>
      </c>
    </row>
    <row r="1957" spans="1:24" ht="15.75" customHeight="1">
      <c r="A1957" s="1">
        <v>22121.0</v>
      </c>
      <c r="B1957" s="1" t="s">
        <v>8606</v>
      </c>
      <c r="C1957" s="1" t="s">
        <v>8607</v>
      </c>
      <c r="D1957" s="1" t="s">
        <v>8608</v>
      </c>
      <c r="F1957" s="1" t="str">
        <f>"1400044871"</f>
        <v>1400044871</v>
      </c>
      <c r="G1957" s="1" t="str">
        <f>"9781400044870"</f>
        <v>9781400044870</v>
      </c>
      <c r="H1957" s="1">
        <v>0.0</v>
      </c>
      <c r="I1957" s="1">
        <v>4.04</v>
      </c>
      <c r="J1957" s="1" t="s">
        <v>1397</v>
      </c>
      <c r="K1957" s="1" t="s">
        <v>37</v>
      </c>
      <c r="L1957" s="1">
        <v>320.0</v>
      </c>
      <c r="M1957" s="1">
        <v>2006.0</v>
      </c>
      <c r="N1957" s="1">
        <v>2006.0</v>
      </c>
      <c r="P1957" s="3">
        <v>45278.0</v>
      </c>
      <c r="Q1957" s="1" t="s">
        <v>479</v>
      </c>
      <c r="R1957" s="1" t="s">
        <v>8609</v>
      </c>
      <c r="S1957" s="1" t="s">
        <v>32</v>
      </c>
      <c r="W1957" s="1">
        <v>0.0</v>
      </c>
      <c r="X1957" s="1">
        <v>0.0</v>
      </c>
    </row>
    <row r="1958" spans="1:24" ht="15.75" customHeight="1">
      <c r="A1958" s="1">
        <v>6116947.0</v>
      </c>
      <c r="B1958" s="1" t="s">
        <v>8610</v>
      </c>
      <c r="C1958" s="1" t="s">
        <v>8611</v>
      </c>
      <c r="D1958" s="1" t="s">
        <v>8612</v>
      </c>
      <c r="F1958" s="1" t="str">
        <f>"0758231369"</f>
        <v>0758231369</v>
      </c>
      <c r="G1958" s="1" t="str">
        <f>"9780758231369"</f>
        <v>9780758231369</v>
      </c>
      <c r="H1958" s="1">
        <v>0.0</v>
      </c>
      <c r="I1958" s="1">
        <v>3.65</v>
      </c>
      <c r="J1958" s="1" t="s">
        <v>8613</v>
      </c>
      <c r="K1958" s="1" t="s">
        <v>44</v>
      </c>
      <c r="L1958" s="1">
        <v>276.0</v>
      </c>
      <c r="M1958" s="1">
        <v>2009.0</v>
      </c>
      <c r="N1958" s="1">
        <v>2009.0</v>
      </c>
      <c r="P1958" s="2">
        <v>42039.0</v>
      </c>
      <c r="Q1958" s="1" t="s">
        <v>32</v>
      </c>
      <c r="R1958" s="1" t="s">
        <v>8614</v>
      </c>
      <c r="S1958" s="1" t="s">
        <v>32</v>
      </c>
      <c r="W1958" s="1">
        <v>0.0</v>
      </c>
      <c r="X1958" s="1">
        <v>0.0</v>
      </c>
    </row>
    <row r="1959" spans="1:24" ht="15.75" customHeight="1">
      <c r="A1959" s="1">
        <v>5.0882242E7</v>
      </c>
      <c r="B1959" s="1" t="s">
        <v>8615</v>
      </c>
      <c r="C1959" s="1" t="s">
        <v>8616</v>
      </c>
      <c r="D1959" s="1" t="s">
        <v>8617</v>
      </c>
      <c r="F1959" s="1" t="str">
        <f>"1529308070"</f>
        <v>1529308070</v>
      </c>
      <c r="G1959" s="1" t="str">
        <f>"9781529308075"</f>
        <v>9781529308075</v>
      </c>
      <c r="H1959" s="1">
        <v>0.0</v>
      </c>
      <c r="I1959" s="1">
        <v>4.18</v>
      </c>
      <c r="J1959" s="1" t="s">
        <v>8618</v>
      </c>
      <c r="K1959" s="1" t="s">
        <v>29</v>
      </c>
      <c r="L1959" s="1">
        <v>304.0</v>
      </c>
      <c r="M1959" s="1">
        <v>2020.0</v>
      </c>
      <c r="N1959" s="1">
        <v>2009.0</v>
      </c>
      <c r="P1959" s="2">
        <v>45113.0</v>
      </c>
      <c r="Q1959" s="1" t="s">
        <v>1017</v>
      </c>
      <c r="R1959" s="1" t="s">
        <v>8619</v>
      </c>
      <c r="S1959" s="1" t="s">
        <v>32</v>
      </c>
      <c r="W1959" s="1">
        <v>0.0</v>
      </c>
      <c r="X1959" s="1">
        <v>1.0</v>
      </c>
    </row>
    <row r="1960" spans="1:24" ht="15.75" customHeight="1">
      <c r="A1960" s="1">
        <v>235662.0</v>
      </c>
      <c r="B1960" s="1" t="s">
        <v>8620</v>
      </c>
      <c r="C1960" s="1" t="s">
        <v>8621</v>
      </c>
      <c r="D1960" s="1" t="s">
        <v>8622</v>
      </c>
      <c r="F1960" s="1" t="str">
        <f>"0312019009"</f>
        <v>0312019009</v>
      </c>
      <c r="G1960" s="1" t="str">
        <f>"9780312019006"</f>
        <v>9780312019006</v>
      </c>
      <c r="H1960" s="1">
        <v>0.0</v>
      </c>
      <c r="I1960" s="1">
        <v>4.13</v>
      </c>
      <c r="J1960" s="1" t="s">
        <v>2414</v>
      </c>
      <c r="K1960" s="1" t="s">
        <v>44</v>
      </c>
      <c r="L1960" s="1">
        <v>380.0</v>
      </c>
      <c r="M1960" s="1">
        <v>1988.0</v>
      </c>
      <c r="N1960" s="1">
        <v>1982.0</v>
      </c>
      <c r="P1960" s="2">
        <v>45151.0</v>
      </c>
      <c r="Q1960" s="1" t="s">
        <v>32</v>
      </c>
      <c r="R1960" s="1" t="s">
        <v>8623</v>
      </c>
      <c r="S1960" s="1" t="s">
        <v>32</v>
      </c>
      <c r="W1960" s="1">
        <v>0.0</v>
      </c>
      <c r="X1960" s="1">
        <v>0.0</v>
      </c>
    </row>
    <row r="1961" spans="1:24" ht="15.75" customHeight="1">
      <c r="A1961" s="1">
        <v>4.6213396E7</v>
      </c>
      <c r="B1961" s="1" t="s">
        <v>8624</v>
      </c>
      <c r="C1961" s="1" t="s">
        <v>8625</v>
      </c>
      <c r="D1961" s="1" t="s">
        <v>8626</v>
      </c>
      <c r="E1961" s="1" t="s">
        <v>8627</v>
      </c>
      <c r="F1961" s="1" t="str">
        <f>"1617293563"</f>
        <v>1617293563</v>
      </c>
      <c r="G1961" s="1" t="str">
        <f>"9781617293566"</f>
        <v>9781617293566</v>
      </c>
      <c r="H1961" s="1">
        <v>0.0</v>
      </c>
      <c r="I1961" s="1">
        <v>4.36</v>
      </c>
      <c r="J1961" s="1" t="s">
        <v>8628</v>
      </c>
      <c r="K1961" s="1" t="s">
        <v>44</v>
      </c>
      <c r="L1961" s="1">
        <v>592.0</v>
      </c>
      <c r="M1961" s="1">
        <v>2018.0</v>
      </c>
      <c r="N1961" s="1">
        <v>2014.0</v>
      </c>
      <c r="P1961" s="2">
        <v>45136.0</v>
      </c>
      <c r="Q1961" s="1" t="s">
        <v>1017</v>
      </c>
      <c r="R1961" s="1" t="s">
        <v>8629</v>
      </c>
      <c r="S1961" s="1" t="s">
        <v>32</v>
      </c>
      <c r="W1961" s="1">
        <v>1.0</v>
      </c>
      <c r="X1961" s="1">
        <v>1.0</v>
      </c>
    </row>
    <row r="1962" spans="1:24" ht="15.75" customHeight="1">
      <c r="A1962" s="1">
        <v>4.1812831E7</v>
      </c>
      <c r="B1962" s="1" t="s">
        <v>8630</v>
      </c>
      <c r="C1962" s="1" t="s">
        <v>8631</v>
      </c>
      <c r="D1962" s="1" t="s">
        <v>8632</v>
      </c>
      <c r="F1962" s="1" t="str">
        <f>"1627798552"</f>
        <v>1627798552</v>
      </c>
      <c r="G1962" s="1" t="str">
        <f>"9781627798556"</f>
        <v>9781627798556</v>
      </c>
      <c r="H1962" s="1">
        <v>0.0</v>
      </c>
      <c r="I1962" s="1">
        <v>4.51</v>
      </c>
      <c r="J1962" s="1" t="s">
        <v>1200</v>
      </c>
      <c r="K1962" s="1" t="s">
        <v>37</v>
      </c>
      <c r="L1962" s="1">
        <v>336.0</v>
      </c>
      <c r="M1962" s="1">
        <v>2020.0</v>
      </c>
      <c r="N1962" s="1">
        <v>2020.0</v>
      </c>
      <c r="P1962" s="3">
        <v>45246.0</v>
      </c>
      <c r="Q1962" s="1" t="s">
        <v>55</v>
      </c>
      <c r="R1962" s="1" t="s">
        <v>8633</v>
      </c>
      <c r="S1962" s="1" t="s">
        <v>32</v>
      </c>
      <c r="W1962" s="1">
        <v>0.0</v>
      </c>
      <c r="X1962" s="1">
        <v>0.0</v>
      </c>
    </row>
    <row r="1963" spans="1:24" ht="15.75" customHeight="1">
      <c r="A1963" s="1">
        <v>3.0970019E7</v>
      </c>
      <c r="B1963" s="1" t="s">
        <v>8634</v>
      </c>
      <c r="C1963" s="1" t="s">
        <v>8635</v>
      </c>
      <c r="D1963" s="1" t="s">
        <v>8636</v>
      </c>
      <c r="F1963" s="1" t="str">
        <f>"8439731299"</f>
        <v>8439731299</v>
      </c>
      <c r="G1963" s="1" t="str">
        <f>"9788439731290"</f>
        <v>9788439731290</v>
      </c>
      <c r="H1963" s="1">
        <v>0.0</v>
      </c>
      <c r="I1963" s="1">
        <v>4.05</v>
      </c>
      <c r="J1963" s="1" t="s">
        <v>2148</v>
      </c>
      <c r="K1963" s="1" t="s">
        <v>44</v>
      </c>
      <c r="L1963" s="1">
        <v>196.0</v>
      </c>
      <c r="M1963" s="1">
        <v>2016.0</v>
      </c>
      <c r="N1963" s="1">
        <v>1999.0</v>
      </c>
      <c r="P1963" s="2">
        <v>44109.0</v>
      </c>
      <c r="Q1963" s="1" t="s">
        <v>32</v>
      </c>
      <c r="R1963" s="1" t="s">
        <v>8637</v>
      </c>
      <c r="S1963" s="1" t="s">
        <v>32</v>
      </c>
      <c r="W1963" s="1">
        <v>0.0</v>
      </c>
      <c r="X1963" s="1">
        <v>0.0</v>
      </c>
    </row>
    <row r="1964" spans="1:24" ht="15.75" customHeight="1">
      <c r="A1964" s="1">
        <v>5.9808603E7</v>
      </c>
      <c r="B1964" s="1" t="s">
        <v>8638</v>
      </c>
      <c r="C1964" s="1" t="s">
        <v>8639</v>
      </c>
      <c r="D1964" s="1" t="s">
        <v>8640</v>
      </c>
      <c r="F1964" s="1" t="str">
        <f>"0374605955"</f>
        <v>0374605955</v>
      </c>
      <c r="G1964" s="1" t="str">
        <f>"9780374605957"</f>
        <v>9780374605957</v>
      </c>
      <c r="H1964" s="1">
        <v>0.0</v>
      </c>
      <c r="I1964" s="1">
        <v>3.96</v>
      </c>
      <c r="J1964" s="1" t="s">
        <v>838</v>
      </c>
      <c r="K1964" s="1" t="s">
        <v>37</v>
      </c>
      <c r="L1964" s="1">
        <v>456.0</v>
      </c>
      <c r="M1964" s="1">
        <v>2022.0</v>
      </c>
      <c r="N1964" s="1">
        <v>2022.0</v>
      </c>
      <c r="P1964" s="2">
        <v>44837.0</v>
      </c>
      <c r="Q1964" s="1" t="s">
        <v>32</v>
      </c>
      <c r="R1964" s="1" t="s">
        <v>8641</v>
      </c>
      <c r="S1964" s="1" t="s">
        <v>32</v>
      </c>
      <c r="W1964" s="1">
        <v>0.0</v>
      </c>
      <c r="X1964" s="1">
        <v>0.0</v>
      </c>
    </row>
    <row r="1965" spans="1:24" ht="15.75" customHeight="1">
      <c r="A1965" s="1">
        <v>7155665.0</v>
      </c>
      <c r="B1965" s="1" t="s">
        <v>8642</v>
      </c>
      <c r="C1965" s="1" t="s">
        <v>8643</v>
      </c>
      <c r="D1965" s="1" t="s">
        <v>8644</v>
      </c>
      <c r="F1965" s="1" t="str">
        <f>"048647027X"</f>
        <v>048647027X</v>
      </c>
      <c r="G1965" s="1" t="str">
        <f>"9780486470276"</f>
        <v>9780486470276</v>
      </c>
      <c r="H1965" s="1">
        <v>0.0</v>
      </c>
      <c r="I1965" s="1">
        <v>4.32</v>
      </c>
      <c r="J1965" s="1" t="s">
        <v>910</v>
      </c>
      <c r="K1965" s="1" t="s">
        <v>44</v>
      </c>
      <c r="L1965" s="1">
        <v>228.0</v>
      </c>
      <c r="M1965" s="1">
        <v>2009.0</v>
      </c>
      <c r="N1965" s="1">
        <v>1982.0</v>
      </c>
      <c r="P1965" s="2">
        <v>45153.0</v>
      </c>
      <c r="Q1965" s="1" t="s">
        <v>32</v>
      </c>
      <c r="R1965" s="1" t="s">
        <v>8645</v>
      </c>
      <c r="S1965" s="1" t="s">
        <v>32</v>
      </c>
      <c r="W1965" s="1">
        <v>0.0</v>
      </c>
      <c r="X1965" s="1">
        <v>0.0</v>
      </c>
    </row>
    <row r="1966" spans="1:24" ht="15.75" customHeight="1">
      <c r="A1966" s="1">
        <v>1.0380491E7</v>
      </c>
      <c r="B1966" s="1" t="s">
        <v>8646</v>
      </c>
      <c r="C1966" s="1" t="s">
        <v>8643</v>
      </c>
      <c r="D1966" s="1" t="s">
        <v>8644</v>
      </c>
      <c r="F1966" s="1" t="str">
        <f>"0486481980"</f>
        <v>0486481980</v>
      </c>
      <c r="G1966" s="1" t="str">
        <f>"9780486481982"</f>
        <v>9780486481982</v>
      </c>
      <c r="H1966" s="1">
        <v>0.0</v>
      </c>
      <c r="I1966" s="1">
        <v>4.24</v>
      </c>
      <c r="J1966" s="1" t="s">
        <v>910</v>
      </c>
      <c r="K1966" s="1" t="s">
        <v>44</v>
      </c>
      <c r="L1966" s="1">
        <v>241.0</v>
      </c>
      <c r="M1966" s="1">
        <v>2011.0</v>
      </c>
      <c r="N1966" s="1">
        <v>1978.0</v>
      </c>
      <c r="P1966" s="2">
        <v>45153.0</v>
      </c>
      <c r="Q1966" s="1" t="s">
        <v>32</v>
      </c>
      <c r="R1966" s="1" t="s">
        <v>8647</v>
      </c>
      <c r="S1966" s="1" t="s">
        <v>32</v>
      </c>
      <c r="W1966" s="1">
        <v>0.0</v>
      </c>
      <c r="X1966" s="1">
        <v>0.0</v>
      </c>
    </row>
    <row r="1967" spans="1:24" ht="15.75" customHeight="1">
      <c r="A1967" s="1">
        <v>2.0646768E7</v>
      </c>
      <c r="B1967" s="1" t="s">
        <v>8648</v>
      </c>
      <c r="C1967" s="1" t="s">
        <v>8649</v>
      </c>
      <c r="D1967" s="1" t="s">
        <v>8650</v>
      </c>
      <c r="E1967" s="1" t="s">
        <v>8651</v>
      </c>
      <c r="F1967" s="1" t="str">
        <f>"178168488X"</f>
        <v>178168488X</v>
      </c>
      <c r="G1967" s="1" t="str">
        <f>"9781781684887"</f>
        <v>9781781684887</v>
      </c>
      <c r="H1967" s="1">
        <v>0.0</v>
      </c>
      <c r="I1967" s="1">
        <v>4.15</v>
      </c>
      <c r="J1967" s="1" t="s">
        <v>367</v>
      </c>
      <c r="K1967" s="1" t="s">
        <v>29</v>
      </c>
      <c r="L1967" s="1">
        <v>273.0</v>
      </c>
      <c r="M1967" s="1">
        <v>2013.0</v>
      </c>
      <c r="N1967" s="1">
        <v>2010.0</v>
      </c>
      <c r="P1967" s="2">
        <v>43048.0</v>
      </c>
      <c r="Q1967" s="1" t="s">
        <v>32</v>
      </c>
      <c r="R1967" s="1" t="s">
        <v>8652</v>
      </c>
      <c r="S1967" s="1" t="s">
        <v>32</v>
      </c>
      <c r="W1967" s="1">
        <v>0.0</v>
      </c>
      <c r="X1967" s="1">
        <v>0.0</v>
      </c>
    </row>
    <row r="1968" spans="1:24" ht="15.75" customHeight="1">
      <c r="A1968" s="1">
        <v>5.3066001E7</v>
      </c>
      <c r="B1968" s="1" t="s">
        <v>8653</v>
      </c>
      <c r="C1968" s="1" t="s">
        <v>8654</v>
      </c>
      <c r="D1968" s="1" t="s">
        <v>8655</v>
      </c>
      <c r="E1968" s="1" t="s">
        <v>8656</v>
      </c>
      <c r="F1968" s="1" t="str">
        <f t="shared" si="145" ref="F1968:G1968">""</f>
        <v/>
      </c>
      <c r="G1968" s="1" t="str">
        <f t="shared" si="145"/>
        <v/>
      </c>
      <c r="H1968" s="1">
        <v>0.0</v>
      </c>
      <c r="I1968" s="1">
        <v>4.2</v>
      </c>
      <c r="J1968" s="1" t="s">
        <v>8657</v>
      </c>
      <c r="K1968" s="1" t="s">
        <v>29</v>
      </c>
      <c r="L1968" s="1">
        <v>207.0</v>
      </c>
      <c r="M1968" s="1">
        <v>2020.0</v>
      </c>
      <c r="N1968" s="1">
        <v>2020.0</v>
      </c>
      <c r="P1968" s="2">
        <v>44198.0</v>
      </c>
      <c r="Q1968" s="1" t="s">
        <v>32</v>
      </c>
      <c r="R1968" s="1" t="s">
        <v>8658</v>
      </c>
      <c r="S1968" s="1" t="s">
        <v>32</v>
      </c>
      <c r="W1968" s="1">
        <v>0.0</v>
      </c>
      <c r="X1968" s="1">
        <v>0.0</v>
      </c>
    </row>
    <row r="1969" spans="1:24" ht="15.75" customHeight="1">
      <c r="A1969" s="1">
        <v>2.8686813E7</v>
      </c>
      <c r="B1969" s="1" t="s">
        <v>8659</v>
      </c>
      <c r="C1969" s="1" t="s">
        <v>8660</v>
      </c>
      <c r="D1969" s="1" t="s">
        <v>8661</v>
      </c>
      <c r="F1969" s="1" t="str">
        <f>"1784784729"</f>
        <v>1784784729</v>
      </c>
      <c r="G1969" s="1" t="str">
        <f>"9781784784720"</f>
        <v>9781784784720</v>
      </c>
      <c r="H1969" s="1">
        <v>0.0</v>
      </c>
      <c r="I1969" s="1">
        <v>4.02</v>
      </c>
      <c r="J1969" s="1" t="s">
        <v>367</v>
      </c>
      <c r="K1969" s="1" t="s">
        <v>420</v>
      </c>
      <c r="L1969" s="1">
        <v>224.0</v>
      </c>
      <c r="M1969" s="1">
        <v>2016.0</v>
      </c>
      <c r="N1969" s="1">
        <v>2016.0</v>
      </c>
      <c r="P1969" s="3">
        <v>43038.0</v>
      </c>
      <c r="Q1969" s="1" t="s">
        <v>32</v>
      </c>
      <c r="R1969" s="1" t="s">
        <v>8662</v>
      </c>
      <c r="S1969" s="1" t="s">
        <v>32</v>
      </c>
      <c r="W1969" s="1">
        <v>0.0</v>
      </c>
      <c r="X1969" s="1">
        <v>0.0</v>
      </c>
    </row>
    <row r="1970" spans="1:24" ht="15.75" customHeight="1">
      <c r="A1970" s="1">
        <v>98994.0</v>
      </c>
      <c r="B1970" s="1" t="s">
        <v>8663</v>
      </c>
      <c r="C1970" s="1" t="s">
        <v>8664</v>
      </c>
      <c r="D1970" s="1" t="s">
        <v>8665</v>
      </c>
      <c r="E1970" s="1" t="s">
        <v>8666</v>
      </c>
      <c r="F1970" s="1" t="str">
        <f>"0312227302"</f>
        <v>0312227302</v>
      </c>
      <c r="G1970" s="1" t="str">
        <f>"9780312227302"</f>
        <v>9780312227302</v>
      </c>
      <c r="H1970" s="1">
        <v>0.0</v>
      </c>
      <c r="I1970" s="1">
        <v>4.02</v>
      </c>
      <c r="J1970" s="1" t="s">
        <v>2414</v>
      </c>
      <c r="K1970" s="1" t="s">
        <v>44</v>
      </c>
      <c r="L1970" s="1">
        <v>336.0</v>
      </c>
      <c r="M1970" s="1">
        <v>1999.0</v>
      </c>
      <c r="N1970" s="1">
        <v>1981.0</v>
      </c>
      <c r="P1970" s="2">
        <v>44222.0</v>
      </c>
      <c r="Q1970" s="1" t="s">
        <v>138</v>
      </c>
      <c r="R1970" s="1" t="s">
        <v>8667</v>
      </c>
      <c r="S1970" s="1" t="s">
        <v>32</v>
      </c>
      <c r="W1970" s="1">
        <v>0.0</v>
      </c>
      <c r="X1970" s="1">
        <v>0.0</v>
      </c>
    </row>
    <row r="1971" spans="1:24" ht="15.75" customHeight="1">
      <c r="A1971" s="1">
        <v>55236.0</v>
      </c>
      <c r="B1971" s="1" t="s">
        <v>8668</v>
      </c>
      <c r="C1971" s="1" t="s">
        <v>8669</v>
      </c>
      <c r="D1971" s="1" t="s">
        <v>8670</v>
      </c>
      <c r="F1971" s="1" t="str">
        <f>"0684718553"</f>
        <v>0684718553</v>
      </c>
      <c r="G1971" s="1" t="str">
        <f>"9780684718552"</f>
        <v>9780684718552</v>
      </c>
      <c r="H1971" s="1">
        <v>0.0</v>
      </c>
      <c r="I1971" s="1">
        <v>4.01</v>
      </c>
      <c r="J1971" s="1" t="s">
        <v>88</v>
      </c>
      <c r="K1971" s="1" t="s">
        <v>44</v>
      </c>
      <c r="L1971" s="1">
        <v>174.0</v>
      </c>
      <c r="M1971" s="1">
        <v>1985.0</v>
      </c>
      <c r="N1971" s="1">
        <v>1952.0</v>
      </c>
      <c r="P1971" s="2">
        <v>44928.0</v>
      </c>
      <c r="Q1971" s="1" t="s">
        <v>32</v>
      </c>
      <c r="R1971" s="1" t="s">
        <v>8671</v>
      </c>
      <c r="S1971" s="1" t="s">
        <v>32</v>
      </c>
      <c r="W1971" s="1">
        <v>0.0</v>
      </c>
      <c r="X1971" s="1">
        <v>0.0</v>
      </c>
    </row>
    <row r="1972" spans="1:24" ht="15.75" customHeight="1">
      <c r="A1972" s="1">
        <v>5739115.0</v>
      </c>
      <c r="B1972" s="1" t="s">
        <v>8672</v>
      </c>
      <c r="C1972" s="1" t="s">
        <v>8673</v>
      </c>
      <c r="D1972" s="1" t="s">
        <v>8674</v>
      </c>
      <c r="F1972" s="1" t="str">
        <f>"9684113943"</f>
        <v>9684113943</v>
      </c>
      <c r="G1972" s="1" t="str">
        <f>"9789684113947"</f>
        <v>9789684113947</v>
      </c>
      <c r="H1972" s="1">
        <v>0.0</v>
      </c>
      <c r="I1972" s="1">
        <v>3.91</v>
      </c>
      <c r="J1972" s="1" t="s">
        <v>8675</v>
      </c>
      <c r="K1972" s="1" t="s">
        <v>44</v>
      </c>
      <c r="L1972" s="1">
        <v>136.0</v>
      </c>
      <c r="M1972" s="1">
        <v>2018.0</v>
      </c>
      <c r="N1972" s="1">
        <v>2006.0</v>
      </c>
      <c r="P1972" s="2">
        <v>45318.0</v>
      </c>
      <c r="Q1972" s="1" t="s">
        <v>1739</v>
      </c>
      <c r="R1972" s="1" t="s">
        <v>8676</v>
      </c>
      <c r="S1972" s="1" t="s">
        <v>32</v>
      </c>
      <c r="W1972" s="1">
        <v>0.0</v>
      </c>
      <c r="X1972" s="1">
        <v>0.0</v>
      </c>
    </row>
    <row r="1973" spans="1:24" ht="15.75" customHeight="1">
      <c r="A1973" s="1">
        <v>1.7563146E7</v>
      </c>
      <c r="B1973" s="1" t="s">
        <v>8677</v>
      </c>
      <c r="C1973" s="1" t="s">
        <v>8678</v>
      </c>
      <c r="D1973" s="1" t="s">
        <v>8679</v>
      </c>
      <c r="F1973" s="1" t="str">
        <f>"9872074054"</f>
        <v>9872074054</v>
      </c>
      <c r="G1973" s="1" t="str">
        <f>"9789872074050"</f>
        <v>9789872074050</v>
      </c>
      <c r="H1973" s="1">
        <v>0.0</v>
      </c>
      <c r="I1973" s="1">
        <v>4.2</v>
      </c>
      <c r="J1973" s="1" t="s">
        <v>8680</v>
      </c>
      <c r="K1973" s="1" t="s">
        <v>44</v>
      </c>
      <c r="L1973" s="1">
        <v>182.0</v>
      </c>
      <c r="M1973" s="1">
        <v>2004.0</v>
      </c>
      <c r="N1973" s="1">
        <v>1964.0</v>
      </c>
      <c r="P1973" s="2">
        <v>43976.0</v>
      </c>
      <c r="Q1973" s="1" t="s">
        <v>32</v>
      </c>
      <c r="R1973" s="1" t="s">
        <v>8681</v>
      </c>
      <c r="S1973" s="1" t="s">
        <v>32</v>
      </c>
      <c r="W1973" s="1">
        <v>0.0</v>
      </c>
      <c r="X1973" s="1">
        <v>0.0</v>
      </c>
    </row>
    <row r="1974" spans="1:24" ht="15.75" customHeight="1">
      <c r="A1974" s="1">
        <v>211855.0</v>
      </c>
      <c r="B1974" s="1" t="s">
        <v>8682</v>
      </c>
      <c r="C1974" s="1" t="s">
        <v>8683</v>
      </c>
      <c r="D1974" s="1" t="s">
        <v>8684</v>
      </c>
      <c r="F1974" s="1" t="str">
        <f>"0715632752"</f>
        <v>0715632752</v>
      </c>
      <c r="G1974" s="1" t="str">
        <f>"9780715632758"</f>
        <v>9780715632758</v>
      </c>
      <c r="H1974" s="1">
        <v>0.0</v>
      </c>
      <c r="I1974" s="1">
        <v>3.88</v>
      </c>
      <c r="J1974" s="1" t="s">
        <v>8685</v>
      </c>
      <c r="K1974" s="1" t="s">
        <v>44</v>
      </c>
      <c r="L1974" s="1">
        <v>121.0</v>
      </c>
      <c r="M1974" s="1">
        <v>2004.0</v>
      </c>
      <c r="N1974" s="1">
        <v>1938.0</v>
      </c>
      <c r="P1974" s="2">
        <v>41763.0</v>
      </c>
      <c r="Q1974" s="1" t="s">
        <v>32</v>
      </c>
      <c r="R1974" s="1" t="s">
        <v>8686</v>
      </c>
      <c r="S1974" s="1" t="s">
        <v>32</v>
      </c>
      <c r="W1974" s="1">
        <v>0.0</v>
      </c>
      <c r="X1974" s="1">
        <v>0.0</v>
      </c>
    </row>
    <row r="1975" spans="1:24" ht="15.75" customHeight="1">
      <c r="A1975" s="1">
        <v>337521.0</v>
      </c>
      <c r="B1975" s="1" t="s">
        <v>8687</v>
      </c>
      <c r="C1975" s="1" t="s">
        <v>8688</v>
      </c>
      <c r="D1975" s="1" t="s">
        <v>8689</v>
      </c>
      <c r="F1975" s="1" t="str">
        <f>"0801822181"</f>
        <v>0801822181</v>
      </c>
      <c r="G1975" s="1" t="str">
        <f>"9780801822186"</f>
        <v>9780801822186</v>
      </c>
      <c r="H1975" s="1">
        <v>0.0</v>
      </c>
      <c r="I1975" s="1">
        <v>4.15</v>
      </c>
      <c r="J1975" s="1" t="s">
        <v>3116</v>
      </c>
      <c r="K1975" s="1" t="s">
        <v>44</v>
      </c>
      <c r="L1975" s="1">
        <v>352.0</v>
      </c>
      <c r="M1975" s="1">
        <v>1979.0</v>
      </c>
      <c r="N1975" s="1">
        <v>1972.0</v>
      </c>
      <c r="P1975" s="2">
        <v>43952.0</v>
      </c>
      <c r="Q1975" s="1" t="s">
        <v>32</v>
      </c>
      <c r="R1975" s="1" t="s">
        <v>8690</v>
      </c>
      <c r="S1975" s="1" t="s">
        <v>32</v>
      </c>
      <c r="W1975" s="1">
        <v>0.0</v>
      </c>
      <c r="X1975" s="1">
        <v>0.0</v>
      </c>
    </row>
    <row r="1976" spans="1:24" ht="15.75" customHeight="1">
      <c r="A1976" s="29">
        <v>424128.0</v>
      </c>
      <c r="B1976" s="29" t="s">
        <v>8691</v>
      </c>
      <c r="C1976" s="29" t="s">
        <v>8692</v>
      </c>
      <c r="D1976" s="29" t="s">
        <v>8693</v>
      </c>
      <c r="E1976" s="29" t="s">
        <v>8694</v>
      </c>
      <c r="F1976" s="29" t="str">
        <f>"0900588780"</f>
        <v>0900588780</v>
      </c>
      <c r="G1976" s="29" t="str">
        <f>"9780900588785"</f>
        <v>9780900588785</v>
      </c>
      <c r="H1976" s="29">
        <v>0.0</v>
      </c>
      <c r="I1976" s="29">
        <v>4.26</v>
      </c>
      <c r="J1976" s="29" t="s">
        <v>8695</v>
      </c>
      <c r="K1976" s="29" t="s">
        <v>37</v>
      </c>
      <c r="L1976" s="29">
        <v>476.0</v>
      </c>
      <c r="M1976" s="29">
        <v>2004.0</v>
      </c>
      <c r="N1976" s="29">
        <v>1962.0</v>
      </c>
      <c r="O1976" s="30"/>
      <c r="P1976" s="31">
        <v>45169.0</v>
      </c>
      <c r="Q1976" s="32" t="s">
        <v>8598</v>
      </c>
      <c r="R1976" s="29" t="s">
        <v>8696</v>
      </c>
      <c r="S1976" s="29" t="s">
        <v>32</v>
      </c>
      <c r="T1976" s="30"/>
      <c r="U1976" s="30"/>
      <c r="V1976" s="30"/>
      <c r="W1976" s="29">
        <v>0.0</v>
      </c>
      <c r="X1976" s="29">
        <v>0.0</v>
      </c>
    </row>
    <row r="1977" spans="1:24" ht="15.75" customHeight="1">
      <c r="A1977" s="29">
        <v>424129.0</v>
      </c>
      <c r="B1977" s="29" t="s">
        <v>8697</v>
      </c>
      <c r="C1977" s="29" t="s">
        <v>8692</v>
      </c>
      <c r="D1977" s="29" t="s">
        <v>8693</v>
      </c>
      <c r="E1977" s="29" t="s">
        <v>8698</v>
      </c>
      <c r="F1977" s="29" t="str">
        <f>"0900588667"</f>
        <v>0900588667</v>
      </c>
      <c r="G1977" s="29" t="str">
        <f>"9780900588662"</f>
        <v>9780900588662</v>
      </c>
      <c r="H1977" s="29">
        <v>0.0</v>
      </c>
      <c r="I1977" s="29">
        <v>4.1</v>
      </c>
      <c r="J1977" s="29" t="s">
        <v>8695</v>
      </c>
      <c r="K1977" s="29" t="s">
        <v>37</v>
      </c>
      <c r="L1977" s="29">
        <v>168.0</v>
      </c>
      <c r="M1977" s="29">
        <v>2004.0</v>
      </c>
      <c r="N1977" s="29">
        <v>1931.0</v>
      </c>
      <c r="O1977" s="30"/>
      <c r="P1977" s="31">
        <v>45169.0</v>
      </c>
      <c r="Q1977" s="32" t="s">
        <v>8598</v>
      </c>
      <c r="R1977" s="29" t="s">
        <v>8699</v>
      </c>
      <c r="S1977" s="29" t="s">
        <v>32</v>
      </c>
      <c r="T1977" s="30"/>
      <c r="U1977" s="30"/>
      <c r="V1977" s="30"/>
      <c r="W1977" s="29">
        <v>0.0</v>
      </c>
      <c r="X1977" s="29">
        <v>0.0</v>
      </c>
    </row>
    <row r="1978" spans="1:24" ht="15.75" customHeight="1">
      <c r="A1978" s="29">
        <v>424125.0</v>
      </c>
      <c r="B1978" s="29" t="s">
        <v>8700</v>
      </c>
      <c r="C1978" s="29" t="s">
        <v>8692</v>
      </c>
      <c r="D1978" s="29" t="s">
        <v>8693</v>
      </c>
      <c r="E1978" s="29" t="s">
        <v>8701</v>
      </c>
      <c r="F1978" s="29" t="str">
        <f>"0900588241"</f>
        <v>0900588241</v>
      </c>
      <c r="G1978" s="29" t="str">
        <f>"9780900588242"</f>
        <v>9780900588242</v>
      </c>
      <c r="H1978" s="29">
        <v>0.0</v>
      </c>
      <c r="I1978" s="29">
        <v>4.13</v>
      </c>
      <c r="J1978" s="29" t="s">
        <v>7705</v>
      </c>
      <c r="K1978" s="29" t="s">
        <v>44</v>
      </c>
      <c r="L1978" s="29">
        <v>136.0</v>
      </c>
      <c r="M1978" s="29">
        <v>2004.0</v>
      </c>
      <c r="N1978" s="29">
        <v>1927.0</v>
      </c>
      <c r="O1978" s="30"/>
      <c r="P1978" s="31">
        <v>45169.0</v>
      </c>
      <c r="Q1978" s="32" t="s">
        <v>8598</v>
      </c>
      <c r="R1978" s="29" t="s">
        <v>8702</v>
      </c>
      <c r="S1978" s="29" t="s">
        <v>32</v>
      </c>
      <c r="T1978" s="30"/>
      <c r="U1978" s="30"/>
      <c r="V1978" s="30"/>
      <c r="W1978" s="29">
        <v>0.0</v>
      </c>
      <c r="X1978" s="29">
        <v>0.0</v>
      </c>
    </row>
    <row r="1979" spans="1:24" ht="15.75" customHeight="1">
      <c r="A1979" s="1">
        <v>1.8008379E7</v>
      </c>
      <c r="B1979" s="1" t="s">
        <v>8703</v>
      </c>
      <c r="C1979" s="1" t="s">
        <v>8704</v>
      </c>
      <c r="D1979" s="1" t="s">
        <v>8705</v>
      </c>
      <c r="F1979" s="1" t="str">
        <f>"0989015505"</f>
        <v>0989015505</v>
      </c>
      <c r="G1979" s="1" t="str">
        <f>"9780989015509"</f>
        <v>9780989015509</v>
      </c>
      <c r="H1979" s="1">
        <v>0.0</v>
      </c>
      <c r="I1979" s="1">
        <v>4.11</v>
      </c>
      <c r="J1979" s="1" t="s">
        <v>8706</v>
      </c>
      <c r="K1979" s="1" t="s">
        <v>44</v>
      </c>
      <c r="L1979" s="1">
        <v>140.0</v>
      </c>
      <c r="M1979" s="1">
        <v>2013.0</v>
      </c>
      <c r="N1979" s="1">
        <v>2013.0</v>
      </c>
      <c r="P1979" s="2">
        <v>45180.0</v>
      </c>
      <c r="Q1979" s="1" t="s">
        <v>32</v>
      </c>
      <c r="R1979" s="1" t="s">
        <v>8707</v>
      </c>
      <c r="S1979" s="1" t="s">
        <v>32</v>
      </c>
      <c r="W1979" s="1">
        <v>0.0</v>
      </c>
      <c r="X1979" s="1">
        <v>0.0</v>
      </c>
    </row>
    <row r="1980" spans="1:24" ht="15.75" customHeight="1">
      <c r="A1980" s="1">
        <v>200299.0</v>
      </c>
      <c r="B1980" s="1" t="s">
        <v>8708</v>
      </c>
      <c r="C1980" s="1" t="s">
        <v>8709</v>
      </c>
      <c r="D1980" s="1" t="s">
        <v>8710</v>
      </c>
      <c r="F1980" s="1" t="str">
        <f>"9871136218"</f>
        <v>9871136218</v>
      </c>
      <c r="G1980" s="1" t="str">
        <f>"9789871136216"</f>
        <v>9789871136216</v>
      </c>
      <c r="H1980" s="1">
        <v>0.0</v>
      </c>
      <c r="I1980" s="1">
        <v>3.61</v>
      </c>
      <c r="J1980" s="1" t="s">
        <v>8711</v>
      </c>
      <c r="K1980" s="1" t="s">
        <v>44</v>
      </c>
      <c r="L1980" s="1">
        <v>172.0</v>
      </c>
      <c r="M1980" s="1">
        <v>2004.0</v>
      </c>
      <c r="N1980" s="1">
        <v>1926.0</v>
      </c>
      <c r="P1980" s="2">
        <v>43976.0</v>
      </c>
      <c r="Q1980" s="1" t="s">
        <v>502</v>
      </c>
      <c r="R1980" s="1" t="s">
        <v>8712</v>
      </c>
      <c r="S1980" s="1" t="s">
        <v>32</v>
      </c>
      <c r="W1980" s="1">
        <v>0.0</v>
      </c>
      <c r="X1980" s="1">
        <v>0.0</v>
      </c>
    </row>
    <row r="1981" spans="1:24" ht="15.75" customHeight="1">
      <c r="A1981" s="1">
        <v>5.6591449E7</v>
      </c>
      <c r="B1981" s="1" t="s">
        <v>8713</v>
      </c>
      <c r="C1981" s="1" t="s">
        <v>8714</v>
      </c>
      <c r="D1981" s="1" t="s">
        <v>8715</v>
      </c>
      <c r="F1981" s="1" t="str">
        <f>"8433999168"</f>
        <v>8433999168</v>
      </c>
      <c r="G1981" s="1" t="str">
        <f>"9788433999160"</f>
        <v>9788433999160</v>
      </c>
      <c r="H1981" s="1">
        <v>0.0</v>
      </c>
      <c r="I1981" s="1">
        <v>4.29</v>
      </c>
      <c r="J1981" s="1" t="s">
        <v>275</v>
      </c>
      <c r="K1981" s="1" t="s">
        <v>44</v>
      </c>
      <c r="L1981" s="1">
        <v>832.0</v>
      </c>
      <c r="M1981" s="1">
        <v>2021.0</v>
      </c>
      <c r="N1981" s="1">
        <v>2021.0</v>
      </c>
      <c r="P1981" s="2">
        <v>44814.0</v>
      </c>
      <c r="Q1981" s="1" t="s">
        <v>383</v>
      </c>
      <c r="R1981" s="1" t="s">
        <v>8716</v>
      </c>
      <c r="S1981" s="1" t="s">
        <v>32</v>
      </c>
      <c r="W1981" s="1">
        <v>0.0</v>
      </c>
      <c r="X1981" s="1">
        <v>1.0</v>
      </c>
    </row>
    <row r="1982" spans="1:24" ht="15.75" customHeight="1">
      <c r="A1982" s="115">
        <v>1654.0</v>
      </c>
      <c r="B1982" s="115" t="s">
        <v>8717</v>
      </c>
      <c r="C1982" s="115" t="s">
        <v>8714</v>
      </c>
      <c r="D1982" s="115" t="s">
        <v>8715</v>
      </c>
      <c r="E1982" s="116"/>
      <c r="F1982" s="115" t="str">
        <f>"8433924621"</f>
        <v>8433924621</v>
      </c>
      <c r="G1982" s="115" t="str">
        <f>"9788433924629"</f>
        <v>9788433924629</v>
      </c>
      <c r="H1982" s="115">
        <v>0.0</v>
      </c>
      <c r="I1982" s="115">
        <v>3.78</v>
      </c>
      <c r="J1982" s="115" t="s">
        <v>6994</v>
      </c>
      <c r="K1982" s="115" t="s">
        <v>37</v>
      </c>
      <c r="L1982" s="115">
        <v>232.0</v>
      </c>
      <c r="M1982" s="115">
        <v>2000.0</v>
      </c>
      <c r="N1982" s="115">
        <v>1997.0</v>
      </c>
      <c r="O1982" s="116"/>
      <c r="P1982" s="117">
        <v>45235.0</v>
      </c>
      <c r="Q1982" s="118" t="s">
        <v>569</v>
      </c>
      <c r="R1982" s="115" t="s">
        <v>8718</v>
      </c>
      <c r="S1982" s="115" t="s">
        <v>32</v>
      </c>
      <c r="T1982" s="116"/>
      <c r="U1982" s="116"/>
      <c r="V1982" s="116"/>
      <c r="W1982" s="115">
        <v>0.0</v>
      </c>
      <c r="X1982" s="115">
        <v>0.0</v>
      </c>
    </row>
    <row r="1983" spans="1:24" ht="15.75" customHeight="1">
      <c r="A1983" s="115">
        <v>673628.0</v>
      </c>
      <c r="B1983" s="115" t="s">
        <v>8719</v>
      </c>
      <c r="C1983" s="115" t="s">
        <v>8714</v>
      </c>
      <c r="D1983" s="115" t="s">
        <v>8715</v>
      </c>
      <c r="E1983" s="116"/>
      <c r="F1983" s="115" t="str">
        <f>"8433924931"</f>
        <v>8433924931</v>
      </c>
      <c r="G1983" s="115" t="str">
        <f>"9788433924933"</f>
        <v>9788433924933</v>
      </c>
      <c r="H1983" s="115">
        <v>0.0</v>
      </c>
      <c r="I1983" s="115">
        <v>3.85</v>
      </c>
      <c r="J1983" s="115" t="s">
        <v>6994</v>
      </c>
      <c r="K1983" s="115" t="s">
        <v>37</v>
      </c>
      <c r="L1983" s="115">
        <v>192.0</v>
      </c>
      <c r="M1983" s="115">
        <v>2002.0</v>
      </c>
      <c r="N1983" s="115">
        <v>1975.0</v>
      </c>
      <c r="O1983" s="116"/>
      <c r="P1983" s="117">
        <v>44099.0</v>
      </c>
      <c r="Q1983" s="118" t="s">
        <v>569</v>
      </c>
      <c r="R1983" s="115" t="s">
        <v>8720</v>
      </c>
      <c r="S1983" s="115" t="s">
        <v>32</v>
      </c>
      <c r="T1983" s="116"/>
      <c r="U1983" s="116"/>
      <c r="V1983" s="116"/>
      <c r="W1983" s="115">
        <v>0.0</v>
      </c>
      <c r="X1983" s="115">
        <v>0.0</v>
      </c>
    </row>
    <row r="1984" spans="1:24" ht="15.75" customHeight="1">
      <c r="A1984" s="115">
        <v>1646.0</v>
      </c>
      <c r="B1984" s="115" t="s">
        <v>8721</v>
      </c>
      <c r="C1984" s="115" t="s">
        <v>8714</v>
      </c>
      <c r="D1984" s="115" t="s">
        <v>8715</v>
      </c>
      <c r="E1984" s="116"/>
      <c r="F1984" s="115" t="str">
        <f>"8433924710"</f>
        <v>8433924710</v>
      </c>
      <c r="G1984" s="115" t="str">
        <f>"9788433924711"</f>
        <v>9788433924711</v>
      </c>
      <c r="H1984" s="115">
        <v>0.0</v>
      </c>
      <c r="I1984" s="115">
        <v>3.98</v>
      </c>
      <c r="J1984" s="115" t="s">
        <v>275</v>
      </c>
      <c r="K1984" s="115" t="s">
        <v>44</v>
      </c>
      <c r="L1984" s="115">
        <v>224.0</v>
      </c>
      <c r="M1984" s="115">
        <v>2008.0</v>
      </c>
      <c r="N1984" s="115">
        <v>1980.0</v>
      </c>
      <c r="O1984" s="116"/>
      <c r="P1984" s="117">
        <v>43976.0</v>
      </c>
      <c r="Q1984" s="118" t="s">
        <v>569</v>
      </c>
      <c r="R1984" s="115" t="s">
        <v>8722</v>
      </c>
      <c r="S1984" s="115" t="s">
        <v>32</v>
      </c>
      <c r="T1984" s="116"/>
      <c r="U1984" s="116"/>
      <c r="V1984" s="116"/>
      <c r="W1984" s="115">
        <v>0.0</v>
      </c>
      <c r="X1984" s="115">
        <v>0.0</v>
      </c>
    </row>
    <row r="1985" spans="1:24" ht="15.75" customHeight="1">
      <c r="A1985" s="1">
        <v>1907054.0</v>
      </c>
      <c r="B1985" s="1" t="s">
        <v>8723</v>
      </c>
      <c r="C1985" s="1" t="s">
        <v>8724</v>
      </c>
      <c r="D1985" s="1" t="s">
        <v>8725</v>
      </c>
      <c r="F1985" s="1" t="str">
        <f>"0345466632"</f>
        <v>0345466632</v>
      </c>
      <c r="G1985" s="1" t="str">
        <f>"9780345466631"</f>
        <v>9780345466631</v>
      </c>
      <c r="H1985" s="1">
        <v>0.0</v>
      </c>
      <c r="I1985" s="1">
        <v>4.15</v>
      </c>
      <c r="J1985" s="1" t="s">
        <v>8726</v>
      </c>
      <c r="K1985" s="1" t="s">
        <v>1225</v>
      </c>
      <c r="L1985" s="1">
        <v>292.0</v>
      </c>
      <c r="M1985" s="1">
        <v>2003.0</v>
      </c>
      <c r="N1985" s="1">
        <v>2002.0</v>
      </c>
      <c r="P1985" s="2">
        <v>43595.0</v>
      </c>
      <c r="Q1985" s="1" t="s">
        <v>32</v>
      </c>
      <c r="R1985" s="1" t="s">
        <v>8727</v>
      </c>
      <c r="S1985" s="1" t="s">
        <v>32</v>
      </c>
      <c r="W1985" s="1">
        <v>0.0</v>
      </c>
      <c r="X1985" s="1">
        <v>0.0</v>
      </c>
    </row>
    <row r="1986" spans="1:24" ht="15.75" customHeight="1">
      <c r="A1986" s="1">
        <v>3641024.0</v>
      </c>
      <c r="B1986" s="1" t="s">
        <v>8728</v>
      </c>
      <c r="C1986" s="1" t="s">
        <v>8729</v>
      </c>
      <c r="D1986" s="1" t="s">
        <v>8730</v>
      </c>
      <c r="F1986" s="1" t="str">
        <f>"0195109449"</f>
        <v>0195109449</v>
      </c>
      <c r="G1986" s="1" t="str">
        <f>"9780195109443"</f>
        <v>9780195109443</v>
      </c>
      <c r="H1986" s="1">
        <v>0.0</v>
      </c>
      <c r="I1986" s="1">
        <v>3.5</v>
      </c>
      <c r="J1986" s="1" t="s">
        <v>181</v>
      </c>
      <c r="K1986" s="1" t="s">
        <v>37</v>
      </c>
      <c r="L1986" s="1">
        <v>382.0</v>
      </c>
      <c r="M1986" s="1">
        <v>1997.0</v>
      </c>
      <c r="N1986" s="1">
        <v>1988.0</v>
      </c>
      <c r="P1986" s="2">
        <v>45181.0</v>
      </c>
      <c r="Q1986" s="1" t="s">
        <v>249</v>
      </c>
      <c r="R1986" s="1" t="s">
        <v>8731</v>
      </c>
      <c r="S1986" s="1" t="s">
        <v>32</v>
      </c>
      <c r="W1986" s="1">
        <v>0.0</v>
      </c>
      <c r="X1986" s="1">
        <v>0.0</v>
      </c>
    </row>
    <row r="1987" spans="1:24" ht="15.75" customHeight="1">
      <c r="A1987" s="1">
        <v>46182.0</v>
      </c>
      <c r="B1987" s="1" t="s">
        <v>8732</v>
      </c>
      <c r="C1987" s="1" t="s">
        <v>8733</v>
      </c>
      <c r="D1987" s="1" t="s">
        <v>8734</v>
      </c>
      <c r="F1987" s="1" t="str">
        <f>"0099437597"</f>
        <v>0099437597</v>
      </c>
      <c r="G1987" s="1" t="str">
        <f>"9780099437598"</f>
        <v>9780099437598</v>
      </c>
      <c r="H1987" s="1">
        <v>0.0</v>
      </c>
      <c r="I1987" s="1">
        <v>3.79</v>
      </c>
      <c r="J1987" s="1" t="s">
        <v>8735</v>
      </c>
      <c r="K1987" s="1" t="s">
        <v>44</v>
      </c>
      <c r="L1987" s="1">
        <v>144.0</v>
      </c>
      <c r="M1987" s="1">
        <v>2002.0</v>
      </c>
      <c r="N1987" s="1">
        <v>1968.0</v>
      </c>
      <c r="P1987" s="3">
        <v>41575.0</v>
      </c>
      <c r="Q1987" s="1" t="s">
        <v>32</v>
      </c>
      <c r="R1987" s="1" t="s">
        <v>8736</v>
      </c>
      <c r="S1987" s="1" t="s">
        <v>32</v>
      </c>
      <c r="W1987" s="1">
        <v>0.0</v>
      </c>
      <c r="X1987" s="1">
        <v>0.0</v>
      </c>
    </row>
    <row r="1988" spans="1:24" ht="15.75" customHeight="1">
      <c r="A1988" s="1">
        <v>5.847087E7</v>
      </c>
      <c r="B1988" s="1" t="s">
        <v>8737</v>
      </c>
      <c r="C1988" s="1" t="s">
        <v>8738</v>
      </c>
      <c r="D1988" s="1" t="s">
        <v>8739</v>
      </c>
      <c r="F1988" s="1" t="str">
        <f>"0500518807"</f>
        <v>0500518807</v>
      </c>
      <c r="G1988" s="1" t="str">
        <f>"9780500518809"</f>
        <v>9780500518809</v>
      </c>
      <c r="H1988" s="1">
        <v>0.0</v>
      </c>
      <c r="I1988" s="1">
        <v>3.84</v>
      </c>
      <c r="J1988" s="1" t="s">
        <v>192</v>
      </c>
      <c r="K1988" s="1" t="s">
        <v>37</v>
      </c>
      <c r="L1988" s="1">
        <v>304.0</v>
      </c>
      <c r="M1988" s="1">
        <v>2022.0</v>
      </c>
      <c r="P1988" s="2">
        <v>45312.0</v>
      </c>
      <c r="Q1988" s="1" t="s">
        <v>2810</v>
      </c>
      <c r="R1988" s="1" t="s">
        <v>8740</v>
      </c>
      <c r="S1988" s="1" t="s">
        <v>32</v>
      </c>
      <c r="W1988" s="1">
        <v>0.0</v>
      </c>
      <c r="X1988" s="1">
        <v>0.0</v>
      </c>
    </row>
    <row r="1989" spans="1:24" ht="15.75" customHeight="1">
      <c r="A1989" s="1">
        <v>23520.0</v>
      </c>
      <c r="B1989" s="1" t="s">
        <v>8741</v>
      </c>
      <c r="C1989" s="1" t="s">
        <v>8738</v>
      </c>
      <c r="D1989" s="1" t="s">
        <v>8739</v>
      </c>
      <c r="F1989" s="1" t="str">
        <f>"0500251215"</f>
        <v>0500251215</v>
      </c>
      <c r="G1989" s="1" t="str">
        <f>"9780500251218"</f>
        <v>9780500251218</v>
      </c>
      <c r="H1989" s="1">
        <v>0.0</v>
      </c>
      <c r="I1989" s="1">
        <v>4.23</v>
      </c>
      <c r="J1989" s="1" t="s">
        <v>192</v>
      </c>
      <c r="K1989" s="1" t="s">
        <v>37</v>
      </c>
      <c r="L1989" s="1">
        <v>256.0</v>
      </c>
      <c r="M1989" s="1">
        <v>2004.0</v>
      </c>
      <c r="N1989" s="1">
        <v>2004.0</v>
      </c>
      <c r="P1989" s="2">
        <v>45120.0</v>
      </c>
      <c r="Q1989" s="1" t="s">
        <v>725</v>
      </c>
      <c r="R1989" s="1" t="s">
        <v>8742</v>
      </c>
      <c r="S1989" s="1" t="s">
        <v>32</v>
      </c>
      <c r="W1989" s="1">
        <v>0.0</v>
      </c>
      <c r="X1989" s="1">
        <v>0.0</v>
      </c>
    </row>
    <row r="1990" spans="1:24" ht="15.75" customHeight="1">
      <c r="A1990" s="1">
        <v>6361516.0</v>
      </c>
      <c r="B1990" s="1" t="s">
        <v>8743</v>
      </c>
      <c r="C1990" s="1" t="s">
        <v>8744</v>
      </c>
      <c r="D1990" s="1" t="s">
        <v>8745</v>
      </c>
      <c r="E1990" s="1" t="s">
        <v>3270</v>
      </c>
      <c r="F1990" s="1" t="str">
        <f>"1593501196"</f>
        <v>1593501196</v>
      </c>
      <c r="G1990" s="1" t="str">
        <f>"9781593501198"</f>
        <v>9781593501198</v>
      </c>
      <c r="H1990" s="1">
        <v>0.0</v>
      </c>
      <c r="I1990" s="1">
        <v>3.65</v>
      </c>
      <c r="J1990" s="1" t="s">
        <v>8746</v>
      </c>
      <c r="K1990" s="1" t="s">
        <v>44</v>
      </c>
      <c r="L1990" s="1">
        <v>342.0</v>
      </c>
      <c r="M1990" s="1">
        <v>2009.0</v>
      </c>
      <c r="N1990" s="1">
        <v>2009.0</v>
      </c>
      <c r="P1990" s="2">
        <v>44214.0</v>
      </c>
      <c r="Q1990" s="1" t="s">
        <v>1110</v>
      </c>
      <c r="R1990" s="1" t="s">
        <v>8747</v>
      </c>
      <c r="S1990" s="1" t="s">
        <v>32</v>
      </c>
      <c r="W1990" s="1">
        <v>0.0</v>
      </c>
      <c r="X1990" s="1">
        <v>0.0</v>
      </c>
    </row>
    <row r="1991" spans="1:24" ht="15.75" customHeight="1">
      <c r="A1991" s="1">
        <v>157076.0</v>
      </c>
      <c r="B1991" s="1" t="s">
        <v>8748</v>
      </c>
      <c r="C1991" s="1" t="s">
        <v>8749</v>
      </c>
      <c r="D1991" s="1" t="s">
        <v>8750</v>
      </c>
      <c r="E1991" s="1" t="s">
        <v>8751</v>
      </c>
      <c r="F1991" s="1" t="str">
        <f>"1599869691"</f>
        <v>1599869691</v>
      </c>
      <c r="G1991" s="1" t="str">
        <f>"9781599869698"</f>
        <v>9781599869698</v>
      </c>
      <c r="H1991" s="1">
        <v>0.0</v>
      </c>
      <c r="I1991" s="1">
        <v>3.94</v>
      </c>
      <c r="J1991" s="1" t="s">
        <v>8752</v>
      </c>
      <c r="K1991" s="1" t="s">
        <v>44</v>
      </c>
      <c r="L1991" s="1">
        <v>48.0</v>
      </c>
      <c r="M1991" s="1">
        <v>2006.0</v>
      </c>
      <c r="N1991" s="1">
        <v>1924.0</v>
      </c>
      <c r="P1991" s="2">
        <v>45150.0</v>
      </c>
      <c r="Q1991" s="1" t="s">
        <v>32</v>
      </c>
      <c r="R1991" s="1" t="s">
        <v>8753</v>
      </c>
      <c r="S1991" s="1" t="s">
        <v>32</v>
      </c>
      <c r="W1991" s="1">
        <v>0.0</v>
      </c>
      <c r="X1991" s="1">
        <v>0.0</v>
      </c>
    </row>
    <row r="1992" spans="1:24" ht="15.75" customHeight="1">
      <c r="A1992" s="1">
        <v>1098368.0</v>
      </c>
      <c r="B1992" s="1" t="s">
        <v>8754</v>
      </c>
      <c r="C1992" s="1" t="s">
        <v>8755</v>
      </c>
      <c r="D1992" s="1" t="s">
        <v>8756</v>
      </c>
      <c r="F1992" s="1" t="str">
        <f>"0415223768"</f>
        <v>0415223768</v>
      </c>
      <c r="G1992" s="1" t="str">
        <f>"9780415223768"</f>
        <v>9780415223768</v>
      </c>
      <c r="H1992" s="1">
        <v>0.0</v>
      </c>
      <c r="I1992" s="1">
        <v>3.67</v>
      </c>
      <c r="J1992" s="1" t="s">
        <v>280</v>
      </c>
      <c r="K1992" s="1" t="s">
        <v>44</v>
      </c>
      <c r="M1992" s="1">
        <v>2001.0</v>
      </c>
      <c r="N1992" s="1">
        <v>2001.0</v>
      </c>
      <c r="P1992" s="2">
        <v>43926.0</v>
      </c>
      <c r="Q1992" s="1" t="s">
        <v>1110</v>
      </c>
      <c r="R1992" s="1" t="s">
        <v>8757</v>
      </c>
      <c r="S1992" s="1" t="s">
        <v>32</v>
      </c>
      <c r="W1992" s="1">
        <v>0.0</v>
      </c>
      <c r="X1992" s="1">
        <v>0.0</v>
      </c>
    </row>
    <row r="1993" spans="1:24" ht="15.75" customHeight="1">
      <c r="A1993" s="1">
        <v>6.2890952E7</v>
      </c>
      <c r="B1993" s="1" t="s">
        <v>8758</v>
      </c>
      <c r="C1993" s="1" t="s">
        <v>8759</v>
      </c>
      <c r="D1993" s="1" t="s">
        <v>8760</v>
      </c>
      <c r="E1993" s="1" t="s">
        <v>8759</v>
      </c>
      <c r="F1993" s="1" t="str">
        <f>"8418681144"</f>
        <v>8418681144</v>
      </c>
      <c r="G1993" s="1" t="str">
        <f>"9788418681141"</f>
        <v>9788418681141</v>
      </c>
      <c r="H1993" s="1">
        <v>0.0</v>
      </c>
      <c r="I1993" s="1">
        <v>3.83</v>
      </c>
      <c r="J1993" s="1" t="s">
        <v>8761</v>
      </c>
      <c r="K1993" s="1" t="s">
        <v>44</v>
      </c>
      <c r="L1993" s="1">
        <v>400.0</v>
      </c>
      <c r="M1993" s="1">
        <v>2022.0</v>
      </c>
      <c r="P1993" s="2">
        <v>45113.0</v>
      </c>
      <c r="Q1993" s="1" t="s">
        <v>8762</v>
      </c>
      <c r="R1993" s="1" t="s">
        <v>8763</v>
      </c>
      <c r="S1993" s="1" t="s">
        <v>32</v>
      </c>
      <c r="W1993" s="1">
        <v>0.0</v>
      </c>
      <c r="X1993" s="1">
        <v>0.0</v>
      </c>
    </row>
    <row r="1994" spans="1:24" ht="15.75" customHeight="1">
      <c r="A1994" s="1">
        <v>1.7905709E7</v>
      </c>
      <c r="B1994" s="1" t="s">
        <v>8764</v>
      </c>
      <c r="C1994" s="1" t="s">
        <v>8765</v>
      </c>
      <c r="D1994" s="1" t="s">
        <v>8766</v>
      </c>
      <c r="F1994" s="1" t="str">
        <f t="shared" si="146" ref="F1994:G1994">""</f>
        <v/>
      </c>
      <c r="G1994" s="1" t="str">
        <f t="shared" si="146"/>
        <v/>
      </c>
      <c r="H1994" s="1">
        <v>0.0</v>
      </c>
      <c r="I1994" s="1">
        <v>4.03</v>
      </c>
      <c r="J1994" s="1" t="s">
        <v>8767</v>
      </c>
      <c r="K1994" s="1" t="s">
        <v>44</v>
      </c>
      <c r="L1994" s="1">
        <v>467.0</v>
      </c>
      <c r="M1994" s="1">
        <v>2013.0</v>
      </c>
      <c r="N1994" s="1">
        <v>2013.0</v>
      </c>
      <c r="P1994" s="2">
        <v>45111.0</v>
      </c>
      <c r="Q1994" s="1" t="s">
        <v>261</v>
      </c>
      <c r="R1994" s="1" t="s">
        <v>8768</v>
      </c>
      <c r="S1994" s="1" t="s">
        <v>32</v>
      </c>
      <c r="W1994" s="1">
        <v>0.0</v>
      </c>
      <c r="X1994" s="1">
        <v>0.0</v>
      </c>
    </row>
    <row r="1995" spans="1:24" ht="15.75" customHeight="1">
      <c r="A1995" s="1">
        <v>1.8006759E7</v>
      </c>
      <c r="B1995" s="1" t="s">
        <v>8769</v>
      </c>
      <c r="C1995" s="1" t="s">
        <v>8770</v>
      </c>
      <c r="D1995" s="1" t="s">
        <v>8771</v>
      </c>
      <c r="E1995" s="1" t="s">
        <v>8772</v>
      </c>
      <c r="F1995" s="1" t="str">
        <f>"0984649786"</f>
        <v>0984649786</v>
      </c>
      <c r="G1995" s="1" t="str">
        <f>"9780984649785"</f>
        <v>9780984649785</v>
      </c>
      <c r="H1995" s="1">
        <v>0.0</v>
      </c>
      <c r="I1995" s="1">
        <v>0.0</v>
      </c>
      <c r="J1995" s="1" t="s">
        <v>8773</v>
      </c>
      <c r="K1995" s="1" t="s">
        <v>44</v>
      </c>
      <c r="L1995" s="1">
        <v>144.0</v>
      </c>
      <c r="M1995" s="1">
        <v>2014.0</v>
      </c>
      <c r="N1995" s="1">
        <v>2014.0</v>
      </c>
      <c r="P1995" s="2">
        <v>44205.0</v>
      </c>
      <c r="Q1995" s="1" t="s">
        <v>32</v>
      </c>
      <c r="R1995" s="1" t="s">
        <v>8774</v>
      </c>
      <c r="S1995" s="1" t="s">
        <v>32</v>
      </c>
      <c r="W1995" s="1">
        <v>0.0</v>
      </c>
      <c r="X1995" s="1">
        <v>0.0</v>
      </c>
    </row>
    <row r="1996" spans="1:24" ht="15.75" customHeight="1">
      <c r="A1996" s="1">
        <v>5520664.0</v>
      </c>
      <c r="B1996" s="1" t="s">
        <v>8775</v>
      </c>
      <c r="C1996" s="1" t="s">
        <v>8776</v>
      </c>
      <c r="D1996" s="1" t="s">
        <v>8777</v>
      </c>
      <c r="F1996" s="1" t="str">
        <f>"0520020235"</f>
        <v>0520020235</v>
      </c>
      <c r="G1996" s="1" t="str">
        <f>"9780520020238"</f>
        <v>9780520020238</v>
      </c>
      <c r="H1996" s="1">
        <v>0.0</v>
      </c>
      <c r="I1996" s="1">
        <v>3.54</v>
      </c>
      <c r="J1996" s="1" t="s">
        <v>8778</v>
      </c>
      <c r="K1996" s="1" t="s">
        <v>37</v>
      </c>
      <c r="L1996" s="1">
        <v>458.0</v>
      </c>
      <c r="M1996" s="1">
        <v>1972.0</v>
      </c>
      <c r="N1996" s="1">
        <v>1972.0</v>
      </c>
      <c r="P1996" s="2">
        <v>45300.0</v>
      </c>
      <c r="Q1996" s="1" t="s">
        <v>30</v>
      </c>
      <c r="R1996" s="1" t="s">
        <v>8779</v>
      </c>
      <c r="S1996" s="1" t="s">
        <v>32</v>
      </c>
      <c r="W1996" s="1">
        <v>0.0</v>
      </c>
      <c r="X1996" s="1">
        <v>0.0</v>
      </c>
    </row>
    <row r="1997" spans="1:24" ht="15.75" customHeight="1">
      <c r="A1997" s="1">
        <v>1270813.0</v>
      </c>
      <c r="B1997" s="1" t="s">
        <v>8780</v>
      </c>
      <c r="C1997" s="1" t="s">
        <v>8781</v>
      </c>
      <c r="D1997" s="1" t="s">
        <v>8782</v>
      </c>
      <c r="F1997" s="1" t="str">
        <f>"0486210790"</f>
        <v>0486210790</v>
      </c>
      <c r="G1997" s="1" t="str">
        <f>"9780486210797"</f>
        <v>9780486210797</v>
      </c>
      <c r="H1997" s="1">
        <v>0.0</v>
      </c>
      <c r="I1997" s="1">
        <v>4.12</v>
      </c>
      <c r="J1997" s="1" t="s">
        <v>910</v>
      </c>
      <c r="K1997" s="1" t="s">
        <v>44</v>
      </c>
      <c r="L1997" s="1">
        <v>563.0</v>
      </c>
      <c r="M1997" s="1">
        <v>1963.0</v>
      </c>
      <c r="N1997" s="1">
        <v>1899.0</v>
      </c>
      <c r="P1997" s="2">
        <v>45141.0</v>
      </c>
      <c r="Q1997" s="1" t="s">
        <v>32</v>
      </c>
      <c r="R1997" s="1" t="s">
        <v>8783</v>
      </c>
      <c r="S1997" s="1" t="s">
        <v>32</v>
      </c>
      <c r="W1997" s="1">
        <v>0.0</v>
      </c>
      <c r="X1997" s="1">
        <v>0.0</v>
      </c>
    </row>
    <row r="1998" spans="1:24" ht="15.75" customHeight="1">
      <c r="A1998" s="1">
        <v>241061.0</v>
      </c>
      <c r="B1998" s="1" t="s">
        <v>8784</v>
      </c>
      <c r="C1998" s="1" t="s">
        <v>8785</v>
      </c>
      <c r="D1998" s="1" t="s">
        <v>8786</v>
      </c>
      <c r="F1998" s="1" t="str">
        <f>"0674654617"</f>
        <v>0674654617</v>
      </c>
      <c r="G1998" s="1" t="str">
        <f>"9780674654617"</f>
        <v>9780674654617</v>
      </c>
      <c r="H1998" s="1">
        <v>0.0</v>
      </c>
      <c r="I1998" s="1">
        <v>4.16</v>
      </c>
      <c r="J1998" s="1" t="s">
        <v>2273</v>
      </c>
      <c r="K1998" s="1" t="s">
        <v>44</v>
      </c>
      <c r="L1998" s="1">
        <v>346.0</v>
      </c>
      <c r="M1998" s="1">
        <v>1996.0</v>
      </c>
      <c r="N1998" s="1">
        <v>1964.0</v>
      </c>
      <c r="P1998" s="2">
        <v>45173.0</v>
      </c>
      <c r="Q1998" s="1" t="s">
        <v>553</v>
      </c>
      <c r="R1998" s="1" t="s">
        <v>8787</v>
      </c>
      <c r="S1998" s="1" t="s">
        <v>32</v>
      </c>
      <c r="W1998" s="1">
        <v>0.0</v>
      </c>
      <c r="X1998" s="1">
        <v>0.0</v>
      </c>
    </row>
    <row r="1999" spans="1:24" ht="15.75" customHeight="1">
      <c r="A1999" s="1">
        <v>582067.0</v>
      </c>
      <c r="B1999" s="1" t="s">
        <v>8788</v>
      </c>
      <c r="C1999" s="1" t="s">
        <v>8785</v>
      </c>
      <c r="D1999" s="1" t="s">
        <v>8786</v>
      </c>
      <c r="F1999" s="1" t="str">
        <f>"0394703170"</f>
        <v>0394703170</v>
      </c>
      <c r="G1999" s="1" t="str">
        <f>"9780394703176"</f>
        <v>9780394703176</v>
      </c>
      <c r="H1999" s="1">
        <v>0.0</v>
      </c>
      <c r="I1999" s="1">
        <v>4.12</v>
      </c>
      <c r="J1999" s="1" t="s">
        <v>69</v>
      </c>
      <c r="K1999" s="1" t="s">
        <v>44</v>
      </c>
      <c r="L1999" s="1">
        <v>434.0</v>
      </c>
      <c r="M1999" s="1">
        <v>1964.0</v>
      </c>
      <c r="N1999" s="1">
        <v>1963.0</v>
      </c>
      <c r="P1999" s="2">
        <v>44107.0</v>
      </c>
      <c r="Q1999" s="1" t="s">
        <v>32</v>
      </c>
      <c r="R1999" s="1" t="s">
        <v>8789</v>
      </c>
      <c r="S1999" s="1" t="s">
        <v>32</v>
      </c>
      <c r="W1999" s="1">
        <v>0.0</v>
      </c>
      <c r="X1999" s="1">
        <v>0.0</v>
      </c>
    </row>
    <row r="2000" spans="1:24" ht="15.75" customHeight="1">
      <c r="A2000" s="1">
        <v>2.5938081E7</v>
      </c>
      <c r="B2000" s="1" t="s">
        <v>8790</v>
      </c>
      <c r="C2000" s="1" t="s">
        <v>8791</v>
      </c>
      <c r="D2000" s="1" t="s">
        <v>8792</v>
      </c>
      <c r="F2000" s="1" t="str">
        <f>"1782116281"</f>
        <v>1782116281</v>
      </c>
      <c r="G2000" s="1" t="str">
        <f>"9781782116288"</f>
        <v>9781782116288</v>
      </c>
      <c r="H2000" s="1">
        <v>0.0</v>
      </c>
      <c r="I2000" s="1">
        <v>3.88</v>
      </c>
      <c r="J2000" s="1" t="s">
        <v>8793</v>
      </c>
      <c r="K2000" s="1" t="s">
        <v>44</v>
      </c>
      <c r="L2000" s="1">
        <v>98.0</v>
      </c>
      <c r="M2000" s="1">
        <v>2015.0</v>
      </c>
      <c r="N2000" s="1">
        <v>2002.0</v>
      </c>
      <c r="P2000" s="2">
        <v>43919.0</v>
      </c>
      <c r="Q2000" s="1" t="s">
        <v>32</v>
      </c>
      <c r="R2000" s="1" t="s">
        <v>8794</v>
      </c>
      <c r="S2000" s="1" t="s">
        <v>32</v>
      </c>
      <c r="W2000" s="1">
        <v>0.0</v>
      </c>
      <c r="X2000" s="1">
        <v>0.0</v>
      </c>
    </row>
    <row r="2001" spans="1:24" ht="15.75" customHeight="1">
      <c r="A2001" s="1">
        <v>1.7847528E7</v>
      </c>
      <c r="B2001" s="1" t="s">
        <v>8795</v>
      </c>
      <c r="C2001" s="1" t="s">
        <v>8796</v>
      </c>
      <c r="D2001" s="1" t="s">
        <v>8797</v>
      </c>
      <c r="F2001" s="1" t="str">
        <f>"0199957975"</f>
        <v>0199957975</v>
      </c>
      <c r="G2001" s="1" t="str">
        <f>"9780199957972"</f>
        <v>9780199957972</v>
      </c>
      <c r="H2001" s="1">
        <v>0.0</v>
      </c>
      <c r="I2001" s="1">
        <v>3.86</v>
      </c>
      <c r="J2001" s="1" t="s">
        <v>181</v>
      </c>
      <c r="K2001" s="1" t="s">
        <v>37</v>
      </c>
      <c r="L2001" s="1">
        <v>376.0</v>
      </c>
      <c r="M2001" s="1">
        <v>2013.0</v>
      </c>
      <c r="N2001" s="1">
        <v>2013.0</v>
      </c>
      <c r="P2001" s="3">
        <v>41623.0</v>
      </c>
      <c r="Q2001" s="1" t="s">
        <v>32</v>
      </c>
      <c r="R2001" s="1" t="s">
        <v>8798</v>
      </c>
      <c r="S2001" s="1" t="s">
        <v>32</v>
      </c>
      <c r="W2001" s="1">
        <v>0.0</v>
      </c>
      <c r="X2001" s="1">
        <v>0.0</v>
      </c>
    </row>
    <row r="2002" spans="1:24" ht="15.75" customHeight="1">
      <c r="A2002" s="1">
        <v>955663.0</v>
      </c>
      <c r="B2002" s="1" t="s">
        <v>8799</v>
      </c>
      <c r="C2002" s="1" t="s">
        <v>8800</v>
      </c>
      <c r="D2002" s="1" t="s">
        <v>8801</v>
      </c>
      <c r="F2002" s="1" t="str">
        <f>"0631224939"</f>
        <v>0631224939</v>
      </c>
      <c r="G2002" s="1" t="str">
        <f>"9780631224938"</f>
        <v>9780631224938</v>
      </c>
      <c r="H2002" s="1">
        <v>0.0</v>
      </c>
      <c r="I2002" s="1">
        <v>3.75</v>
      </c>
      <c r="J2002" s="1" t="s">
        <v>93</v>
      </c>
      <c r="K2002" s="1" t="s">
        <v>44</v>
      </c>
      <c r="L2002" s="1">
        <v>320.0</v>
      </c>
      <c r="M2002" s="1">
        <v>2010.0</v>
      </c>
      <c r="N2002" s="1">
        <v>1998.0</v>
      </c>
      <c r="P2002" s="3">
        <v>45224.0</v>
      </c>
      <c r="Q2002" s="1" t="s">
        <v>32</v>
      </c>
      <c r="R2002" s="1" t="s">
        <v>8802</v>
      </c>
      <c r="S2002" s="1" t="s">
        <v>32</v>
      </c>
      <c r="W2002" s="1">
        <v>0.0</v>
      </c>
      <c r="X2002" s="1">
        <v>0.0</v>
      </c>
    </row>
    <row r="2003" spans="1:24" ht="15.75" customHeight="1">
      <c r="A2003" s="1">
        <v>1.8877989E7</v>
      </c>
      <c r="B2003" s="1" t="s">
        <v>8803</v>
      </c>
      <c r="C2003" s="1" t="s">
        <v>8804</v>
      </c>
      <c r="D2003" s="1" t="s">
        <v>8805</v>
      </c>
      <c r="F2003" s="1" t="str">
        <f t="shared" si="147" ref="F2003:G2003">""</f>
        <v/>
      </c>
      <c r="G2003" s="1" t="str">
        <f t="shared" si="147"/>
        <v/>
      </c>
      <c r="H2003" s="1">
        <v>0.0</v>
      </c>
      <c r="I2003" s="1">
        <v>3.78</v>
      </c>
      <c r="J2003" s="1" t="s">
        <v>611</v>
      </c>
      <c r="K2003" s="1" t="s">
        <v>29</v>
      </c>
      <c r="L2003" s="1">
        <v>465.0</v>
      </c>
      <c r="M2003" s="1">
        <v>2012.0</v>
      </c>
      <c r="N2003" s="1">
        <v>2010.0</v>
      </c>
      <c r="P2003" s="2">
        <v>43952.0</v>
      </c>
      <c r="Q2003" s="1" t="s">
        <v>32</v>
      </c>
      <c r="R2003" s="1" t="s">
        <v>8806</v>
      </c>
      <c r="S2003" s="1" t="s">
        <v>32</v>
      </c>
      <c r="W2003" s="1">
        <v>0.0</v>
      </c>
      <c r="X2003" s="1">
        <v>0.0</v>
      </c>
    </row>
    <row r="2004" spans="1:24" ht="15.75" customHeight="1">
      <c r="A2004" s="1">
        <v>16884.0</v>
      </c>
      <c r="B2004" s="1" t="s">
        <v>8807</v>
      </c>
      <c r="C2004" s="1" t="s">
        <v>8808</v>
      </c>
      <c r="D2004" s="1" t="s">
        <v>8809</v>
      </c>
      <c r="F2004" s="1" t="str">
        <f>"0684813785"</f>
        <v>0684813785</v>
      </c>
      <c r="G2004" s="1" t="str">
        <f>"9780684813783"</f>
        <v>9780684813783</v>
      </c>
      <c r="H2004" s="1">
        <v>0.0</v>
      </c>
      <c r="I2004" s="1">
        <v>4.39</v>
      </c>
      <c r="J2004" s="1" t="s">
        <v>622</v>
      </c>
      <c r="K2004" s="1" t="s">
        <v>44</v>
      </c>
      <c r="L2004" s="1">
        <v>886.0</v>
      </c>
      <c r="M2004" s="1">
        <v>1995.0</v>
      </c>
      <c r="N2004" s="1">
        <v>1986.0</v>
      </c>
      <c r="P2004" s="3">
        <v>44165.0</v>
      </c>
      <c r="Q2004" s="1" t="s">
        <v>32</v>
      </c>
      <c r="R2004" s="1" t="s">
        <v>8810</v>
      </c>
      <c r="S2004" s="1" t="s">
        <v>32</v>
      </c>
      <c r="W2004" s="1">
        <v>0.0</v>
      </c>
      <c r="X2004" s="1">
        <v>0.0</v>
      </c>
    </row>
    <row r="2005" spans="1:24" ht="15.75" customHeight="1">
      <c r="A2005" s="1">
        <v>1037628.0</v>
      </c>
      <c r="B2005" s="1" t="s">
        <v>8811</v>
      </c>
      <c r="C2005" s="1" t="s">
        <v>8812</v>
      </c>
      <c r="D2005" s="1" t="s">
        <v>8813</v>
      </c>
      <c r="F2005" s="1" t="str">
        <f>"0415324882"</f>
        <v>0415324882</v>
      </c>
      <c r="G2005" s="1" t="str">
        <f>"9780415324885"</f>
        <v>9780415324885</v>
      </c>
      <c r="H2005" s="1">
        <v>0.0</v>
      </c>
      <c r="I2005" s="1">
        <v>3.76</v>
      </c>
      <c r="J2005" s="1" t="s">
        <v>280</v>
      </c>
      <c r="K2005" s="1" t="s">
        <v>44</v>
      </c>
      <c r="L2005" s="1">
        <v>177.0</v>
      </c>
      <c r="M2005" s="1">
        <v>2006.0</v>
      </c>
      <c r="N2005" s="1">
        <v>2006.0</v>
      </c>
      <c r="P2005" s="2">
        <v>45117.0</v>
      </c>
      <c r="Q2005" s="1" t="s">
        <v>725</v>
      </c>
      <c r="R2005" s="1" t="s">
        <v>8814</v>
      </c>
      <c r="S2005" s="1" t="s">
        <v>32</v>
      </c>
      <c r="W2005" s="1">
        <v>0.0</v>
      </c>
      <c r="X2005" s="1">
        <v>0.0</v>
      </c>
    </row>
    <row r="2006" spans="1:24" ht="15.75" customHeight="1">
      <c r="A2006" s="1">
        <v>3.0231789E7</v>
      </c>
      <c r="B2006" s="1" t="s">
        <v>8815</v>
      </c>
      <c r="C2006" s="1" t="s">
        <v>8816</v>
      </c>
      <c r="D2006" s="1" t="s">
        <v>8817</v>
      </c>
      <c r="F2006" s="1" t="str">
        <f>"0393353745"</f>
        <v>0393353745</v>
      </c>
      <c r="G2006" s="1" t="str">
        <f>"9780393353747"</f>
        <v>9780393353747</v>
      </c>
      <c r="H2006" s="1">
        <v>0.0</v>
      </c>
      <c r="I2006" s="1">
        <v>4.16</v>
      </c>
      <c r="J2006" s="1" t="s">
        <v>248</v>
      </c>
      <c r="K2006" s="1" t="s">
        <v>44</v>
      </c>
      <c r="L2006" s="1">
        <v>512.0</v>
      </c>
      <c r="M2006" s="1">
        <v>2017.0</v>
      </c>
      <c r="N2006" s="1">
        <v>1977.0</v>
      </c>
      <c r="P2006" s="2">
        <v>45183.0</v>
      </c>
      <c r="Q2006" s="1" t="s">
        <v>55</v>
      </c>
      <c r="R2006" s="1" t="s">
        <v>8818</v>
      </c>
      <c r="S2006" s="1" t="s">
        <v>32</v>
      </c>
      <c r="W2006" s="1">
        <v>0.0</v>
      </c>
      <c r="X2006" s="1">
        <v>0.0</v>
      </c>
    </row>
    <row r="2007" spans="1:24" ht="15.75" customHeight="1">
      <c r="A2007" s="1">
        <v>4.5319864E7</v>
      </c>
      <c r="B2007" s="1" t="s">
        <v>8819</v>
      </c>
      <c r="C2007" s="1" t="s">
        <v>8820</v>
      </c>
      <c r="D2007" s="1" t="s">
        <v>8821</v>
      </c>
      <c r="F2007" s="1" t="str">
        <f>"1999683382"</f>
        <v>1999683382</v>
      </c>
      <c r="G2007" s="1" t="str">
        <f>"9781999683382"</f>
        <v>9781999683382</v>
      </c>
      <c r="H2007" s="1">
        <v>0.0</v>
      </c>
      <c r="I2007" s="1">
        <v>4.01</v>
      </c>
      <c r="J2007" s="1" t="s">
        <v>8822</v>
      </c>
      <c r="K2007" s="1" t="s">
        <v>44</v>
      </c>
      <c r="L2007" s="1">
        <v>250.0</v>
      </c>
      <c r="M2007" s="1">
        <v>2019.0</v>
      </c>
      <c r="N2007" s="1">
        <v>2019.0</v>
      </c>
      <c r="P2007" s="2">
        <v>45323.0</v>
      </c>
      <c r="Q2007" s="1" t="s">
        <v>32</v>
      </c>
      <c r="R2007" s="1" t="s">
        <v>8823</v>
      </c>
      <c r="S2007" s="1" t="s">
        <v>32</v>
      </c>
      <c r="W2007" s="1">
        <v>0.0</v>
      </c>
      <c r="X2007" s="1">
        <v>0.0</v>
      </c>
    </row>
    <row r="2008" spans="1:24" ht="15.75" customHeight="1">
      <c r="A2008" s="1">
        <v>2.1532793E7</v>
      </c>
      <c r="B2008" s="1" t="s">
        <v>8824</v>
      </c>
      <c r="C2008" s="1" t="s">
        <v>8825</v>
      </c>
      <c r="D2008" s="1" t="s">
        <v>8826</v>
      </c>
      <c r="F2008" s="1" t="str">
        <f>"1556594771"</f>
        <v>1556594771</v>
      </c>
      <c r="G2008" s="1" t="str">
        <f>"9781556594779"</f>
        <v>9781556594779</v>
      </c>
      <c r="H2008" s="1">
        <v>5.0</v>
      </c>
      <c r="I2008" s="1">
        <v>4.15</v>
      </c>
      <c r="J2008" s="1" t="s">
        <v>448</v>
      </c>
      <c r="K2008" s="1" t="s">
        <v>44</v>
      </c>
      <c r="L2008" s="1">
        <v>49.0</v>
      </c>
      <c r="M2008" s="1">
        <v>2015.0</v>
      </c>
      <c r="N2008" s="1">
        <v>2015.0</v>
      </c>
      <c r="P2008" s="2">
        <v>44087.0</v>
      </c>
      <c r="Q2008" s="1" t="s">
        <v>848</v>
      </c>
      <c r="R2008" s="1" t="s">
        <v>8827</v>
      </c>
      <c r="S2008" s="1" t="s">
        <v>271</v>
      </c>
      <c r="W2008" s="1">
        <v>1.0</v>
      </c>
      <c r="X2008" s="1">
        <v>0.0</v>
      </c>
    </row>
    <row r="2009" spans="1:24" ht="15.75" customHeight="1">
      <c r="A2009" s="1">
        <v>96259.0</v>
      </c>
      <c r="B2009" s="1" t="s">
        <v>8828</v>
      </c>
      <c r="C2009" s="1" t="s">
        <v>8825</v>
      </c>
      <c r="D2009" s="1" t="s">
        <v>8826</v>
      </c>
      <c r="E2009" s="1" t="s">
        <v>8829</v>
      </c>
      <c r="F2009" s="1" t="str">
        <f>"0300107897"</f>
        <v>0300107897</v>
      </c>
      <c r="G2009" s="1" t="str">
        <f>"9780300107890"</f>
        <v>9780300107890</v>
      </c>
      <c r="H2009" s="1">
        <v>0.0</v>
      </c>
      <c r="I2009" s="1">
        <v>4.34</v>
      </c>
      <c r="J2009" s="1" t="s">
        <v>962</v>
      </c>
      <c r="K2009" s="1" t="s">
        <v>44</v>
      </c>
      <c r="L2009" s="1">
        <v>62.0</v>
      </c>
      <c r="M2009" s="1">
        <v>2005.0</v>
      </c>
      <c r="N2009" s="1">
        <v>2005.0</v>
      </c>
      <c r="P2009" s="2">
        <v>44100.0</v>
      </c>
      <c r="Q2009" s="1" t="s">
        <v>421</v>
      </c>
      <c r="R2009" s="1" t="s">
        <v>8830</v>
      </c>
      <c r="S2009" s="1" t="s">
        <v>32</v>
      </c>
      <c r="W2009" s="1">
        <v>0.0</v>
      </c>
      <c r="X2009" s="1">
        <v>0.0</v>
      </c>
    </row>
    <row r="2010" spans="1:24" ht="15.75" customHeight="1">
      <c r="A2010" s="1">
        <v>228630.0</v>
      </c>
      <c r="B2010" s="1" t="s">
        <v>8831</v>
      </c>
      <c r="C2010" s="1" t="s">
        <v>8832</v>
      </c>
      <c r="D2010" s="1" t="s">
        <v>8833</v>
      </c>
      <c r="E2010" s="1" t="s">
        <v>8834</v>
      </c>
      <c r="F2010" s="1" t="str">
        <f>"0060929782"</f>
        <v>0060929782</v>
      </c>
      <c r="G2010" s="1" t="str">
        <f>"9780060929787"</f>
        <v>9780060929787</v>
      </c>
      <c r="H2010" s="1">
        <v>0.0</v>
      </c>
      <c r="I2010" s="1">
        <v>4.08</v>
      </c>
      <c r="J2010" s="1" t="s">
        <v>397</v>
      </c>
      <c r="K2010" s="1" t="s">
        <v>44</v>
      </c>
      <c r="L2010" s="1">
        <v>419.0</v>
      </c>
      <c r="M2010" s="1">
        <v>1998.0</v>
      </c>
      <c r="N2010" s="1">
        <v>1945.0</v>
      </c>
      <c r="O2010" s="2">
        <v>41396.0</v>
      </c>
      <c r="P2010" s="2">
        <v>41346.0</v>
      </c>
      <c r="S2010" s="1" t="s">
        <v>271</v>
      </c>
      <c r="W2010" s="1">
        <v>1.0</v>
      </c>
      <c r="X2010" s="1">
        <v>0.0</v>
      </c>
    </row>
    <row r="2011" spans="1:24" ht="15.75" customHeight="1">
      <c r="A2011" s="1">
        <v>114475.0</v>
      </c>
      <c r="B2011" s="1" t="s">
        <v>8835</v>
      </c>
      <c r="C2011" s="1" t="s">
        <v>8836</v>
      </c>
      <c r="D2011" s="1" t="s">
        <v>8837</v>
      </c>
      <c r="F2011" s="1" t="str">
        <f>"0679722211"</f>
        <v>0679722211</v>
      </c>
      <c r="G2011" s="1" t="str">
        <f>"9780679722212"</f>
        <v>9780679722212</v>
      </c>
      <c r="H2011" s="1">
        <v>0.0</v>
      </c>
      <c r="I2011" s="1">
        <v>4.05</v>
      </c>
      <c r="J2011" s="1" t="s">
        <v>8838</v>
      </c>
      <c r="K2011" s="1" t="s">
        <v>44</v>
      </c>
      <c r="L2011" s="1">
        <v>230.0</v>
      </c>
      <c r="M2011" s="1">
        <v>1989.0</v>
      </c>
      <c r="N2011" s="1">
        <v>1962.0</v>
      </c>
      <c r="P2011" s="2">
        <v>44255.0</v>
      </c>
      <c r="Q2011" s="1" t="s">
        <v>127</v>
      </c>
      <c r="R2011" s="1" t="s">
        <v>8839</v>
      </c>
      <c r="S2011" s="1" t="s">
        <v>32</v>
      </c>
      <c r="W2011" s="1">
        <v>0.0</v>
      </c>
      <c r="X2011" s="1">
        <v>0.0</v>
      </c>
    </row>
    <row r="2012" spans="1:24" ht="15.75" customHeight="1">
      <c r="A2012" s="1">
        <v>5.8082217E7</v>
      </c>
      <c r="B2012" s="1" t="s">
        <v>8840</v>
      </c>
      <c r="C2012" s="1" t="s">
        <v>8841</v>
      </c>
      <c r="D2012" s="1" t="s">
        <v>8842</v>
      </c>
      <c r="F2012" s="1" t="str">
        <f>"0593320980"</f>
        <v>0593320980</v>
      </c>
      <c r="G2012" s="1" t="str">
        <f>"9780593320983"</f>
        <v>9780593320983</v>
      </c>
      <c r="H2012" s="1">
        <v>0.0</v>
      </c>
      <c r="I2012" s="1">
        <v>3.92</v>
      </c>
      <c r="J2012" s="1" t="s">
        <v>1397</v>
      </c>
      <c r="K2012" s="1" t="s">
        <v>37</v>
      </c>
      <c r="L2012" s="1">
        <v>80.0</v>
      </c>
      <c r="M2012" s="1">
        <v>2022.0</v>
      </c>
      <c r="N2012" s="1">
        <v>2022.0</v>
      </c>
      <c r="P2012" s="2">
        <v>44941.0</v>
      </c>
      <c r="Q2012" s="1" t="s">
        <v>421</v>
      </c>
      <c r="R2012" s="1" t="s">
        <v>8843</v>
      </c>
      <c r="S2012" s="1" t="s">
        <v>32</v>
      </c>
      <c r="W2012" s="1">
        <v>0.0</v>
      </c>
      <c r="X2012" s="1">
        <v>0.0</v>
      </c>
    </row>
    <row r="2013" spans="1:24" ht="15.75" customHeight="1">
      <c r="A2013" s="1">
        <v>6.0041102E7</v>
      </c>
      <c r="B2013" s="1" t="s">
        <v>8844</v>
      </c>
      <c r="C2013" s="1" t="s">
        <v>8845</v>
      </c>
      <c r="D2013" s="1" t="s">
        <v>8846</v>
      </c>
      <c r="F2013" s="1" t="str">
        <f>"1637740425"</f>
        <v>1637740425</v>
      </c>
      <c r="G2013" s="1" t="str">
        <f>"9781637740422"</f>
        <v>9781637740422</v>
      </c>
      <c r="H2013" s="1">
        <v>0.0</v>
      </c>
      <c r="I2013" s="1">
        <v>3.99</v>
      </c>
      <c r="J2013" s="1" t="s">
        <v>8847</v>
      </c>
      <c r="K2013" s="1" t="s">
        <v>37</v>
      </c>
      <c r="L2013" s="1">
        <v>349.0</v>
      </c>
      <c r="M2013" s="1">
        <v>2022.0</v>
      </c>
      <c r="N2013" s="1">
        <v>2022.0</v>
      </c>
      <c r="P2013" s="2">
        <v>45313.0</v>
      </c>
      <c r="Q2013" s="1" t="s">
        <v>55</v>
      </c>
      <c r="R2013" s="1" t="s">
        <v>8848</v>
      </c>
      <c r="S2013" s="1" t="s">
        <v>32</v>
      </c>
      <c r="W2013" s="1">
        <v>0.0</v>
      </c>
      <c r="X2013" s="1">
        <v>0.0</v>
      </c>
    </row>
    <row r="2014" spans="1:24" ht="15.75" customHeight="1">
      <c r="A2014" s="1">
        <v>6313553.0</v>
      </c>
      <c r="B2014" s="1" t="s">
        <v>8849</v>
      </c>
      <c r="C2014" s="1" t="s">
        <v>8850</v>
      </c>
      <c r="D2014" s="1" t="s">
        <v>8851</v>
      </c>
      <c r="F2014" s="1" t="str">
        <f>"1598801872"</f>
        <v>1598801872</v>
      </c>
      <c r="G2014" s="1" t="str">
        <f>"9781598801873"</f>
        <v>9781598801873</v>
      </c>
      <c r="H2014" s="1">
        <v>0.0</v>
      </c>
      <c r="I2014" s="1">
        <v>3.99</v>
      </c>
      <c r="J2014" s="1" t="s">
        <v>8850</v>
      </c>
      <c r="K2014" s="1" t="s">
        <v>44</v>
      </c>
      <c r="L2014" s="1">
        <v>544.0</v>
      </c>
      <c r="M2014" s="1">
        <v>2008.0</v>
      </c>
      <c r="N2014" s="1">
        <v>1995.0</v>
      </c>
      <c r="P2014" s="2">
        <v>45116.0</v>
      </c>
      <c r="Q2014" s="1" t="s">
        <v>1017</v>
      </c>
      <c r="R2014" s="1" t="s">
        <v>8852</v>
      </c>
      <c r="S2014" s="1" t="s">
        <v>32</v>
      </c>
      <c r="W2014" s="1">
        <v>0.0</v>
      </c>
      <c r="X2014" s="1">
        <v>1.0</v>
      </c>
    </row>
    <row r="2015" spans="1:24" ht="15.75" customHeight="1">
      <c r="A2015" s="1">
        <v>418293.0</v>
      </c>
      <c r="B2015" s="1" t="s">
        <v>8853</v>
      </c>
      <c r="C2015" s="1" t="s">
        <v>8854</v>
      </c>
      <c r="D2015" s="1" t="s">
        <v>8855</v>
      </c>
      <c r="F2015" s="1" t="str">
        <f>"1568582722"</f>
        <v>1568582722</v>
      </c>
      <c r="G2015" s="1" t="str">
        <f>"9781568582726"</f>
        <v>9781568582726</v>
      </c>
      <c r="H2015" s="1">
        <v>0.0</v>
      </c>
      <c r="I2015" s="1">
        <v>3.85</v>
      </c>
      <c r="J2015" s="1" t="s">
        <v>8856</v>
      </c>
      <c r="K2015" s="1" t="s">
        <v>37</v>
      </c>
      <c r="L2015" s="1">
        <v>208.0</v>
      </c>
      <c r="M2015" s="1">
        <v>2003.0</v>
      </c>
      <c r="N2015" s="1">
        <v>2003.0</v>
      </c>
      <c r="P2015" s="2">
        <v>43926.0</v>
      </c>
      <c r="Q2015" s="1" t="s">
        <v>1110</v>
      </c>
      <c r="R2015" s="1" t="s">
        <v>8857</v>
      </c>
      <c r="S2015" s="1" t="s">
        <v>32</v>
      </c>
      <c r="W2015" s="1">
        <v>0.0</v>
      </c>
      <c r="X2015" s="1">
        <v>0.0</v>
      </c>
    </row>
    <row r="2016" spans="1:24" ht="15.75" customHeight="1">
      <c r="A2016" s="1">
        <v>1322003.0</v>
      </c>
      <c r="B2016" s="1" t="s">
        <v>8858</v>
      </c>
      <c r="C2016" s="1" t="s">
        <v>8854</v>
      </c>
      <c r="D2016" s="1" t="s">
        <v>8855</v>
      </c>
      <c r="F2016" s="1" t="str">
        <f>"1568582021"</f>
        <v>1568582021</v>
      </c>
      <c r="G2016" s="1" t="str">
        <f>"9781568582023"</f>
        <v>9781568582023</v>
      </c>
      <c r="H2016" s="1">
        <v>0.0</v>
      </c>
      <c r="I2016" s="1">
        <v>3.17</v>
      </c>
      <c r="J2016" s="1" t="s">
        <v>8856</v>
      </c>
      <c r="K2016" s="1" t="s">
        <v>44</v>
      </c>
      <c r="L2016" s="1">
        <v>179.0</v>
      </c>
      <c r="M2016" s="1">
        <v>2001.0</v>
      </c>
      <c r="N2016" s="1">
        <v>1999.0</v>
      </c>
      <c r="P2016" s="2">
        <v>43926.0</v>
      </c>
      <c r="Q2016" s="1" t="s">
        <v>32</v>
      </c>
      <c r="R2016" s="1" t="s">
        <v>8859</v>
      </c>
      <c r="S2016" s="1" t="s">
        <v>32</v>
      </c>
      <c r="W2016" s="1">
        <v>0.0</v>
      </c>
      <c r="X2016" s="1">
        <v>0.0</v>
      </c>
    </row>
    <row r="2017" spans="1:24" ht="15.75" customHeight="1">
      <c r="A2017" s="1">
        <v>379260.0</v>
      </c>
      <c r="B2017" s="1" t="s">
        <v>8860</v>
      </c>
      <c r="C2017" s="1" t="s">
        <v>8861</v>
      </c>
      <c r="D2017" s="1" t="s">
        <v>8862</v>
      </c>
      <c r="F2017" s="1" t="str">
        <f>"1564780856"</f>
        <v>1564780856</v>
      </c>
      <c r="G2017" s="1" t="str">
        <f>"9781564780850"</f>
        <v>9781564780850</v>
      </c>
      <c r="H2017" s="1">
        <v>0.0</v>
      </c>
      <c r="I2017" s="1">
        <v>3.87</v>
      </c>
      <c r="J2017" s="1" t="s">
        <v>2337</v>
      </c>
      <c r="K2017" s="1" t="s">
        <v>44</v>
      </c>
      <c r="L2017" s="1">
        <v>223.0</v>
      </c>
      <c r="M2017" s="1">
        <v>1995.0</v>
      </c>
      <c r="N2017" s="1">
        <v>1984.0</v>
      </c>
      <c r="P2017" s="2">
        <v>43101.0</v>
      </c>
      <c r="Q2017" s="1" t="s">
        <v>32</v>
      </c>
      <c r="R2017" s="1" t="s">
        <v>8863</v>
      </c>
      <c r="S2017" s="1" t="s">
        <v>32</v>
      </c>
      <c r="W2017" s="1">
        <v>0.0</v>
      </c>
      <c r="X2017" s="1">
        <v>0.0</v>
      </c>
    </row>
    <row r="2018" spans="1:24" ht="15.75" customHeight="1">
      <c r="A2018" s="1">
        <v>5.6761975E7</v>
      </c>
      <c r="B2018" s="1" t="s">
        <v>8864</v>
      </c>
      <c r="C2018" s="1" t="s">
        <v>8865</v>
      </c>
      <c r="D2018" s="1" t="s">
        <v>8866</v>
      </c>
      <c r="F2018" s="1" t="str">
        <f t="shared" si="148" ref="F2018:G2018">""</f>
        <v/>
      </c>
      <c r="G2018" s="1" t="str">
        <f t="shared" si="148"/>
        <v/>
      </c>
      <c r="H2018" s="1">
        <v>0.0</v>
      </c>
      <c r="I2018" s="1">
        <v>3.4</v>
      </c>
      <c r="J2018" s="1" t="s">
        <v>438</v>
      </c>
      <c r="K2018" s="1" t="s">
        <v>29</v>
      </c>
      <c r="L2018" s="1">
        <v>288.0</v>
      </c>
      <c r="M2018" s="1">
        <v>2021.0</v>
      </c>
      <c r="N2018" s="1">
        <v>2021.0</v>
      </c>
      <c r="P2018" s="2">
        <v>44216.0</v>
      </c>
      <c r="Q2018" s="1" t="s">
        <v>502</v>
      </c>
      <c r="R2018" s="1" t="s">
        <v>8867</v>
      </c>
      <c r="S2018" s="1" t="s">
        <v>32</v>
      </c>
      <c r="W2018" s="1">
        <v>0.0</v>
      </c>
      <c r="X2018" s="1">
        <v>0.0</v>
      </c>
    </row>
    <row r="2019" spans="1:24" ht="15.75" customHeight="1">
      <c r="A2019" s="1">
        <v>2410293.0</v>
      </c>
      <c r="B2019" s="1" t="s">
        <v>8868</v>
      </c>
      <c r="C2019" s="1" t="s">
        <v>8865</v>
      </c>
      <c r="D2019" s="1" t="s">
        <v>8866</v>
      </c>
      <c r="F2019" s="1" t="str">
        <f>"0374200114"</f>
        <v>0374200114</v>
      </c>
      <c r="G2019" s="1" t="str">
        <f>"9780374200114"</f>
        <v>9780374200114</v>
      </c>
      <c r="H2019" s="1">
        <v>0.0</v>
      </c>
      <c r="I2019" s="1">
        <v>3.19</v>
      </c>
      <c r="J2019" s="1" t="s">
        <v>438</v>
      </c>
      <c r="K2019" s="1" t="s">
        <v>37</v>
      </c>
      <c r="L2019" s="1">
        <v>240.0</v>
      </c>
      <c r="M2019" s="1">
        <v>2008.0</v>
      </c>
      <c r="N2019" s="1">
        <v>2008.0</v>
      </c>
      <c r="P2019" s="2">
        <v>43939.0</v>
      </c>
      <c r="Q2019" s="1" t="s">
        <v>32</v>
      </c>
      <c r="R2019" s="1" t="s">
        <v>8869</v>
      </c>
      <c r="S2019" s="1" t="s">
        <v>32</v>
      </c>
      <c r="W2019" s="1">
        <v>0.0</v>
      </c>
      <c r="X2019" s="1">
        <v>0.0</v>
      </c>
    </row>
    <row r="2020" spans="1:24" ht="15.75" customHeight="1">
      <c r="A2020" s="1">
        <v>3.0383747E7</v>
      </c>
      <c r="B2020" s="1" t="s">
        <v>8870</v>
      </c>
      <c r="C2020" s="1" t="s">
        <v>8871</v>
      </c>
      <c r="D2020" s="1" t="s">
        <v>8872</v>
      </c>
      <c r="F2020" s="1" t="str">
        <f>"1349476137"</f>
        <v>1349476137</v>
      </c>
      <c r="G2020" s="1" t="str">
        <f>"9781349476138"</f>
        <v>9781349476138</v>
      </c>
      <c r="H2020" s="1">
        <v>0.0</v>
      </c>
      <c r="I2020" s="1">
        <v>3.0</v>
      </c>
      <c r="J2020" s="1" t="s">
        <v>4497</v>
      </c>
      <c r="K2020" s="1" t="s">
        <v>44</v>
      </c>
      <c r="L2020" s="1">
        <v>295.0</v>
      </c>
      <c r="M2020" s="1">
        <v>2014.0</v>
      </c>
      <c r="N2020" s="1">
        <v>2014.0</v>
      </c>
      <c r="P2020" s="2">
        <v>45129.0</v>
      </c>
      <c r="Q2020" s="1" t="s">
        <v>711</v>
      </c>
      <c r="R2020" s="1" t="s">
        <v>8873</v>
      </c>
      <c r="S2020" s="1" t="s">
        <v>32</v>
      </c>
      <c r="W2020" s="1">
        <v>0.0</v>
      </c>
      <c r="X2020" s="1">
        <v>0.0</v>
      </c>
    </row>
    <row r="2021" spans="1:24" ht="15.75" customHeight="1">
      <c r="A2021" s="1">
        <v>1.3390438E7</v>
      </c>
      <c r="B2021" s="1" t="s">
        <v>8874</v>
      </c>
      <c r="C2021" s="1" t="s">
        <v>8875</v>
      </c>
      <c r="D2021" s="1" t="s">
        <v>8876</v>
      </c>
      <c r="F2021" s="1" t="str">
        <f>"0984459898"</f>
        <v>0984459898</v>
      </c>
      <c r="G2021" s="1" t="str">
        <f>"9780984459896"</f>
        <v>9780984459896</v>
      </c>
      <c r="H2021" s="1">
        <v>0.0</v>
      </c>
      <c r="I2021" s="1">
        <v>4.35</v>
      </c>
      <c r="J2021" s="1" t="s">
        <v>4424</v>
      </c>
      <c r="K2021" s="1" t="s">
        <v>44</v>
      </c>
      <c r="L2021" s="1">
        <v>180.0</v>
      </c>
      <c r="M2021" s="1">
        <v>2012.0</v>
      </c>
      <c r="N2021" s="1">
        <v>2011.0</v>
      </c>
      <c r="P2021" s="2">
        <v>44053.0</v>
      </c>
      <c r="Q2021" s="1" t="s">
        <v>32</v>
      </c>
      <c r="R2021" s="1" t="s">
        <v>8877</v>
      </c>
      <c r="S2021" s="1" t="s">
        <v>32</v>
      </c>
      <c r="W2021" s="1">
        <v>0.0</v>
      </c>
      <c r="X2021" s="1">
        <v>0.0</v>
      </c>
    </row>
    <row r="2022" spans="1:24" ht="15.75" customHeight="1">
      <c r="A2022" s="1">
        <v>3.3125738E7</v>
      </c>
      <c r="B2022" s="1" t="s">
        <v>8878</v>
      </c>
      <c r="C2022" s="1" t="s">
        <v>8879</v>
      </c>
      <c r="D2022" s="1" t="s">
        <v>8880</v>
      </c>
      <c r="E2022" s="1" t="s">
        <v>8881</v>
      </c>
      <c r="F2022" s="1" t="str">
        <f>"0141192283"</f>
        <v>0141192283</v>
      </c>
      <c r="G2022" s="1" t="str">
        <f>"9780141192284"</f>
        <v>9780141192284</v>
      </c>
      <c r="H2022" s="1">
        <v>0.0</v>
      </c>
      <c r="I2022" s="1">
        <v>4.11</v>
      </c>
      <c r="J2022" s="1" t="s">
        <v>1023</v>
      </c>
      <c r="K2022" s="1" t="s">
        <v>44</v>
      </c>
      <c r="L2022" s="1">
        <v>1424.0</v>
      </c>
      <c r="M2022" s="1">
        <v>2022.0</v>
      </c>
      <c r="N2022" s="1">
        <v>1621.0</v>
      </c>
      <c r="P2022" s="3">
        <v>44484.0</v>
      </c>
      <c r="Q2022" s="1" t="s">
        <v>249</v>
      </c>
      <c r="R2022" s="1" t="s">
        <v>8882</v>
      </c>
      <c r="S2022" s="1" t="s">
        <v>32</v>
      </c>
      <c r="W2022" s="1">
        <v>0.0</v>
      </c>
      <c r="X2022" s="1">
        <v>0.0</v>
      </c>
    </row>
    <row r="2023" spans="1:24" ht="15.75" customHeight="1">
      <c r="A2023" s="1">
        <v>5.3137995E7</v>
      </c>
      <c r="B2023" s="1" t="s">
        <v>8883</v>
      </c>
      <c r="C2023" s="1" t="s">
        <v>8884</v>
      </c>
      <c r="D2023" s="1" t="s">
        <v>8885</v>
      </c>
      <c r="F2023" s="1" t="str">
        <f>"1250267994"</f>
        <v>1250267994</v>
      </c>
      <c r="G2023" s="1" t="str">
        <f>"9781250267993"</f>
        <v>9781250267993</v>
      </c>
      <c r="H2023" s="1">
        <v>0.0</v>
      </c>
      <c r="I2023" s="1">
        <v>3.82</v>
      </c>
      <c r="J2023" s="1" t="s">
        <v>2484</v>
      </c>
      <c r="K2023" s="1" t="s">
        <v>37</v>
      </c>
      <c r="L2023" s="1">
        <v>304.0</v>
      </c>
      <c r="M2023" s="1">
        <v>2021.0</v>
      </c>
      <c r="N2023" s="1">
        <v>2021.0</v>
      </c>
      <c r="P2023" s="2">
        <v>45168.0</v>
      </c>
      <c r="Q2023" s="1" t="s">
        <v>55</v>
      </c>
      <c r="R2023" s="1" t="s">
        <v>8886</v>
      </c>
      <c r="S2023" s="1" t="s">
        <v>32</v>
      </c>
      <c r="W2023" s="1">
        <v>0.0</v>
      </c>
      <c r="X2023" s="1">
        <v>0.0</v>
      </c>
    </row>
    <row r="2024" spans="1:24" ht="15.75" customHeight="1">
      <c r="A2024" s="1">
        <v>175324.0</v>
      </c>
      <c r="B2024" s="1" t="s">
        <v>8887</v>
      </c>
      <c r="C2024" s="1" t="s">
        <v>8888</v>
      </c>
      <c r="D2024" s="1" t="s">
        <v>8889</v>
      </c>
      <c r="F2024" s="1" t="str">
        <f>"0345330137"</f>
        <v>0345330137</v>
      </c>
      <c r="G2024" s="1" t="str">
        <f>"9780345330130"</f>
        <v>9780345330130</v>
      </c>
      <c r="H2024" s="1">
        <v>0.0</v>
      </c>
      <c r="I2024" s="1">
        <v>3.91</v>
      </c>
      <c r="J2024" s="1" t="s">
        <v>8890</v>
      </c>
      <c r="K2024" s="1" t="s">
        <v>1225</v>
      </c>
      <c r="L2024" s="1">
        <v>243.0</v>
      </c>
      <c r="M2024" s="1">
        <v>1986.0</v>
      </c>
      <c r="N2024" s="1">
        <v>1956.0</v>
      </c>
      <c r="P2024" s="2">
        <v>45297.0</v>
      </c>
      <c r="Q2024" s="1" t="s">
        <v>502</v>
      </c>
      <c r="R2024" s="1" t="s">
        <v>8891</v>
      </c>
      <c r="S2024" s="1" t="s">
        <v>32</v>
      </c>
      <c r="W2024" s="1">
        <v>0.0</v>
      </c>
      <c r="X2024" s="1">
        <v>0.0</v>
      </c>
    </row>
    <row r="2025" spans="1:24" ht="15.75" customHeight="1">
      <c r="A2025" s="1">
        <v>16690.0</v>
      </c>
      <c r="B2025" s="1" t="s">
        <v>8892</v>
      </c>
      <c r="C2025" s="1" t="s">
        <v>8888</v>
      </c>
      <c r="D2025" s="1" t="s">
        <v>8889</v>
      </c>
      <c r="F2025" s="1" t="str">
        <f>"0340837942"</f>
        <v>0340837942</v>
      </c>
      <c r="G2025" s="1" t="str">
        <f>"9780340837948"</f>
        <v>9780340837948</v>
      </c>
      <c r="H2025" s="1">
        <v>0.0</v>
      </c>
      <c r="I2025" s="1">
        <v>4.16</v>
      </c>
      <c r="J2025" s="1" t="s">
        <v>8893</v>
      </c>
      <c r="K2025" s="1" t="s">
        <v>44</v>
      </c>
      <c r="L2025" s="1">
        <v>288.0</v>
      </c>
      <c r="M2025" s="1">
        <v>2005.0</v>
      </c>
      <c r="N2025" s="1">
        <v>1966.0</v>
      </c>
      <c r="P2025" s="2">
        <v>45021.0</v>
      </c>
      <c r="Q2025" s="1" t="s">
        <v>32</v>
      </c>
      <c r="R2025" s="1" t="s">
        <v>8894</v>
      </c>
      <c r="S2025" s="1" t="s">
        <v>32</v>
      </c>
      <c r="W2025" s="1">
        <v>0.0</v>
      </c>
      <c r="X2025" s="1">
        <v>0.0</v>
      </c>
    </row>
    <row r="2026" spans="1:24" ht="15.75" customHeight="1">
      <c r="A2026" s="1">
        <v>350.0</v>
      </c>
      <c r="B2026" s="1" t="s">
        <v>8895</v>
      </c>
      <c r="C2026" s="1" t="s">
        <v>8888</v>
      </c>
      <c r="D2026" s="1" t="s">
        <v>8889</v>
      </c>
      <c r="E2026" s="1" t="s">
        <v>8896</v>
      </c>
      <c r="F2026" s="1" t="str">
        <f t="shared" si="149" ref="F2026:G2026">""</f>
        <v/>
      </c>
      <c r="G2026" s="1" t="str">
        <f t="shared" si="149"/>
        <v/>
      </c>
      <c r="H2026" s="1">
        <v>0.0</v>
      </c>
      <c r="I2026" s="1">
        <v>3.92</v>
      </c>
      <c r="J2026" s="1" t="s">
        <v>4155</v>
      </c>
      <c r="K2026" s="1" t="s">
        <v>44</v>
      </c>
      <c r="L2026" s="1">
        <v>525.0</v>
      </c>
      <c r="M2026" s="1">
        <v>1991.0</v>
      </c>
      <c r="N2026" s="1">
        <v>1961.0</v>
      </c>
      <c r="P2026" s="2">
        <v>44102.0</v>
      </c>
      <c r="Q2026" s="1" t="s">
        <v>32</v>
      </c>
      <c r="R2026" s="1" t="s">
        <v>8897</v>
      </c>
      <c r="S2026" s="1" t="s">
        <v>32</v>
      </c>
      <c r="W2026" s="1">
        <v>0.0</v>
      </c>
      <c r="X2026" s="1">
        <v>0.0</v>
      </c>
    </row>
    <row r="2027" spans="1:24" ht="15.75" customHeight="1">
      <c r="A2027" s="1">
        <v>1050632.0</v>
      </c>
      <c r="B2027" s="1" t="s">
        <v>8898</v>
      </c>
      <c r="C2027" s="1" t="s">
        <v>8899</v>
      </c>
      <c r="D2027" s="1" t="s">
        <v>8900</v>
      </c>
      <c r="F2027" s="1" t="str">
        <f>"067470066X"</f>
        <v>067470066X</v>
      </c>
      <c r="G2027" s="1" t="str">
        <f>"9780674700666"</f>
        <v>9780674700666</v>
      </c>
      <c r="H2027" s="1">
        <v>0.0</v>
      </c>
      <c r="I2027" s="1">
        <v>4.37</v>
      </c>
      <c r="J2027" s="1" t="s">
        <v>2273</v>
      </c>
      <c r="K2027" s="1" t="s">
        <v>44</v>
      </c>
      <c r="L2027" s="1">
        <v>318.0</v>
      </c>
      <c r="M2027" s="1">
        <v>1983.0</v>
      </c>
      <c r="N2027" s="1">
        <v>1982.0</v>
      </c>
      <c r="P2027" s="2">
        <v>44444.0</v>
      </c>
      <c r="Q2027" s="1" t="s">
        <v>8901</v>
      </c>
      <c r="R2027" s="1" t="s">
        <v>8902</v>
      </c>
      <c r="S2027" s="1" t="s">
        <v>32</v>
      </c>
      <c r="W2027" s="1">
        <v>0.0</v>
      </c>
      <c r="X2027" s="1">
        <v>0.0</v>
      </c>
    </row>
    <row r="2028" spans="1:24" ht="15.75" customHeight="1">
      <c r="A2028" s="1">
        <v>65514.0</v>
      </c>
      <c r="B2028" s="1" t="s">
        <v>8903</v>
      </c>
      <c r="C2028" s="1" t="s">
        <v>8904</v>
      </c>
      <c r="D2028" s="1" t="s">
        <v>8905</v>
      </c>
      <c r="E2028" s="1" t="s">
        <v>4579</v>
      </c>
      <c r="F2028" s="1" t="str">
        <f>"0749301724"</f>
        <v>0749301724</v>
      </c>
      <c r="G2028" s="1" t="str">
        <f>"9780749301729"</f>
        <v>9780749301729</v>
      </c>
      <c r="H2028" s="1">
        <v>0.0</v>
      </c>
      <c r="I2028" s="1">
        <v>4.1</v>
      </c>
      <c r="J2028" s="1" t="s">
        <v>8906</v>
      </c>
      <c r="K2028" s="1" t="s">
        <v>44</v>
      </c>
      <c r="L2028" s="1">
        <v>452.0</v>
      </c>
      <c r="M2028" s="1">
        <v>1990.0</v>
      </c>
      <c r="N2028" s="1">
        <v>1988.0</v>
      </c>
      <c r="P2028" s="2">
        <v>45111.0</v>
      </c>
      <c r="Q2028" s="1" t="s">
        <v>127</v>
      </c>
      <c r="R2028" s="1" t="s">
        <v>8907</v>
      </c>
      <c r="S2028" s="1" t="s">
        <v>32</v>
      </c>
      <c r="W2028" s="1">
        <v>0.0</v>
      </c>
      <c r="X2028" s="1">
        <v>0.0</v>
      </c>
    </row>
    <row r="2029" spans="1:24" ht="15.75" customHeight="1">
      <c r="A2029" s="1">
        <v>357727.0</v>
      </c>
      <c r="B2029" s="1" t="s">
        <v>8908</v>
      </c>
      <c r="C2029" s="1" t="s">
        <v>8904</v>
      </c>
      <c r="D2029" s="1" t="s">
        <v>8905</v>
      </c>
      <c r="F2029" s="1" t="str">
        <f>"0899684165"</f>
        <v>0899684165</v>
      </c>
      <c r="G2029" s="1" t="str">
        <f>"9780899684161"</f>
        <v>9780899684161</v>
      </c>
      <c r="H2029" s="1">
        <v>0.0</v>
      </c>
      <c r="I2029" s="1">
        <v>3.97</v>
      </c>
      <c r="J2029" s="1" t="s">
        <v>8909</v>
      </c>
      <c r="K2029" s="1" t="s">
        <v>37</v>
      </c>
      <c r="L2029" s="1">
        <v>215.0</v>
      </c>
      <c r="M2029" s="1">
        <v>1975.0</v>
      </c>
      <c r="N2029" s="1">
        <v>1974.0</v>
      </c>
      <c r="P2029" s="2">
        <v>45115.0</v>
      </c>
      <c r="Q2029" s="1" t="s">
        <v>127</v>
      </c>
      <c r="R2029" s="1" t="s">
        <v>8910</v>
      </c>
      <c r="S2029" s="1" t="s">
        <v>32</v>
      </c>
      <c r="W2029" s="1">
        <v>0.0</v>
      </c>
      <c r="X2029" s="1">
        <v>0.0</v>
      </c>
    </row>
    <row r="2030" spans="1:24" ht="15.75" customHeight="1">
      <c r="A2030" s="1">
        <v>103548.0</v>
      </c>
      <c r="B2030" s="1" t="s">
        <v>8911</v>
      </c>
      <c r="C2030" s="1" t="s">
        <v>8912</v>
      </c>
      <c r="D2030" s="1" t="s">
        <v>8913</v>
      </c>
      <c r="F2030" s="1" t="str">
        <f>"0789315114"</f>
        <v>0789315114</v>
      </c>
      <c r="G2030" s="1" t="str">
        <f>"9780789315113"</f>
        <v>9780789315113</v>
      </c>
      <c r="H2030" s="1">
        <v>0.0</v>
      </c>
      <c r="I2030" s="1">
        <v>3.97</v>
      </c>
      <c r="J2030" s="1" t="s">
        <v>8914</v>
      </c>
      <c r="K2030" s="1" t="s">
        <v>37</v>
      </c>
      <c r="L2030" s="1">
        <v>384.0</v>
      </c>
      <c r="M2030" s="1">
        <v>2006.0</v>
      </c>
      <c r="N2030" s="1">
        <v>2006.0</v>
      </c>
      <c r="P2030" s="2">
        <v>45170.0</v>
      </c>
      <c r="Q2030" s="1" t="s">
        <v>5674</v>
      </c>
      <c r="R2030" s="1" t="s">
        <v>8915</v>
      </c>
      <c r="S2030" s="1" t="s">
        <v>32</v>
      </c>
      <c r="W2030" s="1">
        <v>0.0</v>
      </c>
      <c r="X2030" s="1">
        <v>0.0</v>
      </c>
    </row>
    <row r="2031" spans="1:24" ht="15.75" customHeight="1">
      <c r="A2031" s="1">
        <v>398086.0</v>
      </c>
      <c r="B2031" s="1" t="s">
        <v>8916</v>
      </c>
      <c r="C2031" s="1" t="s">
        <v>8917</v>
      </c>
      <c r="D2031" s="1" t="s">
        <v>8918</v>
      </c>
      <c r="E2031" s="1" t="s">
        <v>8919</v>
      </c>
      <c r="F2031" s="1" t="str">
        <f>"0674875311"</f>
        <v>0674875311</v>
      </c>
      <c r="G2031" s="1" t="str">
        <f>"9780674875319"</f>
        <v>9780674875319</v>
      </c>
      <c r="H2031" s="1">
        <v>0.0</v>
      </c>
      <c r="I2031" s="1">
        <v>3.86</v>
      </c>
      <c r="J2031" s="1" t="s">
        <v>985</v>
      </c>
      <c r="K2031" s="1" t="s">
        <v>44</v>
      </c>
      <c r="L2031" s="1">
        <v>696.0</v>
      </c>
      <c r="M2031" s="1">
        <v>1990.0</v>
      </c>
      <c r="N2031" s="1">
        <v>1987.0</v>
      </c>
      <c r="P2031" s="2">
        <v>45126.0</v>
      </c>
      <c r="Q2031" s="1" t="s">
        <v>3722</v>
      </c>
      <c r="R2031" s="1" t="s">
        <v>8920</v>
      </c>
      <c r="S2031" s="1" t="s">
        <v>32</v>
      </c>
      <c r="W2031" s="1">
        <v>0.0</v>
      </c>
      <c r="X2031" s="1">
        <v>0.0</v>
      </c>
    </row>
    <row r="2032" spans="1:24" ht="15.75" customHeight="1">
      <c r="A2032" s="1">
        <v>379191.0</v>
      </c>
      <c r="B2032" s="1" t="s">
        <v>8921</v>
      </c>
      <c r="C2032" s="1" t="s">
        <v>8917</v>
      </c>
      <c r="D2032" s="1" t="s">
        <v>8918</v>
      </c>
      <c r="F2032" s="1" t="str">
        <f>"039331670X"</f>
        <v>039331670X</v>
      </c>
      <c r="G2032" s="1" t="str">
        <f>"9780393316704"</f>
        <v>9780393316704</v>
      </c>
      <c r="H2032" s="1">
        <v>0.0</v>
      </c>
      <c r="I2032" s="1">
        <v>4.34</v>
      </c>
      <c r="J2032" s="1" t="s">
        <v>248</v>
      </c>
      <c r="K2032" s="1" t="s">
        <v>44</v>
      </c>
      <c r="L2032" s="1">
        <v>324.0</v>
      </c>
      <c r="M2032" s="1">
        <v>1997.0</v>
      </c>
      <c r="N2032" s="1">
        <v>-800.0</v>
      </c>
      <c r="P2032" s="2">
        <v>45126.0</v>
      </c>
      <c r="Q2032" s="1" t="s">
        <v>32</v>
      </c>
      <c r="R2032" s="1" t="s">
        <v>8922</v>
      </c>
      <c r="S2032" s="1" t="s">
        <v>32</v>
      </c>
      <c r="W2032" s="1">
        <v>0.0</v>
      </c>
      <c r="X2032" s="1">
        <v>0.0</v>
      </c>
    </row>
    <row r="2033" spans="1:24" ht="15.75" customHeight="1">
      <c r="A2033" s="1">
        <v>2.3722003E7</v>
      </c>
      <c r="B2033" s="1" t="s">
        <v>8923</v>
      </c>
      <c r="C2033" s="1" t="s">
        <v>8924</v>
      </c>
      <c r="D2033" s="1" t="s">
        <v>8925</v>
      </c>
      <c r="E2033" s="1" t="s">
        <v>8926</v>
      </c>
      <c r="F2033" s="1" t="str">
        <f>"1472595688"</f>
        <v>1472595688</v>
      </c>
      <c r="G2033" s="1" t="str">
        <f>"9781472595683"</f>
        <v>9781472595683</v>
      </c>
      <c r="H2033" s="1">
        <v>0.0</v>
      </c>
      <c r="I2033" s="1">
        <v>3.56</v>
      </c>
      <c r="J2033" s="1" t="s">
        <v>5659</v>
      </c>
      <c r="K2033" s="1" t="s">
        <v>44</v>
      </c>
      <c r="L2033" s="1">
        <v>456.0</v>
      </c>
      <c r="M2033" s="1">
        <v>2015.0</v>
      </c>
      <c r="N2033" s="1">
        <v>2011.0</v>
      </c>
      <c r="P2033" s="2">
        <v>45132.0</v>
      </c>
      <c r="Q2033" s="1" t="s">
        <v>115</v>
      </c>
      <c r="R2033" s="1" t="s">
        <v>8927</v>
      </c>
      <c r="S2033" s="1" t="s">
        <v>32</v>
      </c>
      <c r="W2033" s="1">
        <v>0.0</v>
      </c>
      <c r="X2033" s="1">
        <v>1.0</v>
      </c>
    </row>
    <row r="2034" spans="1:24" ht="15.75" customHeight="1">
      <c r="A2034" s="1">
        <v>4.3261017E7</v>
      </c>
      <c r="B2034" s="1" t="s">
        <v>8928</v>
      </c>
      <c r="C2034" s="1" t="s">
        <v>8929</v>
      </c>
      <c r="D2034" s="1" t="s">
        <v>8930</v>
      </c>
      <c r="F2034" s="1" t="str">
        <f>"1328465802"</f>
        <v>1328465802</v>
      </c>
      <c r="G2034" s="1" t="str">
        <f>"9781328465801"</f>
        <v>9781328465801</v>
      </c>
      <c r="H2034" s="1">
        <v>3.0</v>
      </c>
      <c r="I2034" s="1">
        <v>3.89</v>
      </c>
      <c r="J2034" s="1" t="s">
        <v>468</v>
      </c>
      <c r="K2034" s="1" t="s">
        <v>44</v>
      </c>
      <c r="L2034" s="1">
        <v>256.0</v>
      </c>
      <c r="M2034" s="1">
        <v>2019.0</v>
      </c>
      <c r="N2034" s="1">
        <v>2019.0</v>
      </c>
      <c r="O2034" s="3">
        <v>44175.0</v>
      </c>
      <c r="P2034" s="2">
        <v>43919.0</v>
      </c>
      <c r="Q2034" s="1" t="s">
        <v>8931</v>
      </c>
      <c r="R2034" s="1" t="s">
        <v>8932</v>
      </c>
      <c r="S2034" s="1" t="s">
        <v>271</v>
      </c>
      <c r="W2034" s="1">
        <v>1.0</v>
      </c>
      <c r="X2034" s="1">
        <v>0.0</v>
      </c>
    </row>
    <row r="2035" spans="1:24" ht="15.75" customHeight="1">
      <c r="A2035" s="1">
        <v>544021.0</v>
      </c>
      <c r="B2035" s="1" t="s">
        <v>8933</v>
      </c>
      <c r="C2035" s="1" t="s">
        <v>8934</v>
      </c>
      <c r="D2035" s="1" t="s">
        <v>8935</v>
      </c>
      <c r="F2035" s="1" t="str">
        <f>"052148328X"</f>
        <v>052148328X</v>
      </c>
      <c r="G2035" s="1" t="str">
        <f>"9780521483285"</f>
        <v>9780521483285</v>
      </c>
      <c r="H2035" s="1">
        <v>0.0</v>
      </c>
      <c r="I2035" s="1">
        <v>4.25</v>
      </c>
      <c r="J2035" s="1" t="s">
        <v>388</v>
      </c>
      <c r="K2035" s="1" t="s">
        <v>44</v>
      </c>
      <c r="L2035" s="1">
        <v>912.0</v>
      </c>
      <c r="M2035" s="1">
        <v>1995.0</v>
      </c>
      <c r="N2035" s="1">
        <v>1995.0</v>
      </c>
      <c r="P2035" s="2">
        <v>44444.0</v>
      </c>
      <c r="Q2035" s="1" t="s">
        <v>8936</v>
      </c>
      <c r="R2035" s="1" t="s">
        <v>8937</v>
      </c>
      <c r="S2035" s="1" t="s">
        <v>32</v>
      </c>
      <c r="W2035" s="1">
        <v>0.0</v>
      </c>
      <c r="X2035" s="1">
        <v>1.0</v>
      </c>
    </row>
    <row r="2036" spans="1:24" ht="15.75" customHeight="1">
      <c r="A2036" s="1">
        <v>8747740.0</v>
      </c>
      <c r="B2036" s="1" t="s">
        <v>8938</v>
      </c>
      <c r="C2036" s="1" t="s">
        <v>8939</v>
      </c>
      <c r="D2036" s="1" t="s">
        <v>8940</v>
      </c>
      <c r="F2036" s="1" t="str">
        <f>"0500283338"</f>
        <v>0500283338</v>
      </c>
      <c r="G2036" s="1" t="str">
        <f>"9780500283332"</f>
        <v>9780500283332</v>
      </c>
      <c r="H2036" s="1">
        <v>0.0</v>
      </c>
      <c r="I2036" s="1">
        <v>4.21</v>
      </c>
      <c r="J2036" s="1" t="s">
        <v>192</v>
      </c>
      <c r="K2036" s="1" t="s">
        <v>44</v>
      </c>
      <c r="L2036" s="1">
        <v>336.0</v>
      </c>
      <c r="M2036" s="1">
        <v>2014.0</v>
      </c>
      <c r="N2036" s="1">
        <v>2001.0</v>
      </c>
      <c r="P2036" s="2">
        <v>45175.0</v>
      </c>
      <c r="Q2036" s="1" t="s">
        <v>463</v>
      </c>
      <c r="R2036" s="1" t="s">
        <v>8941</v>
      </c>
      <c r="S2036" s="1" t="s">
        <v>32</v>
      </c>
      <c r="W2036" s="1">
        <v>0.0</v>
      </c>
      <c r="X2036" s="1">
        <v>0.0</v>
      </c>
    </row>
    <row r="2037" spans="1:24" ht="15.75" customHeight="1">
      <c r="A2037" s="1">
        <v>63921.0</v>
      </c>
      <c r="B2037" s="1" t="s">
        <v>8942</v>
      </c>
      <c r="C2037" s="1" t="s">
        <v>8939</v>
      </c>
      <c r="D2037" s="1" t="s">
        <v>8940</v>
      </c>
      <c r="F2037" s="1" t="str">
        <f>"0691126046"</f>
        <v>0691126046</v>
      </c>
      <c r="G2037" s="1" t="str">
        <f>"9780691126043"</f>
        <v>9780691126043</v>
      </c>
      <c r="H2037" s="1">
        <v>0.0</v>
      </c>
      <c r="I2037" s="1">
        <v>3.54</v>
      </c>
      <c r="J2037" s="1" t="s">
        <v>1011</v>
      </c>
      <c r="K2037" s="1" t="s">
        <v>44</v>
      </c>
      <c r="L2037" s="1">
        <v>192.0</v>
      </c>
      <c r="M2037" s="1">
        <v>2006.0</v>
      </c>
      <c r="N2037" s="1">
        <v>2004.0</v>
      </c>
      <c r="P2037" s="2">
        <v>45177.0</v>
      </c>
      <c r="Q2037" s="1" t="s">
        <v>32</v>
      </c>
      <c r="R2037" s="1" t="s">
        <v>8943</v>
      </c>
      <c r="S2037" s="1" t="s">
        <v>32</v>
      </c>
      <c r="W2037" s="1">
        <v>0.0</v>
      </c>
      <c r="X2037" s="1">
        <v>0.0</v>
      </c>
    </row>
    <row r="2038" spans="1:24" ht="15.75" customHeight="1">
      <c r="A2038" s="1">
        <v>1044577.0</v>
      </c>
      <c r="B2038" s="1" t="s">
        <v>8944</v>
      </c>
      <c r="C2038" s="1" t="s">
        <v>8945</v>
      </c>
      <c r="D2038" s="1" t="s">
        <v>8946</v>
      </c>
      <c r="E2038" s="1" t="s">
        <v>8947</v>
      </c>
      <c r="F2038" s="1" t="str">
        <f>"0872204588"</f>
        <v>0872204588</v>
      </c>
      <c r="G2038" s="1" t="str">
        <f>"9780872204584"</f>
        <v>9780872204584</v>
      </c>
      <c r="H2038" s="1">
        <v>0.0</v>
      </c>
      <c r="I2038" s="1">
        <v>3.98</v>
      </c>
      <c r="J2038" s="1" t="s">
        <v>1206</v>
      </c>
      <c r="K2038" s="1" t="s">
        <v>44</v>
      </c>
      <c r="L2038" s="1">
        <v>240.0</v>
      </c>
      <c r="M2038" s="1">
        <v>2000.0</v>
      </c>
      <c r="N2038" s="1">
        <v>2000.0</v>
      </c>
      <c r="P2038" s="2">
        <v>45143.0</v>
      </c>
      <c r="Q2038" s="1" t="s">
        <v>1207</v>
      </c>
      <c r="R2038" s="1" t="s">
        <v>8948</v>
      </c>
      <c r="S2038" s="1" t="s">
        <v>32</v>
      </c>
      <c r="W2038" s="1">
        <v>0.0</v>
      </c>
      <c r="X2038" s="1">
        <v>1.0</v>
      </c>
    </row>
    <row r="2039" spans="1:24" ht="15.75" customHeight="1">
      <c r="A2039" s="1">
        <v>156427.0</v>
      </c>
      <c r="B2039" s="1" t="s">
        <v>8949</v>
      </c>
      <c r="C2039" s="1" t="s">
        <v>8950</v>
      </c>
      <c r="D2039" s="1" t="s">
        <v>8951</v>
      </c>
      <c r="F2039" s="1" t="str">
        <f>"0747545251"</f>
        <v>0747545251</v>
      </c>
      <c r="G2039" s="1" t="str">
        <f>"9780747545255"</f>
        <v>9780747545255</v>
      </c>
      <c r="H2039" s="1">
        <v>0.0</v>
      </c>
      <c r="I2039" s="1">
        <v>4.12</v>
      </c>
      <c r="J2039" s="1" t="s">
        <v>292</v>
      </c>
      <c r="K2039" s="1" t="s">
        <v>44</v>
      </c>
      <c r="L2039" s="1">
        <v>208.0</v>
      </c>
      <c r="M2039" s="1">
        <v>1999.0</v>
      </c>
      <c r="N2039" s="1">
        <v>1959.0</v>
      </c>
      <c r="P2039" s="2">
        <v>41348.0</v>
      </c>
      <c r="Q2039" s="1" t="s">
        <v>32</v>
      </c>
      <c r="R2039" s="1" t="s">
        <v>8952</v>
      </c>
      <c r="S2039" s="1" t="s">
        <v>32</v>
      </c>
      <c r="W2039" s="1">
        <v>0.0</v>
      </c>
      <c r="X2039" s="1">
        <v>0.0</v>
      </c>
    </row>
    <row r="2040" spans="1:24" ht="15.75" customHeight="1">
      <c r="A2040" s="1">
        <v>3735293.0</v>
      </c>
      <c r="B2040" s="1" t="s">
        <v>8953</v>
      </c>
      <c r="C2040" s="1" t="s">
        <v>8954</v>
      </c>
      <c r="D2040" s="1" t="s">
        <v>8955</v>
      </c>
      <c r="F2040" s="1" t="str">
        <f>"0132350882"</f>
        <v>0132350882</v>
      </c>
      <c r="G2040" s="1" t="str">
        <f>"9780132350884"</f>
        <v>9780132350884</v>
      </c>
      <c r="H2040" s="1">
        <v>0.0</v>
      </c>
      <c r="I2040" s="1">
        <v>4.38</v>
      </c>
      <c r="J2040" s="1" t="s">
        <v>1803</v>
      </c>
      <c r="K2040" s="1" t="s">
        <v>44</v>
      </c>
      <c r="L2040" s="1">
        <v>464.0</v>
      </c>
      <c r="M2040" s="1">
        <v>2008.0</v>
      </c>
      <c r="N2040" s="1">
        <v>2007.0</v>
      </c>
      <c r="P2040" s="2">
        <v>43999.0</v>
      </c>
      <c r="Q2040" s="1" t="s">
        <v>32</v>
      </c>
      <c r="R2040" s="1" t="s">
        <v>8956</v>
      </c>
      <c r="S2040" s="1" t="s">
        <v>32</v>
      </c>
      <c r="W2040" s="1">
        <v>0.0</v>
      </c>
      <c r="X2040" s="1">
        <v>0.0</v>
      </c>
    </row>
    <row r="2041" spans="1:24" ht="15.75" customHeight="1">
      <c r="A2041" s="1">
        <v>31852.0</v>
      </c>
      <c r="B2041" s="1" t="s">
        <v>8957</v>
      </c>
      <c r="C2041" s="1" t="s">
        <v>8958</v>
      </c>
      <c r="D2041" s="1" t="s">
        <v>8959</v>
      </c>
      <c r="E2041" s="1" t="s">
        <v>8960</v>
      </c>
      <c r="F2041" s="1" t="str">
        <f>"0195101960"</f>
        <v>0195101960</v>
      </c>
      <c r="G2041" s="1" t="str">
        <f>"9780195101966"</f>
        <v>9780195101966</v>
      </c>
      <c r="H2041" s="1">
        <v>0.0</v>
      </c>
      <c r="I2041" s="1">
        <v>3.82</v>
      </c>
      <c r="J2041" s="1" t="s">
        <v>990</v>
      </c>
      <c r="K2041" s="1" t="s">
        <v>44</v>
      </c>
      <c r="L2041" s="1">
        <v>352.0</v>
      </c>
      <c r="M2041" s="1">
        <v>1996.0</v>
      </c>
      <c r="N2041" s="1">
        <v>1996.0</v>
      </c>
      <c r="P2041" s="2">
        <v>44464.0</v>
      </c>
      <c r="Q2041" s="1" t="s">
        <v>38</v>
      </c>
      <c r="R2041" s="1" t="s">
        <v>8961</v>
      </c>
      <c r="S2041" s="1" t="s">
        <v>32</v>
      </c>
      <c r="W2041" s="1">
        <v>0.0</v>
      </c>
      <c r="X2041" s="1">
        <v>0.0</v>
      </c>
    </row>
    <row r="2042" spans="1:24" ht="15.75" customHeight="1">
      <c r="A2042" s="1">
        <v>156198.0</v>
      </c>
      <c r="B2042" s="1" t="s">
        <v>8962</v>
      </c>
      <c r="C2042" s="1" t="s">
        <v>8963</v>
      </c>
      <c r="D2042" s="1" t="s">
        <v>8964</v>
      </c>
      <c r="F2042" s="1" t="str">
        <f>"0802135277"</f>
        <v>0802135277</v>
      </c>
      <c r="G2042" s="1" t="str">
        <f>"9780802135278"</f>
        <v>9780802135278</v>
      </c>
      <c r="H2042" s="1">
        <v>0.0</v>
      </c>
      <c r="I2042" s="1">
        <v>4.02</v>
      </c>
      <c r="J2042" s="1" t="s">
        <v>663</v>
      </c>
      <c r="K2042" s="1" t="s">
        <v>44</v>
      </c>
      <c r="L2042" s="1">
        <v>544.0</v>
      </c>
      <c r="M2042" s="1">
        <v>1998.0</v>
      </c>
      <c r="N2042" s="1">
        <v>1977.0</v>
      </c>
      <c r="P2042" s="2">
        <v>45129.0</v>
      </c>
      <c r="Q2042" s="1" t="s">
        <v>633</v>
      </c>
      <c r="R2042" s="1" t="s">
        <v>8965</v>
      </c>
      <c r="S2042" s="1" t="s">
        <v>32</v>
      </c>
      <c r="W2042" s="1">
        <v>0.0</v>
      </c>
      <c r="X2042" s="1">
        <v>0.0</v>
      </c>
    </row>
    <row r="2043" spans="1:24" ht="15.75" customHeight="1">
      <c r="A2043" s="1">
        <v>156196.0</v>
      </c>
      <c r="B2043" s="1" t="s">
        <v>8966</v>
      </c>
      <c r="C2043" s="1" t="s">
        <v>8963</v>
      </c>
      <c r="D2043" s="1" t="s">
        <v>8964</v>
      </c>
      <c r="F2043" s="1" t="str">
        <f>"0802135404"</f>
        <v>0802135404</v>
      </c>
      <c r="G2043" s="1" t="str">
        <f>"9780802135407"</f>
        <v>9780802135407</v>
      </c>
      <c r="H2043" s="1">
        <v>0.0</v>
      </c>
      <c r="I2043" s="1">
        <v>3.64</v>
      </c>
      <c r="J2043" s="1" t="s">
        <v>663</v>
      </c>
      <c r="K2043" s="1" t="s">
        <v>44</v>
      </c>
      <c r="L2043" s="1">
        <v>102.0</v>
      </c>
      <c r="M2043" s="1">
        <v>1997.0</v>
      </c>
      <c r="N2043" s="1">
        <v>1981.0</v>
      </c>
      <c r="P2043" s="2">
        <v>45123.0</v>
      </c>
      <c r="Q2043" s="1" t="s">
        <v>32</v>
      </c>
      <c r="R2043" s="1" t="s">
        <v>8967</v>
      </c>
      <c r="S2043" s="1" t="s">
        <v>32</v>
      </c>
      <c r="W2043" s="1">
        <v>0.0</v>
      </c>
      <c r="X2043" s="1">
        <v>0.0</v>
      </c>
    </row>
    <row r="2044" spans="1:24" ht="15.75" customHeight="1">
      <c r="A2044" s="1">
        <v>478.0</v>
      </c>
      <c r="B2044" s="1" t="s">
        <v>8968</v>
      </c>
      <c r="C2044" s="1" t="s">
        <v>8969</v>
      </c>
      <c r="D2044" s="1" t="s">
        <v>8970</v>
      </c>
      <c r="F2044" s="1" t="str">
        <f>"0743203046"</f>
        <v>0743203046</v>
      </c>
      <c r="G2044" s="1" t="str">
        <f>"9780743203043"</f>
        <v>9780743203043</v>
      </c>
      <c r="H2044" s="1">
        <v>0.0</v>
      </c>
      <c r="I2044" s="1">
        <v>3.83</v>
      </c>
      <c r="J2044" s="1" t="s">
        <v>8971</v>
      </c>
      <c r="K2044" s="1" t="s">
        <v>44</v>
      </c>
      <c r="L2044" s="1">
        <v>544.0</v>
      </c>
      <c r="M2044" s="1">
        <v>2001.0</v>
      </c>
      <c r="N2044" s="1">
        <v>2000.0</v>
      </c>
      <c r="P2044" s="2">
        <v>44171.0</v>
      </c>
      <c r="Q2044" s="1" t="s">
        <v>55</v>
      </c>
      <c r="R2044" s="1" t="s">
        <v>8972</v>
      </c>
      <c r="S2044" s="1" t="s">
        <v>32</v>
      </c>
      <c r="W2044" s="1">
        <v>0.0</v>
      </c>
      <c r="X2044" s="1">
        <v>0.0</v>
      </c>
    </row>
    <row r="2045" spans="1:24" ht="15.75" customHeight="1">
      <c r="A2045" s="1">
        <v>6.0279799E7</v>
      </c>
      <c r="B2045" s="1" t="s">
        <v>8973</v>
      </c>
      <c r="C2045" s="1" t="s">
        <v>8974</v>
      </c>
      <c r="D2045" s="1" t="s">
        <v>8975</v>
      </c>
      <c r="F2045" s="1" t="str">
        <f>"0593300149"</f>
        <v>0593300149</v>
      </c>
      <c r="G2045" s="1" t="str">
        <f>"9780593300145"</f>
        <v>9780593300145</v>
      </c>
      <c r="H2045" s="1">
        <v>0.0</v>
      </c>
      <c r="I2045" s="1">
        <v>4.13</v>
      </c>
      <c r="J2045" s="1" t="s">
        <v>54</v>
      </c>
      <c r="K2045" s="1" t="s">
        <v>37</v>
      </c>
      <c r="L2045" s="1">
        <v>400.0</v>
      </c>
      <c r="M2045" s="1">
        <v>2022.0</v>
      </c>
      <c r="N2045" s="1">
        <v>2022.0</v>
      </c>
      <c r="P2045" s="2">
        <v>45313.0</v>
      </c>
      <c r="Q2045" s="1" t="s">
        <v>55</v>
      </c>
      <c r="R2045" s="1" t="s">
        <v>8976</v>
      </c>
      <c r="S2045" s="1" t="s">
        <v>32</v>
      </c>
      <c r="W2045" s="1">
        <v>0.0</v>
      </c>
      <c r="X2045" s="1">
        <v>0.0</v>
      </c>
    </row>
    <row r="2046" spans="1:24" ht="15.75" customHeight="1">
      <c r="A2046" s="1">
        <v>519039.0</v>
      </c>
      <c r="B2046" s="1" t="s">
        <v>8977</v>
      </c>
      <c r="C2046" s="1" t="s">
        <v>8978</v>
      </c>
      <c r="D2046" s="1" t="s">
        <v>8979</v>
      </c>
      <c r="E2046" s="1" t="s">
        <v>1503</v>
      </c>
      <c r="F2046" s="1" t="str">
        <f>"0814775039"</f>
        <v>0814775039</v>
      </c>
      <c r="G2046" s="1" t="str">
        <f>"9780814775035"</f>
        <v>9780814775035</v>
      </c>
      <c r="H2046" s="1">
        <v>0.0</v>
      </c>
      <c r="I2046" s="1">
        <v>4.49</v>
      </c>
      <c r="J2046" s="1" t="s">
        <v>1719</v>
      </c>
      <c r="K2046" s="1" t="s">
        <v>44</v>
      </c>
      <c r="L2046" s="1">
        <v>208.0</v>
      </c>
      <c r="M2046" s="1">
        <v>2001.0</v>
      </c>
      <c r="N2046" s="1">
        <v>2001.0</v>
      </c>
      <c r="P2046" s="2">
        <v>43984.0</v>
      </c>
      <c r="Q2046" s="1" t="s">
        <v>553</v>
      </c>
      <c r="R2046" s="1" t="s">
        <v>8980</v>
      </c>
      <c r="S2046" s="1" t="s">
        <v>32</v>
      </c>
      <c r="W2046" s="1">
        <v>0.0</v>
      </c>
      <c r="X2046" s="1">
        <v>0.0</v>
      </c>
    </row>
    <row r="2047" spans="1:24" ht="15.75" customHeight="1">
      <c r="A2047" s="1">
        <v>10162.0</v>
      </c>
      <c r="B2047" s="1" t="s">
        <v>8981</v>
      </c>
      <c r="C2047" s="1" t="s">
        <v>8982</v>
      </c>
      <c r="D2047" s="1" t="s">
        <v>8983</v>
      </c>
      <c r="F2047" s="1" t="str">
        <f>"1400095794"</f>
        <v>1400095794</v>
      </c>
      <c r="G2047" s="1" t="str">
        <f>"9781400095797"</f>
        <v>9781400095797</v>
      </c>
      <c r="H2047" s="1">
        <v>0.0</v>
      </c>
      <c r="I2047" s="1">
        <v>3.98</v>
      </c>
      <c r="J2047" s="1" t="s">
        <v>239</v>
      </c>
      <c r="K2047" s="1" t="s">
        <v>44</v>
      </c>
      <c r="L2047" s="1">
        <v>384.0</v>
      </c>
      <c r="M2047" s="1">
        <v>2006.0</v>
      </c>
      <c r="N2047" s="1">
        <v>2005.0</v>
      </c>
      <c r="P2047" s="3">
        <v>45260.0</v>
      </c>
      <c r="Q2047" s="1" t="s">
        <v>3356</v>
      </c>
      <c r="R2047" s="1" t="s">
        <v>8984</v>
      </c>
      <c r="S2047" s="1" t="s">
        <v>32</v>
      </c>
      <c r="W2047" s="1">
        <v>0.0</v>
      </c>
      <c r="X2047" s="1">
        <v>0.0</v>
      </c>
    </row>
    <row r="2048" spans="1:24" ht="15.75" customHeight="1">
      <c r="A2048" s="1">
        <v>6.2332903E7</v>
      </c>
      <c r="B2048" s="1" t="s">
        <v>8985</v>
      </c>
      <c r="C2048" s="1" t="s">
        <v>8986</v>
      </c>
      <c r="D2048" s="1" t="s">
        <v>8987</v>
      </c>
      <c r="E2048" s="1" t="s">
        <v>8988</v>
      </c>
      <c r="F2048" s="1" t="str">
        <f>""</f>
        <v/>
      </c>
      <c r="G2048" s="1" t="str">
        <f>"9798351112435"</f>
        <v>9798351112435</v>
      </c>
      <c r="H2048" s="1">
        <v>0.0</v>
      </c>
      <c r="I2048" s="1">
        <v>4.6</v>
      </c>
      <c r="J2048" s="1" t="s">
        <v>8989</v>
      </c>
      <c r="K2048" s="1" t="s">
        <v>44</v>
      </c>
      <c r="L2048" s="1">
        <v>81.0</v>
      </c>
      <c r="M2048" s="1">
        <v>2022.0</v>
      </c>
      <c r="N2048" s="1">
        <v>2021.0</v>
      </c>
      <c r="P2048" s="2">
        <v>45239.0</v>
      </c>
      <c r="Q2048" s="1" t="s">
        <v>145</v>
      </c>
      <c r="R2048" s="1" t="s">
        <v>8990</v>
      </c>
      <c r="S2048" s="1" t="s">
        <v>32</v>
      </c>
      <c r="W2048" s="1">
        <v>0.0</v>
      </c>
      <c r="X2048" s="1">
        <v>0.0</v>
      </c>
    </row>
    <row r="2049" spans="1:24" ht="15.75" customHeight="1">
      <c r="A2049" s="1">
        <v>243970.0</v>
      </c>
      <c r="B2049" s="1" t="s">
        <v>8991</v>
      </c>
      <c r="C2049" s="1" t="s">
        <v>8992</v>
      </c>
      <c r="D2049" s="1" t="s">
        <v>8993</v>
      </c>
      <c r="F2049" s="1" t="str">
        <f>"0877040583"</f>
        <v>0877040583</v>
      </c>
      <c r="G2049" s="1" t="str">
        <f>"9780877040583"</f>
        <v>9780877040583</v>
      </c>
      <c r="H2049" s="1">
        <v>0.0</v>
      </c>
      <c r="I2049" s="1">
        <v>4.32</v>
      </c>
      <c r="J2049" s="1" t="s">
        <v>8994</v>
      </c>
      <c r="K2049" s="1" t="s">
        <v>44</v>
      </c>
      <c r="L2049" s="1">
        <v>106.0</v>
      </c>
      <c r="M2049" s="1">
        <v>2001.0</v>
      </c>
      <c r="N2049" s="1">
        <v>1982.0</v>
      </c>
      <c r="P2049" s="2">
        <v>43926.0</v>
      </c>
      <c r="Q2049" s="1" t="s">
        <v>32</v>
      </c>
      <c r="R2049" s="1" t="s">
        <v>8995</v>
      </c>
      <c r="S2049" s="1" t="s">
        <v>32</v>
      </c>
      <c r="W2049" s="1">
        <v>0.0</v>
      </c>
      <c r="X2049" s="1">
        <v>0.0</v>
      </c>
    </row>
    <row r="2050" spans="1:24" ht="15.75" customHeight="1">
      <c r="A2050" s="1">
        <v>2.1947208E7</v>
      </c>
      <c r="B2050" s="1" t="s">
        <v>8996</v>
      </c>
      <c r="C2050" s="1" t="s">
        <v>8997</v>
      </c>
      <c r="D2050" s="1" t="s">
        <v>8998</v>
      </c>
      <c r="E2050" s="1" t="s">
        <v>8999</v>
      </c>
      <c r="F2050" s="1" t="str">
        <f t="shared" si="150" ref="F2050:G2050">""</f>
        <v/>
      </c>
      <c r="G2050" s="1" t="str">
        <f t="shared" si="150"/>
        <v/>
      </c>
      <c r="H2050" s="1">
        <v>0.0</v>
      </c>
      <c r="I2050" s="1">
        <v>4.21</v>
      </c>
      <c r="J2050" s="1" t="s">
        <v>813</v>
      </c>
      <c r="K2050" s="1" t="s">
        <v>44</v>
      </c>
      <c r="L2050" s="1">
        <v>585.0</v>
      </c>
      <c r="M2050" s="1">
        <v>1962.0</v>
      </c>
      <c r="N2050" s="1">
        <v>1934.0</v>
      </c>
      <c r="P2050" s="2">
        <v>45113.0</v>
      </c>
      <c r="Q2050" s="1" t="s">
        <v>4539</v>
      </c>
      <c r="R2050" s="1" t="s">
        <v>9000</v>
      </c>
      <c r="S2050" s="1" t="s">
        <v>32</v>
      </c>
      <c r="W2050" s="1">
        <v>0.0</v>
      </c>
      <c r="X2050" s="1">
        <v>1.0</v>
      </c>
    </row>
    <row r="2051" spans="1:24" ht="15.75" customHeight="1">
      <c r="A2051" s="1">
        <v>820465.0</v>
      </c>
      <c r="B2051" s="1" t="s">
        <v>9001</v>
      </c>
      <c r="C2051" s="1" t="s">
        <v>8997</v>
      </c>
      <c r="D2051" s="1" t="s">
        <v>8998</v>
      </c>
      <c r="F2051" s="1" t="str">
        <f>"0374504938"</f>
        <v>0374504938</v>
      </c>
      <c r="G2051" s="1" t="str">
        <f>"9780374504939"</f>
        <v>9780374504939</v>
      </c>
      <c r="H2051" s="1">
        <v>0.0</v>
      </c>
      <c r="I2051" s="1">
        <v>4.03</v>
      </c>
      <c r="J2051" s="1" t="s">
        <v>438</v>
      </c>
      <c r="K2051" s="1" t="s">
        <v>44</v>
      </c>
      <c r="L2051" s="1">
        <v>512.0</v>
      </c>
      <c r="M2051" s="1">
        <v>1966.0</v>
      </c>
      <c r="N2051" s="1">
        <v>1948.0</v>
      </c>
      <c r="P2051" s="2">
        <v>45070.0</v>
      </c>
      <c r="Q2051" s="1" t="s">
        <v>6423</v>
      </c>
      <c r="R2051" s="1" t="s">
        <v>9002</v>
      </c>
      <c r="S2051" s="1" t="s">
        <v>32</v>
      </c>
      <c r="W2051" s="1">
        <v>0.0</v>
      </c>
      <c r="X2051" s="1">
        <v>0.0</v>
      </c>
    </row>
    <row r="2052" spans="1:24" ht="15.75" customHeight="1">
      <c r="A2052" s="1">
        <v>820461.0</v>
      </c>
      <c r="B2052" s="1" t="s">
        <v>9003</v>
      </c>
      <c r="C2052" s="1" t="s">
        <v>8997</v>
      </c>
      <c r="D2052" s="1" t="s">
        <v>8998</v>
      </c>
      <c r="F2052" s="1" t="str">
        <f>"0140171991"</f>
        <v>0140171991</v>
      </c>
      <c r="G2052" s="1" t="str">
        <f>"9780140171990"</f>
        <v>9780140171990</v>
      </c>
      <c r="H2052" s="1">
        <v>0.0</v>
      </c>
      <c r="I2052" s="1">
        <v>4.15</v>
      </c>
      <c r="J2052" s="1" t="s">
        <v>309</v>
      </c>
      <c r="K2052" s="1" t="s">
        <v>44</v>
      </c>
      <c r="L2052" s="1">
        <v>782.0</v>
      </c>
      <c r="M2052" s="1">
        <v>1992.0</v>
      </c>
      <c r="N2052" s="1">
        <v>1955.0</v>
      </c>
      <c r="P2052" s="2">
        <v>44988.0</v>
      </c>
      <c r="Q2052" s="1" t="s">
        <v>2810</v>
      </c>
      <c r="R2052" s="1" t="s">
        <v>9004</v>
      </c>
      <c r="S2052" s="1" t="s">
        <v>32</v>
      </c>
      <c r="W2052" s="1">
        <v>0.0</v>
      </c>
      <c r="X2052" s="1">
        <v>0.0</v>
      </c>
    </row>
    <row r="2053" spans="1:24" ht="15.75" customHeight="1">
      <c r="A2053" s="1">
        <v>18765.0</v>
      </c>
      <c r="B2053" s="1" t="s">
        <v>9005</v>
      </c>
      <c r="C2053" s="1" t="s">
        <v>8997</v>
      </c>
      <c r="D2053" s="1" t="s">
        <v>8998</v>
      </c>
      <c r="F2053" s="1" t="str">
        <f>"067972477X"</f>
        <v>067972477X</v>
      </c>
      <c r="G2053" s="1" t="str">
        <f>"9780679724773"</f>
        <v>9780679724773</v>
      </c>
      <c r="H2053" s="1">
        <v>0.0</v>
      </c>
      <c r="I2053" s="1">
        <v>4.24</v>
      </c>
      <c r="J2053" s="1" t="s">
        <v>69</v>
      </c>
      <c r="K2053" s="1" t="s">
        <v>44</v>
      </c>
      <c r="L2053" s="1">
        <v>468.0</v>
      </c>
      <c r="M2053" s="1">
        <v>1989.0</v>
      </c>
      <c r="N2053" s="1">
        <v>1934.0</v>
      </c>
      <c r="O2053" s="2">
        <v>41651.0</v>
      </c>
      <c r="P2053" s="3">
        <v>41620.0</v>
      </c>
      <c r="Q2053" s="1" t="s">
        <v>4539</v>
      </c>
      <c r="R2053" s="1" t="s">
        <v>9006</v>
      </c>
      <c r="S2053" s="1" t="s">
        <v>32</v>
      </c>
      <c r="W2053" s="1">
        <v>1.0</v>
      </c>
      <c r="X2053" s="1">
        <v>1.0</v>
      </c>
    </row>
    <row r="2054" spans="1:24" ht="15.75" customHeight="1">
      <c r="A2054" s="1">
        <v>3.7801231E7</v>
      </c>
      <c r="B2054" s="1" t="s">
        <v>9007</v>
      </c>
      <c r="C2054" s="1" t="s">
        <v>9008</v>
      </c>
      <c r="D2054" s="1" t="s">
        <v>9009</v>
      </c>
      <c r="F2054" s="1" t="str">
        <f>"1507300425"</f>
        <v>1507300425</v>
      </c>
      <c r="G2054" s="1" t="str">
        <f>"9781507300428"</f>
        <v>9781507300428</v>
      </c>
      <c r="H2054" s="1">
        <v>0.0</v>
      </c>
      <c r="I2054" s="1">
        <v>4.43</v>
      </c>
      <c r="J2054" s="1" t="s">
        <v>9010</v>
      </c>
      <c r="K2054" s="1" t="s">
        <v>29</v>
      </c>
      <c r="L2054" s="1">
        <v>538.0</v>
      </c>
      <c r="M2054" s="1">
        <v>1997.0</v>
      </c>
      <c r="N2054" s="1">
        <v>1981.0</v>
      </c>
      <c r="P2054" s="2">
        <v>45140.0</v>
      </c>
      <c r="Q2054" s="1" t="s">
        <v>9011</v>
      </c>
      <c r="R2054" s="1" t="s">
        <v>9012</v>
      </c>
      <c r="S2054" s="1" t="s">
        <v>32</v>
      </c>
      <c r="W2054" s="1">
        <v>0.0</v>
      </c>
      <c r="X2054" s="1">
        <v>0.0</v>
      </c>
    </row>
    <row r="2055" spans="1:24" ht="15.75" customHeight="1">
      <c r="A2055" s="1">
        <v>775939.0</v>
      </c>
      <c r="B2055" s="1" t="s">
        <v>9013</v>
      </c>
      <c r="C2055" s="1" t="s">
        <v>9014</v>
      </c>
      <c r="D2055" s="1" t="s">
        <v>9015</v>
      </c>
      <c r="F2055" s="1" t="str">
        <f>"0262581833"</f>
        <v>0262581833</v>
      </c>
      <c r="G2055" s="1" t="str">
        <f>"9780262581837"</f>
        <v>9780262581837</v>
      </c>
      <c r="H2055" s="1">
        <v>0.0</v>
      </c>
      <c r="I2055" s="1">
        <v>4.03</v>
      </c>
      <c r="J2055" s="1" t="s">
        <v>2291</v>
      </c>
      <c r="K2055" s="1" t="s">
        <v>44</v>
      </c>
      <c r="L2055" s="1">
        <v>192.0</v>
      </c>
      <c r="M2055" s="1">
        <v>2000.0</v>
      </c>
      <c r="N2055" s="1">
        <v>1977.0</v>
      </c>
      <c r="P2055" s="2">
        <v>45115.0</v>
      </c>
      <c r="Q2055" s="1" t="s">
        <v>32</v>
      </c>
      <c r="R2055" s="1" t="s">
        <v>9016</v>
      </c>
      <c r="S2055" s="1" t="s">
        <v>32</v>
      </c>
      <c r="W2055" s="1">
        <v>0.0</v>
      </c>
      <c r="X2055" s="1">
        <v>0.0</v>
      </c>
    </row>
    <row r="2056" spans="1:24" ht="15.75" customHeight="1">
      <c r="A2056" s="1">
        <v>1.506925E7</v>
      </c>
      <c r="B2056" s="1" t="s">
        <v>9017</v>
      </c>
      <c r="C2056" s="1" t="s">
        <v>9018</v>
      </c>
      <c r="D2056" s="1" t="s">
        <v>9019</v>
      </c>
      <c r="F2056" s="1" t="str">
        <f>"0865980853"</f>
        <v>0865980853</v>
      </c>
      <c r="G2056" s="1" t="str">
        <f>"9780865980853"</f>
        <v>9780865980853</v>
      </c>
      <c r="H2056" s="1">
        <v>0.0</v>
      </c>
      <c r="I2056" s="1">
        <v>0.0</v>
      </c>
      <c r="J2056" s="1" t="s">
        <v>4677</v>
      </c>
      <c r="K2056" s="1" t="s">
        <v>37</v>
      </c>
      <c r="L2056" s="1">
        <v>224.0</v>
      </c>
      <c r="M2056" s="1">
        <v>1986.0</v>
      </c>
      <c r="N2056" s="1">
        <v>1986.0</v>
      </c>
      <c r="P2056" s="2">
        <v>45300.0</v>
      </c>
      <c r="Q2056" s="1" t="s">
        <v>32</v>
      </c>
      <c r="R2056" s="1" t="s">
        <v>9020</v>
      </c>
      <c r="S2056" s="1" t="s">
        <v>32</v>
      </c>
      <c r="W2056" s="1">
        <v>0.0</v>
      </c>
      <c r="X2056" s="1">
        <v>0.0</v>
      </c>
    </row>
    <row r="2057" spans="1:24" ht="15.75" customHeight="1">
      <c r="A2057" s="1">
        <v>549257.0</v>
      </c>
      <c r="B2057" s="1" t="s">
        <v>9021</v>
      </c>
      <c r="C2057" s="1" t="s">
        <v>9022</v>
      </c>
      <c r="D2057" s="1" t="s">
        <v>9023</v>
      </c>
      <c r="F2057" s="1" t="str">
        <f>"0807842532"</f>
        <v>0807842532</v>
      </c>
      <c r="G2057" s="1" t="str">
        <f>"9780807842539"</f>
        <v>9780807842539</v>
      </c>
      <c r="H2057" s="1">
        <v>0.0</v>
      </c>
      <c r="I2057" s="1">
        <v>4.14</v>
      </c>
      <c r="J2057" s="1" t="s">
        <v>9024</v>
      </c>
      <c r="K2057" s="1" t="s">
        <v>44</v>
      </c>
      <c r="L2057" s="1">
        <v>524.0</v>
      </c>
      <c r="M2057" s="1">
        <v>1989.0</v>
      </c>
      <c r="N2057" s="1">
        <v>1963.0</v>
      </c>
      <c r="P2057" s="2">
        <v>45300.0</v>
      </c>
      <c r="Q2057" s="1" t="s">
        <v>30</v>
      </c>
      <c r="R2057" s="1" t="s">
        <v>9025</v>
      </c>
      <c r="S2057" s="1" t="s">
        <v>32</v>
      </c>
      <c r="W2057" s="1">
        <v>0.0</v>
      </c>
      <c r="X2057" s="1">
        <v>0.0</v>
      </c>
    </row>
    <row r="2058" spans="1:24" ht="15.75" customHeight="1">
      <c r="A2058" s="1">
        <v>173187.0</v>
      </c>
      <c r="B2058" s="1" t="s">
        <v>9026</v>
      </c>
      <c r="C2058" s="1" t="s">
        <v>9022</v>
      </c>
      <c r="D2058" s="1" t="s">
        <v>9023</v>
      </c>
      <c r="F2058" s="1" t="str">
        <f>"0465049052"</f>
        <v>0465049052</v>
      </c>
      <c r="G2058" s="1" t="str">
        <f>"9780465049059"</f>
        <v>9780465049059</v>
      </c>
      <c r="H2058" s="1">
        <v>0.0</v>
      </c>
      <c r="I2058" s="1">
        <v>4.12</v>
      </c>
      <c r="J2058" s="1" t="s">
        <v>1536</v>
      </c>
      <c r="K2058" s="1" t="s">
        <v>44</v>
      </c>
      <c r="L2058" s="1">
        <v>561.0</v>
      </c>
      <c r="M2058" s="1">
        <v>1986.0</v>
      </c>
      <c r="N2058" s="1">
        <v>1986.0</v>
      </c>
      <c r="P2058" s="3">
        <v>45272.0</v>
      </c>
      <c r="Q2058" s="1" t="s">
        <v>479</v>
      </c>
      <c r="R2058" s="1" t="s">
        <v>9027</v>
      </c>
      <c r="S2058" s="1" t="s">
        <v>32</v>
      </c>
      <c r="W2058" s="1">
        <v>0.0</v>
      </c>
      <c r="X2058" s="1">
        <v>0.0</v>
      </c>
    </row>
    <row r="2059" spans="1:24" ht="15.75" customHeight="1">
      <c r="A2059" s="1">
        <v>5.2576333E7</v>
      </c>
      <c r="B2059" s="1" t="s">
        <v>95</v>
      </c>
      <c r="C2059" s="1" t="s">
        <v>9028</v>
      </c>
      <c r="D2059" s="1" t="s">
        <v>9029</v>
      </c>
      <c r="F2059" s="1" t="str">
        <f t="shared" si="151" ref="F2059:G2059">""</f>
        <v/>
      </c>
      <c r="G2059" s="1" t="str">
        <f t="shared" si="151"/>
        <v/>
      </c>
      <c r="H2059" s="1">
        <v>0.0</v>
      </c>
      <c r="I2059" s="1">
        <v>3.92</v>
      </c>
      <c r="J2059" s="1" t="s">
        <v>9030</v>
      </c>
      <c r="K2059" s="1" t="s">
        <v>37</v>
      </c>
      <c r="L2059" s="1">
        <v>400.0</v>
      </c>
      <c r="M2059" s="1">
        <v>2021.0</v>
      </c>
      <c r="N2059" s="1">
        <v>2021.0</v>
      </c>
      <c r="P2059" s="2">
        <v>44199.0</v>
      </c>
      <c r="Q2059" s="1" t="s">
        <v>218</v>
      </c>
      <c r="R2059" s="1" t="s">
        <v>9031</v>
      </c>
      <c r="S2059" s="1" t="s">
        <v>32</v>
      </c>
      <c r="W2059" s="1">
        <v>0.0</v>
      </c>
      <c r="X2059" s="1">
        <v>0.0</v>
      </c>
    </row>
    <row r="2060" spans="1:24" ht="15.75" customHeight="1">
      <c r="A2060" s="1">
        <v>874941.0</v>
      </c>
      <c r="B2060" s="1" t="s">
        <v>9032</v>
      </c>
      <c r="C2060" s="1" t="s">
        <v>9033</v>
      </c>
      <c r="D2060" s="1" t="s">
        <v>9034</v>
      </c>
      <c r="E2060" s="1" t="s">
        <v>9035</v>
      </c>
      <c r="F2060" s="1" t="str">
        <f>"0550142304"</f>
        <v>0550142304</v>
      </c>
      <c r="G2060" s="1" t="str">
        <f>"9780550142306"</f>
        <v>9780550142306</v>
      </c>
      <c r="H2060" s="1">
        <v>0.0</v>
      </c>
      <c r="I2060" s="1">
        <v>4.49</v>
      </c>
      <c r="J2060" s="1" t="s">
        <v>9036</v>
      </c>
      <c r="K2060" s="1" t="s">
        <v>37</v>
      </c>
      <c r="L2060" s="1">
        <v>1320.0</v>
      </c>
      <c r="M2060" s="1">
        <v>1999.0</v>
      </c>
      <c r="N2060" s="1">
        <v>1988.0</v>
      </c>
      <c r="P2060" s="2">
        <v>44455.0</v>
      </c>
      <c r="Q2060" s="1" t="s">
        <v>49</v>
      </c>
      <c r="R2060" s="1" t="s">
        <v>9037</v>
      </c>
      <c r="S2060" s="1" t="s">
        <v>32</v>
      </c>
      <c r="W2060" s="1">
        <v>0.0</v>
      </c>
      <c r="X2060" s="1">
        <v>0.0</v>
      </c>
    </row>
    <row r="2061" spans="1:24" ht="15.75" customHeight="1">
      <c r="A2061" s="1">
        <v>5.0088631E7</v>
      </c>
      <c r="B2061" s="1" t="s">
        <v>9038</v>
      </c>
      <c r="C2061" s="1" t="s">
        <v>9039</v>
      </c>
      <c r="D2061" s="1" t="s">
        <v>9040</v>
      </c>
      <c r="F2061" s="1" t="str">
        <f>"038554376X"</f>
        <v>038554376X</v>
      </c>
      <c r="G2061" s="1" t="str">
        <f>"9780385543767"</f>
        <v>9780385543767</v>
      </c>
      <c r="H2061" s="1">
        <v>0.0</v>
      </c>
      <c r="I2061" s="1">
        <v>4.16</v>
      </c>
      <c r="J2061" s="1" t="s">
        <v>4138</v>
      </c>
      <c r="K2061" s="1" t="s">
        <v>37</v>
      </c>
      <c r="L2061" s="1">
        <v>377.0</v>
      </c>
      <c r="M2061" s="1">
        <v>2020.0</v>
      </c>
      <c r="N2061" s="1">
        <v>2020.0</v>
      </c>
      <c r="P2061" s="2">
        <v>43926.0</v>
      </c>
      <c r="Q2061" s="1" t="s">
        <v>32</v>
      </c>
      <c r="R2061" s="1" t="s">
        <v>9041</v>
      </c>
      <c r="S2061" s="1" t="s">
        <v>32</v>
      </c>
      <c r="W2061" s="1">
        <v>0.0</v>
      </c>
      <c r="X2061" s="1">
        <v>0.0</v>
      </c>
    </row>
    <row r="2062" spans="1:24" ht="15.75" customHeight="1">
      <c r="A2062" s="1">
        <v>91781.0</v>
      </c>
      <c r="B2062" s="1" t="s">
        <v>9042</v>
      </c>
      <c r="C2062" s="1" t="s">
        <v>9043</v>
      </c>
      <c r="D2062" s="1" t="s">
        <v>9044</v>
      </c>
      <c r="E2062" s="1" t="s">
        <v>9045</v>
      </c>
      <c r="F2062" s="1" t="str">
        <f>"0062506064"</f>
        <v>0062506064</v>
      </c>
      <c r="G2062" s="1" t="str">
        <f>"9780062506061"</f>
        <v>9780062506061</v>
      </c>
      <c r="H2062" s="1">
        <v>0.0</v>
      </c>
      <c r="I2062" s="1">
        <v>4.13</v>
      </c>
      <c r="J2062" s="1" t="s">
        <v>525</v>
      </c>
      <c r="K2062" s="1" t="s">
        <v>44</v>
      </c>
      <c r="L2062" s="1">
        <v>192.0</v>
      </c>
      <c r="M2062" s="1">
        <v>1991.0</v>
      </c>
      <c r="N2062" s="1">
        <v>1990.0</v>
      </c>
      <c r="P2062" s="2">
        <v>45172.0</v>
      </c>
      <c r="Q2062" s="1" t="s">
        <v>9046</v>
      </c>
      <c r="R2062" s="1" t="s">
        <v>9047</v>
      </c>
      <c r="S2062" s="1" t="s">
        <v>32</v>
      </c>
      <c r="W2062" s="1">
        <v>0.0</v>
      </c>
      <c r="X2062" s="1">
        <v>0.0</v>
      </c>
    </row>
    <row r="2063" spans="1:24" ht="15.75" customHeight="1">
      <c r="A2063" s="1">
        <v>1056293.0</v>
      </c>
      <c r="B2063" s="1" t="s">
        <v>9048</v>
      </c>
      <c r="C2063" s="1" t="s">
        <v>9049</v>
      </c>
      <c r="D2063" s="1" t="s">
        <v>9050</v>
      </c>
      <c r="E2063" s="1" t="s">
        <v>9051</v>
      </c>
      <c r="F2063" s="1" t="str">
        <f>"0807015598"</f>
        <v>0807015598</v>
      </c>
      <c r="G2063" s="1" t="str">
        <f>"9780807015599"</f>
        <v>9780807015599</v>
      </c>
      <c r="H2063" s="1">
        <v>0.0</v>
      </c>
      <c r="I2063" s="1">
        <v>3.54</v>
      </c>
      <c r="J2063" s="1" t="s">
        <v>758</v>
      </c>
      <c r="K2063" s="1" t="s">
        <v>44</v>
      </c>
      <c r="L2063" s="1">
        <v>123.0</v>
      </c>
      <c r="M2063" s="1">
        <v>1997.0</v>
      </c>
      <c r="N2063" s="1">
        <v>1965.0</v>
      </c>
      <c r="P2063" s="2">
        <v>43950.0</v>
      </c>
      <c r="Q2063" s="1" t="s">
        <v>32</v>
      </c>
      <c r="R2063" s="1" t="s">
        <v>9052</v>
      </c>
      <c r="S2063" s="1" t="s">
        <v>32</v>
      </c>
      <c r="W2063" s="1">
        <v>0.0</v>
      </c>
      <c r="X2063" s="1">
        <v>0.0</v>
      </c>
    </row>
    <row r="2064" spans="1:24" ht="15.75" customHeight="1">
      <c r="A2064" s="1">
        <v>1.7832208E7</v>
      </c>
      <c r="B2064" s="1" t="s">
        <v>9053</v>
      </c>
      <c r="C2064" s="1" t="s">
        <v>9054</v>
      </c>
      <c r="D2064" s="1" t="s">
        <v>9055</v>
      </c>
      <c r="F2064" s="1" t="str">
        <f t="shared" si="152" ref="F2064:G2064">""</f>
        <v/>
      </c>
      <c r="G2064" s="1" t="str">
        <f t="shared" si="152"/>
        <v/>
      </c>
      <c r="H2064" s="1">
        <v>0.0</v>
      </c>
      <c r="I2064" s="1">
        <v>3.91</v>
      </c>
      <c r="J2064" s="1" t="s">
        <v>9056</v>
      </c>
      <c r="K2064" s="1" t="s">
        <v>37</v>
      </c>
      <c r="L2064" s="1">
        <v>399.0</v>
      </c>
      <c r="M2064" s="1">
        <v>1966.0</v>
      </c>
      <c r="N2064" s="1">
        <v>1962.0</v>
      </c>
      <c r="P2064" s="2">
        <v>45129.0</v>
      </c>
      <c r="Q2064" s="1" t="s">
        <v>145</v>
      </c>
      <c r="R2064" s="1" t="s">
        <v>9057</v>
      </c>
      <c r="S2064" s="1" t="s">
        <v>32</v>
      </c>
      <c r="W2064" s="1">
        <v>0.0</v>
      </c>
      <c r="X2064" s="1">
        <v>0.0</v>
      </c>
    </row>
    <row r="2065" spans="1:24" ht="15.75" customHeight="1">
      <c r="A2065" s="1">
        <v>1.837802E7</v>
      </c>
      <c r="B2065" s="1" t="s">
        <v>9058</v>
      </c>
      <c r="C2065" s="1" t="s">
        <v>9059</v>
      </c>
      <c r="D2065" s="1" t="s">
        <v>9060</v>
      </c>
      <c r="F2065" s="1" t="str">
        <f>"0393348970"</f>
        <v>0393348970</v>
      </c>
      <c r="G2065" s="1" t="str">
        <f>"9780393348972"</f>
        <v>9780393348972</v>
      </c>
      <c r="H2065" s="1">
        <v>0.0</v>
      </c>
      <c r="I2065" s="1">
        <v>3.64</v>
      </c>
      <c r="J2065" s="1" t="s">
        <v>248</v>
      </c>
      <c r="K2065" s="1" t="s">
        <v>44</v>
      </c>
      <c r="L2065" s="1">
        <v>240.0</v>
      </c>
      <c r="M2065" s="1">
        <v>2014.0</v>
      </c>
      <c r="N2065" s="1">
        <v>2013.0</v>
      </c>
      <c r="P2065" s="2">
        <v>45113.0</v>
      </c>
      <c r="Q2065" s="1" t="s">
        <v>449</v>
      </c>
      <c r="R2065" s="1" t="s">
        <v>9061</v>
      </c>
      <c r="S2065" s="1" t="s">
        <v>32</v>
      </c>
      <c r="W2065" s="1">
        <v>0.0</v>
      </c>
      <c r="X2065" s="1">
        <v>1.0</v>
      </c>
    </row>
    <row r="2066" spans="1:24" ht="15.75" customHeight="1">
      <c r="A2066" s="1">
        <v>6316343.0</v>
      </c>
      <c r="B2066" s="1" t="s">
        <v>9062</v>
      </c>
      <c r="C2066" s="1" t="s">
        <v>9063</v>
      </c>
      <c r="D2066" s="1" t="s">
        <v>9064</v>
      </c>
      <c r="F2066" s="1" t="str">
        <f>"0979755425"</f>
        <v>0979755425</v>
      </c>
      <c r="G2066" s="1" t="str">
        <f>"9780979755422"</f>
        <v>9780979755422</v>
      </c>
      <c r="H2066" s="1">
        <v>0.0</v>
      </c>
      <c r="I2066" s="1">
        <v>3.98</v>
      </c>
      <c r="J2066" s="1" t="s">
        <v>9065</v>
      </c>
      <c r="K2066" s="1" t="s">
        <v>44</v>
      </c>
      <c r="L2066" s="1">
        <v>508.0</v>
      </c>
      <c r="M2066" s="1">
        <v>2008.0</v>
      </c>
      <c r="N2066" s="1">
        <v>2007.0</v>
      </c>
      <c r="P2066" s="3">
        <v>41562.0</v>
      </c>
      <c r="Q2066" s="1" t="s">
        <v>32</v>
      </c>
      <c r="R2066" s="1" t="s">
        <v>9066</v>
      </c>
      <c r="S2066" s="1" t="s">
        <v>32</v>
      </c>
      <c r="W2066" s="1">
        <v>0.0</v>
      </c>
      <c r="X2066" s="1">
        <v>0.0</v>
      </c>
    </row>
    <row r="2067" spans="1:24" ht="15.75" customHeight="1">
      <c r="A2067" s="1">
        <v>3.2277642E7</v>
      </c>
      <c r="B2067" s="1" t="s">
        <v>9067</v>
      </c>
      <c r="C2067" s="1" t="s">
        <v>9068</v>
      </c>
      <c r="D2067" s="1" t="s">
        <v>9069</v>
      </c>
      <c r="F2067" s="1" t="str">
        <f>"153905344X"</f>
        <v>153905344X</v>
      </c>
      <c r="G2067" s="1" t="str">
        <f>"9781539053446"</f>
        <v>9781539053446</v>
      </c>
      <c r="H2067" s="1">
        <v>0.0</v>
      </c>
      <c r="I2067" s="1">
        <v>3.55</v>
      </c>
      <c r="J2067" s="1" t="s">
        <v>9070</v>
      </c>
      <c r="K2067" s="1" t="s">
        <v>44</v>
      </c>
      <c r="L2067" s="1">
        <v>224.0</v>
      </c>
      <c r="M2067" s="1">
        <v>2016.0</v>
      </c>
      <c r="N2067" s="1">
        <v>1895.0</v>
      </c>
      <c r="P2067" s="2">
        <v>45110.0</v>
      </c>
      <c r="Q2067" s="1" t="s">
        <v>1143</v>
      </c>
      <c r="R2067" s="1" t="s">
        <v>9071</v>
      </c>
      <c r="S2067" s="1" t="s">
        <v>32</v>
      </c>
      <c r="W2067" s="1">
        <v>0.0</v>
      </c>
      <c r="X2067" s="1">
        <v>0.0</v>
      </c>
    </row>
    <row r="2068" spans="1:24" ht="15.75" customHeight="1">
      <c r="A2068" s="1">
        <v>484644.0</v>
      </c>
      <c r="B2068" s="1" t="s">
        <v>9072</v>
      </c>
      <c r="C2068" s="1" t="s">
        <v>9073</v>
      </c>
      <c r="D2068" s="1" t="s">
        <v>9074</v>
      </c>
      <c r="F2068" s="1" t="str">
        <f>"0971559112"</f>
        <v>0971559112</v>
      </c>
      <c r="G2068" s="1" t="str">
        <f>"9780971559110"</f>
        <v>9780971559110</v>
      </c>
      <c r="H2068" s="1">
        <v>0.0</v>
      </c>
      <c r="I2068" s="1">
        <v>3.55</v>
      </c>
      <c r="J2068" s="1" t="s">
        <v>9075</v>
      </c>
      <c r="K2068" s="1" t="s">
        <v>44</v>
      </c>
      <c r="L2068" s="1">
        <v>280.0</v>
      </c>
      <c r="M2068" s="1">
        <v>2001.0</v>
      </c>
      <c r="N2068" s="1">
        <v>2001.0</v>
      </c>
      <c r="P2068" s="2">
        <v>45122.0</v>
      </c>
      <c r="Q2068" s="1" t="s">
        <v>32</v>
      </c>
      <c r="R2068" s="1" t="s">
        <v>9076</v>
      </c>
      <c r="S2068" s="1" t="s">
        <v>32</v>
      </c>
      <c r="W2068" s="1">
        <v>0.0</v>
      </c>
      <c r="X2068" s="1">
        <v>0.0</v>
      </c>
    </row>
    <row r="2069" spans="1:24" ht="15.75" customHeight="1">
      <c r="A2069" s="1">
        <v>63032.0</v>
      </c>
      <c r="B2069" s="1">
        <v>2666.0</v>
      </c>
      <c r="C2069" s="1" t="s">
        <v>9077</v>
      </c>
      <c r="D2069" s="1" t="s">
        <v>9078</v>
      </c>
      <c r="F2069" s="1" t="str">
        <f>"843396867X"</f>
        <v>843396867X</v>
      </c>
      <c r="G2069" s="1" t="str">
        <f>"9788433968678"</f>
        <v>9788433968678</v>
      </c>
      <c r="H2069" s="1">
        <v>0.0</v>
      </c>
      <c r="I2069" s="1">
        <v>4.2</v>
      </c>
      <c r="J2069" s="1" t="s">
        <v>275</v>
      </c>
      <c r="K2069" s="1" t="s">
        <v>44</v>
      </c>
      <c r="L2069" s="1">
        <v>1128.0</v>
      </c>
      <c r="M2069" s="1">
        <v>2004.0</v>
      </c>
      <c r="N2069" s="1">
        <v>2004.0</v>
      </c>
      <c r="P2069" s="2">
        <v>43970.0</v>
      </c>
      <c r="Q2069" s="1" t="s">
        <v>502</v>
      </c>
      <c r="R2069" s="1" t="s">
        <v>9079</v>
      </c>
      <c r="S2069" s="1" t="s">
        <v>32</v>
      </c>
      <c r="W2069" s="1">
        <v>0.0</v>
      </c>
      <c r="X2069" s="1">
        <v>0.0</v>
      </c>
    </row>
    <row r="2070" spans="1:24" ht="15.75" customHeight="1">
      <c r="A2070" s="119">
        <v>1178230.0</v>
      </c>
      <c r="B2070" s="119" t="s">
        <v>9080</v>
      </c>
      <c r="C2070" s="119" t="s">
        <v>9077</v>
      </c>
      <c r="D2070" s="119" t="s">
        <v>9078</v>
      </c>
      <c r="E2070" s="119" t="s">
        <v>1837</v>
      </c>
      <c r="F2070" s="119" t="str">
        <f>"0811217051"</f>
        <v>0811217051</v>
      </c>
      <c r="G2070" s="119" t="str">
        <f>"9780811217057"</f>
        <v>9780811217057</v>
      </c>
      <c r="H2070" s="119">
        <v>0.0</v>
      </c>
      <c r="I2070" s="119">
        <v>3.9</v>
      </c>
      <c r="J2070" s="119" t="s">
        <v>419</v>
      </c>
      <c r="K2070" s="119" t="s">
        <v>37</v>
      </c>
      <c r="L2070" s="119">
        <v>227.0</v>
      </c>
      <c r="M2070" s="119">
        <v>2008.0</v>
      </c>
      <c r="N2070" s="119">
        <v>1996.0</v>
      </c>
      <c r="O2070" s="120"/>
      <c r="P2070" s="121">
        <v>45214.0</v>
      </c>
      <c r="Q2070" s="122" t="s">
        <v>702</v>
      </c>
      <c r="R2070" s="119" t="s">
        <v>9082</v>
      </c>
      <c r="S2070" s="119" t="s">
        <v>32</v>
      </c>
      <c r="T2070" s="120"/>
      <c r="U2070" s="120"/>
      <c r="V2070" s="120"/>
      <c r="W2070" s="119">
        <v>0.0</v>
      </c>
      <c r="X2070" s="119">
        <v>0.0</v>
      </c>
    </row>
    <row r="2071" spans="1:24" ht="15.75" customHeight="1">
      <c r="A2071" s="119">
        <v>607046.0</v>
      </c>
      <c r="B2071" s="119" t="s">
        <v>9083</v>
      </c>
      <c r="C2071" s="119" t="s">
        <v>9077</v>
      </c>
      <c r="D2071" s="119" t="s">
        <v>9078</v>
      </c>
      <c r="E2071" s="120"/>
      <c r="F2071" s="119" t="str">
        <f>"8433967134"</f>
        <v>8433967134</v>
      </c>
      <c r="G2071" s="119" t="str">
        <f>"9788433967138"</f>
        <v>9788433967138</v>
      </c>
      <c r="H2071" s="119">
        <v>0.0</v>
      </c>
      <c r="I2071" s="119">
        <v>4.01</v>
      </c>
      <c r="J2071" s="119" t="s">
        <v>6994</v>
      </c>
      <c r="K2071" s="119" t="s">
        <v>1225</v>
      </c>
      <c r="L2071" s="119">
        <v>208.0</v>
      </c>
      <c r="M2071" s="119">
        <v>2006.0</v>
      </c>
      <c r="N2071" s="119">
        <v>1997.0</v>
      </c>
      <c r="O2071" s="120"/>
      <c r="P2071" s="123">
        <v>43970.0</v>
      </c>
      <c r="Q2071" s="122" t="s">
        <v>702</v>
      </c>
      <c r="R2071" s="119" t="s">
        <v>9084</v>
      </c>
      <c r="S2071" s="119" t="s">
        <v>32</v>
      </c>
      <c r="T2071" s="120"/>
      <c r="U2071" s="120"/>
      <c r="V2071" s="120"/>
      <c r="W2071" s="119">
        <v>0.0</v>
      </c>
      <c r="X2071" s="119">
        <v>0.0</v>
      </c>
    </row>
    <row r="2072" spans="1:24" ht="15.75" customHeight="1">
      <c r="A2072" s="119">
        <v>63031.0</v>
      </c>
      <c r="B2072" s="119" t="s">
        <v>9085</v>
      </c>
      <c r="C2072" s="119" t="s">
        <v>9077</v>
      </c>
      <c r="D2072" s="119" t="s">
        <v>9078</v>
      </c>
      <c r="E2072" s="119" t="s">
        <v>1837</v>
      </c>
      <c r="F2072" s="119" t="str">
        <f>"0811215474"</f>
        <v>0811215474</v>
      </c>
      <c r="G2072" s="119" t="str">
        <f>"9780811215473"</f>
        <v>9780811215473</v>
      </c>
      <c r="H2072" s="119">
        <v>0.0</v>
      </c>
      <c r="I2072" s="119">
        <v>3.89</v>
      </c>
      <c r="J2072" s="119" t="s">
        <v>419</v>
      </c>
      <c r="K2072" s="119" t="s">
        <v>44</v>
      </c>
      <c r="L2072" s="119">
        <v>118.0</v>
      </c>
      <c r="M2072" s="119">
        <v>2005.0</v>
      </c>
      <c r="N2072" s="119">
        <v>2000.0</v>
      </c>
      <c r="O2072" s="120"/>
      <c r="P2072" s="123">
        <v>43145.0</v>
      </c>
      <c r="Q2072" s="122" t="s">
        <v>702</v>
      </c>
      <c r="R2072" s="119" t="s">
        <v>9086</v>
      </c>
      <c r="S2072" s="119" t="s">
        <v>32</v>
      </c>
      <c r="T2072" s="120"/>
      <c r="U2072" s="120"/>
      <c r="V2072" s="120"/>
      <c r="W2072" s="119">
        <v>0.0</v>
      </c>
      <c r="X2072" s="119">
        <v>0.0</v>
      </c>
    </row>
    <row r="2073" spans="1:24" ht="15.75" customHeight="1">
      <c r="A2073" s="1">
        <v>5.6269247E7</v>
      </c>
      <c r="B2073" s="1" t="s">
        <v>9087</v>
      </c>
      <c r="C2073" s="1" t="s">
        <v>9088</v>
      </c>
      <c r="D2073" s="1" t="s">
        <v>9089</v>
      </c>
      <c r="E2073" s="1" t="s">
        <v>3442</v>
      </c>
      <c r="F2073" s="1" t="str">
        <f>"0374601895"</f>
        <v>0374601895</v>
      </c>
      <c r="G2073" s="1" t="str">
        <f>"9780374601898"</f>
        <v>9780374601898</v>
      </c>
      <c r="H2073" s="1">
        <v>0.0</v>
      </c>
      <c r="I2073" s="1">
        <v>4.03</v>
      </c>
      <c r="J2073" s="1" t="s">
        <v>438</v>
      </c>
      <c r="K2073" s="1" t="s">
        <v>37</v>
      </c>
      <c r="L2073" s="1">
        <v>464.0</v>
      </c>
      <c r="M2073" s="1">
        <v>2021.0</v>
      </c>
      <c r="P2073" s="2">
        <v>45101.0</v>
      </c>
      <c r="Q2073" s="1" t="s">
        <v>6423</v>
      </c>
      <c r="R2073" s="1" t="s">
        <v>9090</v>
      </c>
      <c r="S2073" s="1" t="s">
        <v>32</v>
      </c>
      <c r="W2073" s="1">
        <v>0.0</v>
      </c>
      <c r="X2073" s="1">
        <v>0.0</v>
      </c>
    </row>
    <row r="2074" spans="1:24" ht="15.75" customHeight="1">
      <c r="A2074" s="1">
        <v>4.5892234E7</v>
      </c>
      <c r="B2074" s="1" t="s">
        <v>9091</v>
      </c>
      <c r="C2074" s="1" t="s">
        <v>9088</v>
      </c>
      <c r="D2074" s="1" t="s">
        <v>9089</v>
      </c>
      <c r="E2074" s="1" t="s">
        <v>9092</v>
      </c>
      <c r="F2074" s="1" t="str">
        <f>"0374120064"</f>
        <v>0374120064</v>
      </c>
      <c r="G2074" s="1" t="str">
        <f>"9780374120061"</f>
        <v>9780374120061</v>
      </c>
      <c r="H2074" s="1">
        <v>0.0</v>
      </c>
      <c r="I2074" s="1">
        <v>4.22</v>
      </c>
      <c r="J2074" s="1" t="s">
        <v>438</v>
      </c>
      <c r="K2074" s="1" t="s">
        <v>37</v>
      </c>
      <c r="L2074" s="1">
        <v>464.0</v>
      </c>
      <c r="M2074" s="1">
        <v>2020.0</v>
      </c>
      <c r="N2074" s="1">
        <v>2016.0</v>
      </c>
      <c r="P2074" s="2">
        <v>45101.0</v>
      </c>
      <c r="Q2074" s="1" t="s">
        <v>6423</v>
      </c>
      <c r="R2074" s="1" t="s">
        <v>9093</v>
      </c>
      <c r="S2074" s="1" t="s">
        <v>32</v>
      </c>
      <c r="W2074" s="1">
        <v>0.0</v>
      </c>
      <c r="X2074" s="1">
        <v>0.0</v>
      </c>
    </row>
    <row r="2075" spans="1:24" ht="15.75" customHeight="1">
      <c r="A2075" s="1">
        <v>438544.0</v>
      </c>
      <c r="B2075" s="1" t="s">
        <v>9094</v>
      </c>
      <c r="C2075" s="1" t="s">
        <v>9088</v>
      </c>
      <c r="D2075" s="1" t="s">
        <v>9089</v>
      </c>
      <c r="F2075" s="1" t="str">
        <f>"0375725431"</f>
        <v>0375725431</v>
      </c>
      <c r="G2075" s="1" t="str">
        <f>"9780375725432"</f>
        <v>9780375725432</v>
      </c>
      <c r="H2075" s="1">
        <v>0.0</v>
      </c>
      <c r="I2075" s="1">
        <v>3.96</v>
      </c>
      <c r="J2075" s="1" t="s">
        <v>239</v>
      </c>
      <c r="K2075" s="1" t="s">
        <v>44</v>
      </c>
      <c r="L2075" s="1">
        <v>224.0</v>
      </c>
      <c r="M2075" s="1">
        <v>2002.0</v>
      </c>
      <c r="N2075" s="1">
        <v>2001.0</v>
      </c>
      <c r="P2075" s="2">
        <v>45101.0</v>
      </c>
      <c r="Q2075" s="1" t="s">
        <v>935</v>
      </c>
      <c r="R2075" s="1" t="s">
        <v>9095</v>
      </c>
      <c r="S2075" s="1" t="s">
        <v>32</v>
      </c>
      <c r="W2075" s="1">
        <v>0.0</v>
      </c>
      <c r="X2075" s="1">
        <v>0.0</v>
      </c>
    </row>
    <row r="2076" spans="1:24" ht="15.75" customHeight="1">
      <c r="A2076" s="1">
        <v>163014.0</v>
      </c>
      <c r="B2076" s="1" t="s">
        <v>9096</v>
      </c>
      <c r="C2076" s="1" t="s">
        <v>9088</v>
      </c>
      <c r="D2076" s="1" t="s">
        <v>9089</v>
      </c>
      <c r="F2076" s="1" t="str">
        <f>"0679775471"</f>
        <v>0679775471</v>
      </c>
      <c r="G2076" s="1" t="str">
        <f>"9780679775478"</f>
        <v>9780679775478</v>
      </c>
      <c r="H2076" s="1">
        <v>0.0</v>
      </c>
      <c r="I2076" s="1">
        <v>4.14</v>
      </c>
      <c r="J2076" s="1" t="s">
        <v>69</v>
      </c>
      <c r="K2076" s="1" t="s">
        <v>44</v>
      </c>
      <c r="L2076" s="1">
        <v>464.0</v>
      </c>
      <c r="M2076" s="1">
        <v>1999.0</v>
      </c>
      <c r="N2076" s="1">
        <v>1996.0</v>
      </c>
      <c r="P2076" s="2">
        <v>45101.0</v>
      </c>
      <c r="Q2076" s="1" t="s">
        <v>6423</v>
      </c>
      <c r="R2076" s="1" t="s">
        <v>9097</v>
      </c>
      <c r="S2076" s="1" t="s">
        <v>32</v>
      </c>
      <c r="W2076" s="1">
        <v>0.0</v>
      </c>
      <c r="X2076" s="1">
        <v>0.0</v>
      </c>
    </row>
    <row r="2077" spans="1:24" ht="15.75" customHeight="1">
      <c r="A2077" s="1">
        <v>438547.0</v>
      </c>
      <c r="B2077" s="1" t="s">
        <v>9098</v>
      </c>
      <c r="C2077" s="1" t="s">
        <v>9088</v>
      </c>
      <c r="D2077" s="1" t="s">
        <v>9089</v>
      </c>
      <c r="E2077" s="1" t="s">
        <v>9099</v>
      </c>
      <c r="F2077" s="1" t="str">
        <f>"0816630984"</f>
        <v>0816630984</v>
      </c>
      <c r="G2077" s="1" t="str">
        <f>"9780816630981"</f>
        <v>9780816630981</v>
      </c>
      <c r="H2077" s="1">
        <v>0.0</v>
      </c>
      <c r="I2077" s="1">
        <v>3.8</v>
      </c>
      <c r="J2077" s="1" t="s">
        <v>2078</v>
      </c>
      <c r="K2077" s="1" t="s">
        <v>37</v>
      </c>
      <c r="L2077" s="1">
        <v>304.0</v>
      </c>
      <c r="M2077" s="1">
        <v>2001.0</v>
      </c>
      <c r="N2077" s="1">
        <v>1991.0</v>
      </c>
      <c r="P2077" s="2">
        <v>45101.0</v>
      </c>
      <c r="Q2077" s="1" t="s">
        <v>338</v>
      </c>
      <c r="R2077" s="1" t="s">
        <v>9100</v>
      </c>
      <c r="S2077" s="1" t="s">
        <v>32</v>
      </c>
      <c r="W2077" s="1">
        <v>0.0</v>
      </c>
      <c r="X2077" s="1">
        <v>0.0</v>
      </c>
    </row>
    <row r="2078" spans="1:24" ht="15.75" customHeight="1">
      <c r="A2078" s="1">
        <v>753252.0</v>
      </c>
      <c r="B2078" s="1" t="s">
        <v>9101</v>
      </c>
      <c r="C2078" s="1" t="s">
        <v>9088</v>
      </c>
      <c r="D2078" s="1" t="s">
        <v>9089</v>
      </c>
      <c r="F2078" s="1" t="str">
        <f>"0679733485"</f>
        <v>0679733485</v>
      </c>
      <c r="G2078" s="1" t="str">
        <f>"9780679733485"</f>
        <v>9780679733485</v>
      </c>
      <c r="H2078" s="1">
        <v>0.0</v>
      </c>
      <c r="I2078" s="1">
        <v>4.23</v>
      </c>
      <c r="J2078" s="1" t="s">
        <v>69</v>
      </c>
      <c r="K2078" s="1" t="s">
        <v>44</v>
      </c>
      <c r="L2078" s="1">
        <v>416.0</v>
      </c>
      <c r="M2078" s="1">
        <v>1994.0</v>
      </c>
      <c r="N2078" s="1">
        <v>1988.0</v>
      </c>
      <c r="P2078" s="2">
        <v>44965.0</v>
      </c>
      <c r="Q2078" s="1" t="s">
        <v>3290</v>
      </c>
      <c r="R2078" s="1" t="s">
        <v>9102</v>
      </c>
      <c r="S2078" s="1" t="s">
        <v>32</v>
      </c>
      <c r="W2078" s="1">
        <v>0.0</v>
      </c>
      <c r="X2078" s="1">
        <v>1.0</v>
      </c>
    </row>
    <row r="2079" spans="1:24" ht="15.75" customHeight="1">
      <c r="A2079" s="1">
        <v>438571.0</v>
      </c>
      <c r="B2079" s="1" t="s">
        <v>9103</v>
      </c>
      <c r="C2079" s="1" t="s">
        <v>9088</v>
      </c>
      <c r="D2079" s="1" t="s">
        <v>9089</v>
      </c>
      <c r="E2079" s="1" t="s">
        <v>9104</v>
      </c>
      <c r="F2079" s="1" t="str">
        <f>"1400076129"</f>
        <v>1400076129</v>
      </c>
      <c r="G2079" s="1" t="str">
        <f>"9781400076123"</f>
        <v>9781400076123</v>
      </c>
      <c r="H2079" s="1">
        <v>0.0</v>
      </c>
      <c r="I2079" s="1">
        <v>4.04</v>
      </c>
      <c r="J2079" s="1" t="s">
        <v>69</v>
      </c>
      <c r="K2079" s="1" t="s">
        <v>44</v>
      </c>
      <c r="L2079" s="1">
        <v>336.0</v>
      </c>
      <c r="M2079" s="1">
        <v>2006.0</v>
      </c>
      <c r="N2079" s="1">
        <v>2002.0</v>
      </c>
      <c r="P2079" s="2">
        <v>44967.0</v>
      </c>
      <c r="Q2079" s="1" t="s">
        <v>109</v>
      </c>
      <c r="R2079" s="1" t="s">
        <v>9105</v>
      </c>
      <c r="S2079" s="1" t="s">
        <v>32</v>
      </c>
      <c r="W2079" s="1">
        <v>0.0</v>
      </c>
      <c r="X2079" s="1">
        <v>0.0</v>
      </c>
    </row>
    <row r="2080" spans="1:24" ht="15.75" customHeight="1">
      <c r="A2080" s="124">
        <v>6737970.0</v>
      </c>
      <c r="B2080" s="124" t="s">
        <v>9106</v>
      </c>
      <c r="C2080" s="124" t="s">
        <v>9088</v>
      </c>
      <c r="D2080" s="124" t="s">
        <v>9089</v>
      </c>
      <c r="E2080" s="125"/>
      <c r="F2080" s="124" t="str">
        <f>"0224082078"</f>
        <v>0224082078</v>
      </c>
      <c r="G2080" s="124" t="str">
        <f>"9780224082075"</f>
        <v>9780224082075</v>
      </c>
      <c r="H2080" s="124">
        <v>0.0</v>
      </c>
      <c r="I2080" s="124">
        <v>4.14</v>
      </c>
      <c r="J2080" s="124" t="s">
        <v>9107</v>
      </c>
      <c r="K2080" s="124" t="s">
        <v>37</v>
      </c>
      <c r="L2080" s="124">
        <v>288.0</v>
      </c>
      <c r="M2080" s="124">
        <v>2010.0</v>
      </c>
      <c r="N2080" s="124">
        <v>2006.0</v>
      </c>
      <c r="O2080" s="125"/>
      <c r="P2080" s="126">
        <v>45101.0</v>
      </c>
      <c r="Q2080" s="127" t="s">
        <v>3643</v>
      </c>
      <c r="R2080" s="124" t="s">
        <v>9108</v>
      </c>
      <c r="S2080" s="124" t="s">
        <v>32</v>
      </c>
      <c r="T2080" s="125"/>
      <c r="U2080" s="125"/>
      <c r="V2080" s="125"/>
      <c r="W2080" s="124">
        <v>0.0</v>
      </c>
      <c r="X2080" s="124">
        <v>0.0</v>
      </c>
    </row>
    <row r="2081" spans="1:24" ht="15.75" customHeight="1">
      <c r="A2081" s="124">
        <v>438546.0</v>
      </c>
      <c r="B2081" s="124" t="s">
        <v>9109</v>
      </c>
      <c r="C2081" s="124" t="s">
        <v>9088</v>
      </c>
      <c r="D2081" s="124" t="s">
        <v>9089</v>
      </c>
      <c r="E2081" s="124" t="s">
        <v>9110</v>
      </c>
      <c r="F2081" s="124" t="str">
        <f>"0674780299"</f>
        <v>0674780299</v>
      </c>
      <c r="G2081" s="124" t="str">
        <f>"9780674780293"</f>
        <v>9780674780293</v>
      </c>
      <c r="H2081" s="124">
        <v>0.0</v>
      </c>
      <c r="I2081" s="124">
        <v>4.04</v>
      </c>
      <c r="J2081" s="124" t="s">
        <v>343</v>
      </c>
      <c r="K2081" s="124" t="s">
        <v>44</v>
      </c>
      <c r="L2081" s="124">
        <v>400.0</v>
      </c>
      <c r="M2081" s="124">
        <v>1996.0</v>
      </c>
      <c r="N2081" s="124">
        <v>1983.0</v>
      </c>
      <c r="O2081" s="125"/>
      <c r="P2081" s="126">
        <v>45101.0</v>
      </c>
      <c r="Q2081" s="127" t="s">
        <v>3643</v>
      </c>
      <c r="R2081" s="124" t="s">
        <v>9111</v>
      </c>
      <c r="S2081" s="124" t="s">
        <v>32</v>
      </c>
      <c r="T2081" s="125"/>
      <c r="U2081" s="125"/>
      <c r="V2081" s="125"/>
      <c r="W2081" s="124">
        <v>0.0</v>
      </c>
      <c r="X2081" s="124">
        <v>0.0</v>
      </c>
    </row>
    <row r="2082" spans="1:24" ht="15.75" customHeight="1">
      <c r="A2082" s="124">
        <v>5.6929856E7</v>
      </c>
      <c r="B2082" s="124" t="s">
        <v>9112</v>
      </c>
      <c r="C2082" s="124" t="s">
        <v>9088</v>
      </c>
      <c r="D2082" s="124" t="s">
        <v>9089</v>
      </c>
      <c r="E2082" s="124" t="s">
        <v>9113</v>
      </c>
      <c r="F2082" s="124" t="str">
        <f>"8433916467"</f>
        <v>8433916467</v>
      </c>
      <c r="G2082" s="124" t="str">
        <f>"9788433916464"</f>
        <v>9788433916464</v>
      </c>
      <c r="H2082" s="124">
        <v>0.0</v>
      </c>
      <c r="I2082" s="124">
        <v>3.25</v>
      </c>
      <c r="J2082" s="124" t="s">
        <v>275</v>
      </c>
      <c r="K2082" s="124" t="s">
        <v>44</v>
      </c>
      <c r="L2082" s="124">
        <v>144.0</v>
      </c>
      <c r="M2082" s="124">
        <v>2020.0</v>
      </c>
      <c r="N2082" s="124">
        <v>2020.0</v>
      </c>
      <c r="O2082" s="125"/>
      <c r="P2082" s="126">
        <v>44243.0</v>
      </c>
      <c r="Q2082" s="127" t="s">
        <v>3643</v>
      </c>
      <c r="R2082" s="124" t="s">
        <v>9114</v>
      </c>
      <c r="S2082" s="124" t="s">
        <v>32</v>
      </c>
      <c r="T2082" s="125"/>
      <c r="U2082" s="125"/>
      <c r="V2082" s="125"/>
      <c r="W2082" s="124">
        <v>0.0</v>
      </c>
      <c r="X2082" s="124">
        <v>0.0</v>
      </c>
    </row>
    <row r="2083" spans="1:24" ht="15.75" customHeight="1">
      <c r="A2083" s="1">
        <v>846264.0</v>
      </c>
      <c r="B2083" s="1" t="s">
        <v>9115</v>
      </c>
      <c r="C2083" s="1" t="s">
        <v>9116</v>
      </c>
      <c r="D2083" s="1" t="s">
        <v>9117</v>
      </c>
      <c r="F2083" s="1" t="str">
        <f>"0140120815"</f>
        <v>0140120815</v>
      </c>
      <c r="G2083" s="1" t="str">
        <f>"9780140120813"</f>
        <v>9780140120813</v>
      </c>
      <c r="H2083" s="1">
        <v>0.0</v>
      </c>
      <c r="I2083" s="1">
        <v>4.08</v>
      </c>
      <c r="J2083" s="1" t="s">
        <v>9118</v>
      </c>
      <c r="K2083" s="1" t="s">
        <v>44</v>
      </c>
      <c r="L2083" s="1">
        <v>368.0</v>
      </c>
      <c r="M2083" s="1">
        <v>1990.0</v>
      </c>
      <c r="N2083" s="1">
        <v>1960.0</v>
      </c>
      <c r="P2083" s="2">
        <v>45166.0</v>
      </c>
      <c r="Q2083" s="1" t="s">
        <v>32</v>
      </c>
      <c r="R2083" s="1" t="s">
        <v>9119</v>
      </c>
      <c r="S2083" s="1" t="s">
        <v>32</v>
      </c>
      <c r="W2083" s="1">
        <v>0.0</v>
      </c>
      <c r="X2083" s="1">
        <v>0.0</v>
      </c>
    </row>
    <row r="2084" spans="1:24" ht="15.75" customHeight="1">
      <c r="A2084" s="1">
        <v>5800063.0</v>
      </c>
      <c r="B2084" s="1" t="s">
        <v>9120</v>
      </c>
      <c r="C2084" s="1" t="s">
        <v>1073</v>
      </c>
      <c r="D2084" s="1" t="s">
        <v>9121</v>
      </c>
      <c r="F2084" s="1" t="str">
        <f>"0415478901"</f>
        <v>0415478901</v>
      </c>
      <c r="G2084" s="1" t="str">
        <f>"9780415478908"</f>
        <v>9780415478908</v>
      </c>
      <c r="H2084" s="1">
        <v>0.0</v>
      </c>
      <c r="I2084" s="1">
        <v>4.37</v>
      </c>
      <c r="J2084" s="1" t="s">
        <v>280</v>
      </c>
      <c r="K2084" s="1" t="s">
        <v>44</v>
      </c>
      <c r="L2084" s="1">
        <v>776.0</v>
      </c>
      <c r="M2084" s="1">
        <v>2003.0</v>
      </c>
      <c r="N2084" s="1">
        <v>2003.0</v>
      </c>
      <c r="P2084" s="2">
        <v>45120.0</v>
      </c>
      <c r="Q2084" s="1" t="s">
        <v>725</v>
      </c>
      <c r="R2084" s="1" t="s">
        <v>9122</v>
      </c>
      <c r="S2084" s="1" t="s">
        <v>32</v>
      </c>
      <c r="W2084" s="1">
        <v>0.0</v>
      </c>
      <c r="X2084" s="1">
        <v>0.0</v>
      </c>
    </row>
    <row r="2085" spans="1:24" ht="15.75" customHeight="1">
      <c r="A2085" s="100">
        <v>434213.0</v>
      </c>
      <c r="B2085" s="100" t="s">
        <v>9123</v>
      </c>
      <c r="C2085" s="100" t="s">
        <v>9124</v>
      </c>
      <c r="D2085" s="100" t="s">
        <v>9125</v>
      </c>
      <c r="E2085" s="100" t="s">
        <v>9126</v>
      </c>
      <c r="F2085" s="100" t="str">
        <f>"188736871X"</f>
        <v>188736871X</v>
      </c>
      <c r="G2085" s="100" t="str">
        <f>"9781887368711"</f>
        <v>9781887368711</v>
      </c>
      <c r="H2085" s="100">
        <v>0.0</v>
      </c>
      <c r="I2085" s="100">
        <v>4.57</v>
      </c>
      <c r="J2085" s="100" t="s">
        <v>9127</v>
      </c>
      <c r="K2085" s="100" t="s">
        <v>37</v>
      </c>
      <c r="L2085" s="100">
        <v>487.0</v>
      </c>
      <c r="M2085" s="100">
        <v>2004.0</v>
      </c>
      <c r="N2085" s="100">
        <v>2004.0</v>
      </c>
      <c r="O2085" s="101"/>
      <c r="P2085" s="102">
        <v>45183.0</v>
      </c>
      <c r="Q2085" s="103" t="s">
        <v>9081</v>
      </c>
      <c r="R2085" s="100" t="s">
        <v>9128</v>
      </c>
      <c r="S2085" s="100" t="s">
        <v>32</v>
      </c>
      <c r="T2085" s="101"/>
      <c r="U2085" s="101"/>
      <c r="V2085" s="101"/>
      <c r="W2085" s="100">
        <v>0.0</v>
      </c>
      <c r="X2085" s="100">
        <v>0.0</v>
      </c>
    </row>
    <row r="2086" spans="1:24" ht="15.75" customHeight="1">
      <c r="A2086" s="100">
        <v>1729108.0</v>
      </c>
      <c r="B2086" s="100" t="s">
        <v>9129</v>
      </c>
      <c r="C2086" s="100" t="s">
        <v>9124</v>
      </c>
      <c r="D2086" s="100" t="s">
        <v>9125</v>
      </c>
      <c r="E2086" s="101"/>
      <c r="F2086" s="100" t="str">
        <f>"157500111X"</f>
        <v>157500111X</v>
      </c>
      <c r="G2086" s="100" t="str">
        <f>"9781575001111"</f>
        <v>9781575001111</v>
      </c>
      <c r="H2086" s="100">
        <v>0.0</v>
      </c>
      <c r="I2086" s="100">
        <v>4.33</v>
      </c>
      <c r="J2086" s="100" t="s">
        <v>9130</v>
      </c>
      <c r="K2086" s="100" t="s">
        <v>37</v>
      </c>
      <c r="L2086" s="100">
        <v>415.0</v>
      </c>
      <c r="M2086" s="100">
        <v>1990.0</v>
      </c>
      <c r="N2086" s="100">
        <v>1963.0</v>
      </c>
      <c r="O2086" s="101"/>
      <c r="P2086" s="102">
        <v>45182.0</v>
      </c>
      <c r="Q2086" s="103" t="s">
        <v>9081</v>
      </c>
      <c r="R2086" s="100" t="s">
        <v>9131</v>
      </c>
      <c r="S2086" s="100" t="s">
        <v>32</v>
      </c>
      <c r="T2086" s="101"/>
      <c r="U2086" s="101"/>
      <c r="V2086" s="101"/>
      <c r="W2086" s="100">
        <v>0.0</v>
      </c>
      <c r="X2086" s="100">
        <v>0.0</v>
      </c>
    </row>
    <row r="2087" spans="1:24" ht="15.75" customHeight="1">
      <c r="A2087" s="1">
        <v>9556215.0</v>
      </c>
      <c r="B2087" s="1" t="s">
        <v>9132</v>
      </c>
      <c r="C2087" s="1" t="s">
        <v>9133</v>
      </c>
      <c r="D2087" s="1" t="s">
        <v>9134</v>
      </c>
      <c r="F2087" s="1" t="str">
        <f>"0099530392"</f>
        <v>0099530392</v>
      </c>
      <c r="G2087" s="1" t="str">
        <f>"9780099530398"</f>
        <v>9780099530398</v>
      </c>
      <c r="H2087" s="1">
        <v>0.0</v>
      </c>
      <c r="I2087" s="1">
        <v>3.76</v>
      </c>
      <c r="J2087" s="1" t="s">
        <v>393</v>
      </c>
      <c r="K2087" s="1" t="s">
        <v>44</v>
      </c>
      <c r="L2087" s="1">
        <v>240.0</v>
      </c>
      <c r="M2087" s="1">
        <v>2010.0</v>
      </c>
      <c r="N2087" s="1">
        <v>1993.0</v>
      </c>
      <c r="P2087" s="2">
        <v>45111.0</v>
      </c>
      <c r="Q2087" s="1" t="s">
        <v>261</v>
      </c>
      <c r="R2087" s="1" t="s">
        <v>9135</v>
      </c>
      <c r="S2087" s="1" t="s">
        <v>32</v>
      </c>
      <c r="W2087" s="1">
        <v>0.0</v>
      </c>
      <c r="X2087" s="1">
        <v>0.0</v>
      </c>
    </row>
    <row r="2088" spans="1:24" ht="15.75" customHeight="1">
      <c r="A2088" s="1">
        <v>4.0545827E7</v>
      </c>
      <c r="B2088" s="1" t="s">
        <v>9136</v>
      </c>
      <c r="C2088" s="1" t="s">
        <v>9137</v>
      </c>
      <c r="D2088" s="1" t="s">
        <v>9138</v>
      </c>
      <c r="F2088" s="1" t="str">
        <f>"0241312841"</f>
        <v>0241312841</v>
      </c>
      <c r="G2088" s="1" t="str">
        <f>"9780241312841"</f>
        <v>9780241312841</v>
      </c>
      <c r="H2088" s="1">
        <v>0.0</v>
      </c>
      <c r="I2088" s="1">
        <v>4.35</v>
      </c>
      <c r="J2088" s="1" t="s">
        <v>9139</v>
      </c>
      <c r="K2088" s="1" t="s">
        <v>37</v>
      </c>
      <c r="L2088" s="1">
        <v>462.0</v>
      </c>
      <c r="M2088" s="1">
        <v>2019.0</v>
      </c>
      <c r="N2088" s="1">
        <v>2019.0</v>
      </c>
      <c r="P2088" s="3">
        <v>45255.0</v>
      </c>
      <c r="Q2088" s="1" t="s">
        <v>138</v>
      </c>
      <c r="R2088" s="1" t="s">
        <v>9140</v>
      </c>
      <c r="S2088" s="1" t="s">
        <v>32</v>
      </c>
      <c r="W2088" s="1">
        <v>0.0</v>
      </c>
      <c r="X2088" s="1">
        <v>0.0</v>
      </c>
    </row>
    <row r="2089" spans="1:24" ht="15.75" customHeight="1">
      <c r="A2089" s="1">
        <v>1207644.0</v>
      </c>
      <c r="B2089" s="1" t="s">
        <v>9141</v>
      </c>
      <c r="C2089" s="1" t="s">
        <v>9142</v>
      </c>
      <c r="D2089" s="1" t="s">
        <v>9143</v>
      </c>
      <c r="F2089" s="1" t="str">
        <f>"950515352X"</f>
        <v>950515352X</v>
      </c>
      <c r="G2089" s="1" t="str">
        <f>"9789505153527"</f>
        <v>9789505153527</v>
      </c>
      <c r="H2089" s="1">
        <v>0.0</v>
      </c>
      <c r="I2089" s="1">
        <v>4.22</v>
      </c>
      <c r="J2089" s="1" t="s">
        <v>9144</v>
      </c>
      <c r="K2089" s="1" t="s">
        <v>44</v>
      </c>
      <c r="L2089" s="1">
        <v>213.0</v>
      </c>
      <c r="M2089" s="1">
        <v>1972.0</v>
      </c>
      <c r="N2089" s="1">
        <v>1957.0</v>
      </c>
      <c r="P2089" s="3">
        <v>44132.0</v>
      </c>
      <c r="Q2089" s="1" t="s">
        <v>32</v>
      </c>
      <c r="R2089" s="1" t="s">
        <v>9145</v>
      </c>
      <c r="S2089" s="1" t="s">
        <v>32</v>
      </c>
      <c r="W2089" s="1">
        <v>0.0</v>
      </c>
      <c r="X2089" s="1">
        <v>0.0</v>
      </c>
    </row>
    <row r="2090" spans="1:24" ht="15.75" customHeight="1">
      <c r="A2090" s="1">
        <v>6531718.0</v>
      </c>
      <c r="B2090" s="1" t="s">
        <v>9146</v>
      </c>
      <c r="C2090" s="1" t="s">
        <v>9147</v>
      </c>
      <c r="D2090" s="1" t="s">
        <v>9148</v>
      </c>
      <c r="F2090" s="1" t="str">
        <f t="shared" si="153" ref="F2090:G2090">""</f>
        <v/>
      </c>
      <c r="G2090" s="1" t="str">
        <f t="shared" si="153"/>
        <v/>
      </c>
      <c r="H2090" s="1">
        <v>0.0</v>
      </c>
      <c r="I2090" s="1">
        <v>3.73</v>
      </c>
      <c r="J2090" s="1" t="s">
        <v>6994</v>
      </c>
      <c r="L2090" s="1">
        <v>192.0</v>
      </c>
      <c r="M2090" s="1">
        <v>2009.0</v>
      </c>
      <c r="N2090" s="1">
        <v>2009.0</v>
      </c>
      <c r="P2090" s="3">
        <v>45228.0</v>
      </c>
      <c r="Q2090" s="1" t="s">
        <v>145</v>
      </c>
      <c r="R2090" s="1" t="s">
        <v>9149</v>
      </c>
      <c r="S2090" s="1" t="s">
        <v>32</v>
      </c>
      <c r="W2090" s="1">
        <v>0.0</v>
      </c>
      <c r="X2090" s="1">
        <v>0.0</v>
      </c>
    </row>
    <row r="2091" spans="1:24" ht="15.75" customHeight="1">
      <c r="A2091" s="1">
        <v>7511949.0</v>
      </c>
      <c r="B2091" s="1" t="s">
        <v>9150</v>
      </c>
      <c r="C2091" s="1" t="s">
        <v>9151</v>
      </c>
      <c r="D2091" s="1" t="s">
        <v>9152</v>
      </c>
      <c r="E2091" s="1" t="s">
        <v>9153</v>
      </c>
      <c r="F2091" s="1" t="str">
        <f>"0872209784"</f>
        <v>0872209784</v>
      </c>
      <c r="G2091" s="1" t="str">
        <f>"9780872209787"</f>
        <v>9780872209787</v>
      </c>
      <c r="H2091" s="1">
        <v>0.0</v>
      </c>
      <c r="I2091" s="1">
        <v>3.92</v>
      </c>
      <c r="J2091" s="1" t="s">
        <v>9154</v>
      </c>
      <c r="K2091" s="1" t="s">
        <v>44</v>
      </c>
      <c r="L2091" s="1">
        <v>848.0</v>
      </c>
      <c r="M2091" s="1">
        <v>2009.0</v>
      </c>
      <c r="N2091" s="1">
        <v>1998.0</v>
      </c>
      <c r="P2091" s="2">
        <v>45132.0</v>
      </c>
      <c r="Q2091" s="1" t="s">
        <v>1207</v>
      </c>
      <c r="R2091" s="1" t="s">
        <v>9155</v>
      </c>
      <c r="S2091" s="1" t="s">
        <v>32</v>
      </c>
      <c r="W2091" s="1">
        <v>0.0</v>
      </c>
      <c r="X2091" s="1">
        <v>1.0</v>
      </c>
    </row>
    <row r="2092" spans="1:24" ht="15.75" customHeight="1">
      <c r="A2092" s="1">
        <v>7734045.0</v>
      </c>
      <c r="B2092" s="1" t="s">
        <v>9156</v>
      </c>
      <c r="C2092" s="1" t="s">
        <v>9157</v>
      </c>
      <c r="D2092" s="1" t="s">
        <v>9158</v>
      </c>
      <c r="F2092" s="1" t="str">
        <f>"1405110872"</f>
        <v>1405110872</v>
      </c>
      <c r="G2092" s="1" t="str">
        <f>"9781405110877"</f>
        <v>9781405110877</v>
      </c>
      <c r="H2092" s="1">
        <v>0.0</v>
      </c>
      <c r="I2092" s="1">
        <v>3.64</v>
      </c>
      <c r="J2092" s="1" t="s">
        <v>48</v>
      </c>
      <c r="K2092" s="1" t="s">
        <v>37</v>
      </c>
      <c r="L2092" s="1">
        <v>176.0</v>
      </c>
      <c r="M2092" s="1">
        <v>2006.0</v>
      </c>
      <c r="N2092" s="1">
        <v>2006.0</v>
      </c>
      <c r="P2092" s="2">
        <v>45140.0</v>
      </c>
      <c r="Q2092" s="1" t="s">
        <v>32</v>
      </c>
      <c r="R2092" s="1" t="s">
        <v>9159</v>
      </c>
      <c r="S2092" s="1" t="s">
        <v>32</v>
      </c>
      <c r="W2092" s="1">
        <v>0.0</v>
      </c>
      <c r="X2092" s="1">
        <v>0.0</v>
      </c>
    </row>
    <row r="2093" spans="1:24" ht="15.75" customHeight="1">
      <c r="A2093" s="1">
        <v>1025695.0</v>
      </c>
      <c r="B2093" s="1" t="s">
        <v>9160</v>
      </c>
      <c r="C2093" s="1" t="s">
        <v>9161</v>
      </c>
      <c r="D2093" s="1" t="s">
        <v>9162</v>
      </c>
      <c r="F2093" s="1" t="str">
        <f>"0521607264"</f>
        <v>0521607264</v>
      </c>
      <c r="G2093" s="1" t="str">
        <f>"9780521607261"</f>
        <v>9780521607261</v>
      </c>
      <c r="H2093" s="1">
        <v>0.0</v>
      </c>
      <c r="I2093" s="1">
        <v>4.0</v>
      </c>
      <c r="J2093" s="1" t="s">
        <v>388</v>
      </c>
      <c r="K2093" s="1" t="s">
        <v>44</v>
      </c>
      <c r="L2093" s="1">
        <v>554.0</v>
      </c>
      <c r="M2093" s="1">
        <v>2008.0</v>
      </c>
      <c r="N2093" s="1">
        <v>2007.0</v>
      </c>
      <c r="P2093" s="2">
        <v>45134.0</v>
      </c>
      <c r="Q2093" s="1" t="s">
        <v>9163</v>
      </c>
      <c r="R2093" s="1" t="s">
        <v>9164</v>
      </c>
      <c r="S2093" s="1" t="s">
        <v>32</v>
      </c>
      <c r="W2093" s="1">
        <v>0.0</v>
      </c>
      <c r="X2093" s="1">
        <v>0.0</v>
      </c>
    </row>
    <row r="2094" spans="1:24" ht="15.75" customHeight="1">
      <c r="A2094" s="1">
        <v>179744.0</v>
      </c>
      <c r="B2094" s="1" t="s">
        <v>9165</v>
      </c>
      <c r="C2094" s="1" t="s">
        <v>3248</v>
      </c>
      <c r="D2094" s="1" t="s">
        <v>9166</v>
      </c>
      <c r="F2094" s="1" t="str">
        <f>"0192861980"</f>
        <v>0192861980</v>
      </c>
      <c r="G2094" s="1" t="str">
        <f>"9780192861986"</f>
        <v>9780192861986</v>
      </c>
      <c r="H2094" s="1">
        <v>0.0</v>
      </c>
      <c r="I2094" s="1">
        <v>3.91</v>
      </c>
      <c r="J2094" s="1" t="s">
        <v>181</v>
      </c>
      <c r="K2094" s="1" t="s">
        <v>44</v>
      </c>
      <c r="L2094" s="1">
        <v>602.0</v>
      </c>
      <c r="M2094" s="1">
        <v>1999.0</v>
      </c>
      <c r="N2094" s="1">
        <v>1989.0</v>
      </c>
      <c r="P2094" s="2">
        <v>44235.0</v>
      </c>
      <c r="Q2094" s="1" t="s">
        <v>32</v>
      </c>
      <c r="R2094" s="1" t="s">
        <v>9167</v>
      </c>
      <c r="S2094" s="1" t="s">
        <v>32</v>
      </c>
      <c r="W2094" s="1">
        <v>0.0</v>
      </c>
      <c r="X2094" s="1">
        <v>0.0</v>
      </c>
    </row>
    <row r="2095" spans="1:24" ht="15.75" customHeight="1">
      <c r="A2095" s="1">
        <v>78109.0</v>
      </c>
      <c r="B2095" s="1" t="s">
        <v>9168</v>
      </c>
      <c r="C2095" s="1" t="s">
        <v>9169</v>
      </c>
      <c r="D2095" s="1" t="s">
        <v>9170</v>
      </c>
      <c r="F2095" s="1" t="str">
        <f>"0521541972"</f>
        <v>0521541972</v>
      </c>
      <c r="G2095" s="1" t="str">
        <f>"9780521541978"</f>
        <v>9780521541978</v>
      </c>
      <c r="H2095" s="1">
        <v>0.0</v>
      </c>
      <c r="I2095" s="1">
        <v>3.83</v>
      </c>
      <c r="J2095" s="1" t="s">
        <v>388</v>
      </c>
      <c r="K2095" s="1" t="s">
        <v>44</v>
      </c>
      <c r="L2095" s="1">
        <v>304.0</v>
      </c>
      <c r="M2095" s="1">
        <v>2004.0</v>
      </c>
      <c r="N2095" s="1">
        <v>2004.0</v>
      </c>
      <c r="P2095" s="3">
        <v>45278.0</v>
      </c>
      <c r="Q2095" s="1" t="s">
        <v>479</v>
      </c>
      <c r="R2095" s="1" t="s">
        <v>9171</v>
      </c>
      <c r="S2095" s="1" t="s">
        <v>32</v>
      </c>
      <c r="W2095" s="1">
        <v>0.0</v>
      </c>
      <c r="X2095" s="1">
        <v>0.0</v>
      </c>
    </row>
    <row r="2096" spans="1:24" ht="15.75" customHeight="1">
      <c r="A2096" s="1">
        <v>1534309.0</v>
      </c>
      <c r="B2096" s="1" t="s">
        <v>9172</v>
      </c>
      <c r="C2096" s="1" t="s">
        <v>9173</v>
      </c>
      <c r="D2096" s="1" t="s">
        <v>9174</v>
      </c>
      <c r="E2096" s="1" t="s">
        <v>9175</v>
      </c>
      <c r="F2096" s="1" t="str">
        <f>"0140136010"</f>
        <v>0140136010</v>
      </c>
      <c r="G2096" s="1" t="str">
        <f>"9780140136012"</f>
        <v>9780140136012</v>
      </c>
      <c r="H2096" s="1">
        <v>0.0</v>
      </c>
      <c r="I2096" s="1">
        <v>3.13</v>
      </c>
      <c r="J2096" s="1" t="s">
        <v>9176</v>
      </c>
      <c r="K2096" s="1" t="s">
        <v>44</v>
      </c>
      <c r="L2096" s="1">
        <v>336.0</v>
      </c>
      <c r="M2096" s="1">
        <v>1990.0</v>
      </c>
      <c r="N2096" s="1">
        <v>1962.0</v>
      </c>
      <c r="P2096" s="3">
        <v>45224.0</v>
      </c>
      <c r="Q2096" s="1" t="s">
        <v>32</v>
      </c>
      <c r="R2096" s="1" t="s">
        <v>9177</v>
      </c>
      <c r="S2096" s="1" t="s">
        <v>32</v>
      </c>
      <c r="W2096" s="1">
        <v>0.0</v>
      </c>
      <c r="X2096" s="1">
        <v>0.0</v>
      </c>
    </row>
    <row r="2097" spans="1:24" ht="15.75" customHeight="1">
      <c r="A2097" s="1">
        <v>51715.0</v>
      </c>
      <c r="B2097" s="1" t="s">
        <v>9178</v>
      </c>
      <c r="C2097" s="1" t="s">
        <v>9179</v>
      </c>
      <c r="D2097" s="1" t="s">
        <v>9180</v>
      </c>
      <c r="E2097" s="1" t="s">
        <v>9181</v>
      </c>
      <c r="F2097" s="1" t="str">
        <f>"0374521506"</f>
        <v>0374521506</v>
      </c>
      <c r="G2097" s="1" t="str">
        <f>"9780374521509"</f>
        <v>9780374521509</v>
      </c>
      <c r="H2097" s="1">
        <v>0.0</v>
      </c>
      <c r="I2097" s="1">
        <v>4.09</v>
      </c>
      <c r="J2097" s="1" t="s">
        <v>438</v>
      </c>
      <c r="K2097" s="1" t="s">
        <v>44</v>
      </c>
      <c r="L2097" s="1">
        <v>160.0</v>
      </c>
      <c r="M2097" s="1">
        <v>1972.0</v>
      </c>
      <c r="N2097" s="1">
        <v>1957.0</v>
      </c>
      <c r="P2097" s="2">
        <v>45129.0</v>
      </c>
      <c r="Q2097" s="1" t="s">
        <v>115</v>
      </c>
      <c r="R2097" s="1" t="s">
        <v>9182</v>
      </c>
      <c r="S2097" s="1" t="s">
        <v>32</v>
      </c>
      <c r="W2097" s="1">
        <v>0.0</v>
      </c>
      <c r="X2097" s="1">
        <v>1.0</v>
      </c>
    </row>
    <row r="2098" spans="1:24" ht="15.75" customHeight="1">
      <c r="A2098" s="1">
        <v>380994.0</v>
      </c>
      <c r="B2098" s="1" t="s">
        <v>9183</v>
      </c>
      <c r="C2098" s="1" t="s">
        <v>9179</v>
      </c>
      <c r="D2098" s="1" t="s">
        <v>9180</v>
      </c>
      <c r="E2098" s="1" t="s">
        <v>331</v>
      </c>
      <c r="F2098" s="1" t="str">
        <f>"0374521611"</f>
        <v>0374521611</v>
      </c>
      <c r="G2098" s="1" t="str">
        <f>"9780374521615"</f>
        <v>9780374521615</v>
      </c>
      <c r="H2098" s="1">
        <v>0.0</v>
      </c>
      <c r="I2098" s="1">
        <v>4.36</v>
      </c>
      <c r="J2098" s="1" t="s">
        <v>7313</v>
      </c>
      <c r="K2098" s="1" t="s">
        <v>44</v>
      </c>
      <c r="L2098" s="1">
        <v>234.0</v>
      </c>
      <c r="M2098" s="1">
        <v>1979.0</v>
      </c>
      <c r="N2098" s="1">
        <v>1977.0</v>
      </c>
      <c r="P2098" s="2">
        <v>42847.0</v>
      </c>
      <c r="Q2098" s="1" t="s">
        <v>32</v>
      </c>
      <c r="R2098" s="1" t="s">
        <v>9184</v>
      </c>
      <c r="S2098" s="1" t="s">
        <v>32</v>
      </c>
      <c r="W2098" s="1">
        <v>0.0</v>
      </c>
      <c r="X2098" s="1">
        <v>0.0</v>
      </c>
    </row>
    <row r="2099" spans="1:24" ht="15.75" customHeight="1">
      <c r="A2099" s="1">
        <v>219601.0</v>
      </c>
      <c r="B2099" s="1" t="s">
        <v>9185</v>
      </c>
      <c r="C2099" s="1" t="s">
        <v>9186</v>
      </c>
      <c r="D2099" s="1" t="s">
        <v>9187</v>
      </c>
      <c r="E2099" s="1" t="s">
        <v>9188</v>
      </c>
      <c r="F2099" s="1" t="str">
        <f>"193361806X"</f>
        <v>193361806X</v>
      </c>
      <c r="G2099" s="1" t="str">
        <f>"9781933618067"</f>
        <v>9781933618067</v>
      </c>
      <c r="H2099" s="1">
        <v>0.0</v>
      </c>
      <c r="I2099" s="1">
        <v>4.09</v>
      </c>
      <c r="J2099" s="1" t="s">
        <v>9189</v>
      </c>
      <c r="K2099" s="1" t="s">
        <v>44</v>
      </c>
      <c r="L2099" s="1">
        <v>224.0</v>
      </c>
      <c r="M2099" s="1">
        <v>2006.0</v>
      </c>
      <c r="N2099" s="1">
        <v>1964.0</v>
      </c>
      <c r="P2099" s="2">
        <v>45115.0</v>
      </c>
      <c r="Q2099" s="1" t="s">
        <v>32</v>
      </c>
      <c r="R2099" s="1" t="s">
        <v>9190</v>
      </c>
      <c r="S2099" s="1" t="s">
        <v>32</v>
      </c>
      <c r="W2099" s="1">
        <v>0.0</v>
      </c>
      <c r="X2099" s="1">
        <v>0.0</v>
      </c>
    </row>
    <row r="2100" spans="1:24" ht="15.75" customHeight="1">
      <c r="A2100" s="1">
        <v>665852.0</v>
      </c>
      <c r="B2100" s="1" t="s">
        <v>9191</v>
      </c>
      <c r="C2100" s="1" t="s">
        <v>9192</v>
      </c>
      <c r="D2100" s="1" t="s">
        <v>9193</v>
      </c>
      <c r="F2100" s="1" t="str">
        <f>"0285621378"</f>
        <v>0285621378</v>
      </c>
      <c r="G2100" s="1" t="str">
        <f>"9780285621374"</f>
        <v>9780285621374</v>
      </c>
      <c r="H2100" s="1">
        <v>0.0</v>
      </c>
      <c r="I2100" s="1">
        <v>4.23</v>
      </c>
      <c r="J2100" s="1" t="s">
        <v>9194</v>
      </c>
      <c r="K2100" s="1" t="s">
        <v>44</v>
      </c>
      <c r="L2100" s="1">
        <v>284.0</v>
      </c>
      <c r="M2100" s="1">
        <v>1982.0</v>
      </c>
      <c r="N2100" s="1">
        <v>1953.0</v>
      </c>
      <c r="P2100" s="2">
        <v>45141.0</v>
      </c>
      <c r="Q2100" s="1" t="s">
        <v>32</v>
      </c>
      <c r="R2100" s="1" t="s">
        <v>9195</v>
      </c>
      <c r="S2100" s="1" t="s">
        <v>32</v>
      </c>
      <c r="W2100" s="1">
        <v>0.0</v>
      </c>
      <c r="X2100" s="1">
        <v>0.0</v>
      </c>
    </row>
    <row r="2101" spans="1:24" ht="15.75" customHeight="1">
      <c r="A2101" s="1">
        <v>69558.0</v>
      </c>
      <c r="B2101" s="1" t="s">
        <v>9196</v>
      </c>
      <c r="C2101" s="1" t="s">
        <v>9197</v>
      </c>
      <c r="D2101" s="1" t="s">
        <v>9198</v>
      </c>
      <c r="F2101" s="1" t="str">
        <f>"0743271092"</f>
        <v>0743271092</v>
      </c>
      <c r="G2101" s="1" t="str">
        <f>"9780743271097"</f>
        <v>9780743271097</v>
      </c>
      <c r="H2101" s="1">
        <v>0.0</v>
      </c>
      <c r="I2101" s="1">
        <v>3.82</v>
      </c>
      <c r="J2101" s="1" t="s">
        <v>622</v>
      </c>
      <c r="K2101" s="1" t="s">
        <v>37</v>
      </c>
      <c r="L2101" s="1">
        <v>384.0</v>
      </c>
      <c r="M2101" s="1">
        <v>2006.0</v>
      </c>
      <c r="N2101" s="1">
        <v>2006.0</v>
      </c>
      <c r="P2101" s="3">
        <v>45278.0</v>
      </c>
      <c r="Q2101" s="1" t="s">
        <v>479</v>
      </c>
      <c r="R2101" s="1" t="s">
        <v>9199</v>
      </c>
      <c r="S2101" s="1" t="s">
        <v>32</v>
      </c>
      <c r="W2101" s="1">
        <v>0.0</v>
      </c>
      <c r="X2101" s="1">
        <v>0.0</v>
      </c>
    </row>
    <row r="2102" spans="1:24" ht="15.75" customHeight="1">
      <c r="A2102" s="1">
        <v>1.8114345E7</v>
      </c>
      <c r="B2102" s="1" t="s">
        <v>9200</v>
      </c>
      <c r="C2102" s="1" t="s">
        <v>9201</v>
      </c>
      <c r="D2102" s="1" t="s">
        <v>9202</v>
      </c>
      <c r="E2102" s="1" t="s">
        <v>9203</v>
      </c>
      <c r="F2102" s="1" t="str">
        <f>"1468308599"</f>
        <v>1468308599</v>
      </c>
      <c r="G2102" s="1" t="str">
        <f>"9781468308594"</f>
        <v>9781468308594</v>
      </c>
      <c r="H2102" s="1">
        <v>0.0</v>
      </c>
      <c r="I2102" s="1">
        <v>4.11</v>
      </c>
      <c r="J2102" s="1" t="s">
        <v>2177</v>
      </c>
      <c r="K2102" s="1" t="s">
        <v>44</v>
      </c>
      <c r="L2102" s="1">
        <v>400.0</v>
      </c>
      <c r="M2102" s="1">
        <v>2013.0</v>
      </c>
      <c r="N2102" s="1">
        <v>2002.0</v>
      </c>
      <c r="P2102" s="2">
        <v>44805.0</v>
      </c>
      <c r="Q2102" s="1" t="s">
        <v>463</v>
      </c>
      <c r="R2102" s="1" t="s">
        <v>9204</v>
      </c>
      <c r="S2102" s="1" t="s">
        <v>32</v>
      </c>
      <c r="W2102" s="1">
        <v>0.0</v>
      </c>
      <c r="X2102" s="1">
        <v>0.0</v>
      </c>
    </row>
    <row r="2103" spans="1:24" ht="15.75" customHeight="1">
      <c r="A2103" s="1">
        <v>955114.0</v>
      </c>
      <c r="B2103" s="1" t="s">
        <v>9205</v>
      </c>
      <c r="C2103" s="1" t="s">
        <v>9201</v>
      </c>
      <c r="D2103" s="1" t="s">
        <v>9202</v>
      </c>
      <c r="E2103" s="1" t="s">
        <v>9206</v>
      </c>
      <c r="F2103" s="1" t="str">
        <f>"0312162944"</f>
        <v>0312162944</v>
      </c>
      <c r="G2103" s="1" t="str">
        <f>"9780312162948"</f>
        <v>9780312162948</v>
      </c>
      <c r="H2103" s="1">
        <v>0.0</v>
      </c>
      <c r="I2103" s="1">
        <v>4.17</v>
      </c>
      <c r="J2103" s="1" t="s">
        <v>2484</v>
      </c>
      <c r="K2103" s="1" t="s">
        <v>37</v>
      </c>
      <c r="L2103" s="1">
        <v>308.0</v>
      </c>
      <c r="M2103" s="1">
        <v>1996.0</v>
      </c>
      <c r="N2103" s="1">
        <v>1996.0</v>
      </c>
      <c r="P2103" s="2">
        <v>44805.0</v>
      </c>
      <c r="Q2103" s="1" t="s">
        <v>32</v>
      </c>
      <c r="R2103" s="1" t="s">
        <v>9207</v>
      </c>
      <c r="S2103" s="1" t="s">
        <v>32</v>
      </c>
      <c r="W2103" s="1">
        <v>0.0</v>
      </c>
      <c r="X2103" s="1">
        <v>0.0</v>
      </c>
    </row>
    <row r="2104" spans="1:24" ht="15.75" customHeight="1">
      <c r="A2104" s="1">
        <v>209330.0</v>
      </c>
      <c r="B2104" s="1" t="s">
        <v>9208</v>
      </c>
      <c r="C2104" s="1" t="s">
        <v>9209</v>
      </c>
      <c r="D2104" s="1" t="s">
        <v>9210</v>
      </c>
      <c r="F2104" s="1" t="str">
        <f>"0679733191"</f>
        <v>0679733191</v>
      </c>
      <c r="G2104" s="1" t="str">
        <f>"9780679733195"</f>
        <v>9780679733195</v>
      </c>
      <c r="H2104" s="1">
        <v>0.0</v>
      </c>
      <c r="I2104" s="1">
        <v>3.91</v>
      </c>
      <c r="J2104" s="1" t="s">
        <v>239</v>
      </c>
      <c r="K2104" s="1" t="s">
        <v>44</v>
      </c>
      <c r="L2104" s="1">
        <v>288.0</v>
      </c>
      <c r="M2104" s="1">
        <v>1994.0</v>
      </c>
      <c r="N2104" s="1">
        <v>1993.0</v>
      </c>
      <c r="P2104" s="2">
        <v>45189.0</v>
      </c>
      <c r="Q2104" s="1" t="s">
        <v>249</v>
      </c>
      <c r="R2104" s="1" t="s">
        <v>9211</v>
      </c>
      <c r="S2104" s="1" t="s">
        <v>32</v>
      </c>
      <c r="W2104" s="1">
        <v>0.0</v>
      </c>
      <c r="X2104" s="1">
        <v>0.0</v>
      </c>
    </row>
    <row r="2105" spans="1:24" ht="15.75" customHeight="1">
      <c r="A2105" s="1">
        <v>445060.0</v>
      </c>
      <c r="B2105" s="1" t="s">
        <v>9212</v>
      </c>
      <c r="C2105" s="1" t="s">
        <v>9213</v>
      </c>
      <c r="D2105" s="1" t="s">
        <v>9214</v>
      </c>
      <c r="F2105" s="1" t="str">
        <f>"1860648940"</f>
        <v>1860648940</v>
      </c>
      <c r="G2105" s="1" t="str">
        <f>"9781860648946"</f>
        <v>9781860648946</v>
      </c>
      <c r="H2105" s="1">
        <v>0.0</v>
      </c>
      <c r="I2105" s="1">
        <v>3.95</v>
      </c>
      <c r="J2105" s="1" t="s">
        <v>9215</v>
      </c>
      <c r="K2105" s="1" t="s">
        <v>44</v>
      </c>
      <c r="L2105" s="1">
        <v>288.0</v>
      </c>
      <c r="M2105" s="1">
        <v>2003.0</v>
      </c>
      <c r="N2105" s="1">
        <v>1978.0</v>
      </c>
      <c r="P2105" s="2">
        <v>44261.0</v>
      </c>
      <c r="Q2105" s="1" t="s">
        <v>55</v>
      </c>
      <c r="R2105" s="1" t="s">
        <v>9216</v>
      </c>
      <c r="S2105" s="1" t="s">
        <v>32</v>
      </c>
      <c r="W2105" s="1">
        <v>0.0</v>
      </c>
      <c r="X2105" s="1">
        <v>0.0</v>
      </c>
    </row>
    <row r="2106" spans="1:24" ht="15.75" customHeight="1">
      <c r="A2106" s="1">
        <v>1306109.0</v>
      </c>
      <c r="B2106" s="1" t="s">
        <v>9217</v>
      </c>
      <c r="C2106" s="1" t="s">
        <v>9213</v>
      </c>
      <c r="D2106" s="1" t="s">
        <v>9214</v>
      </c>
      <c r="F2106" s="1" t="str">
        <f>"0140062742"</f>
        <v>0140062742</v>
      </c>
      <c r="G2106" s="1" t="str">
        <f>"9780140062748"</f>
        <v>9780140062748</v>
      </c>
      <c r="H2106" s="1">
        <v>0.0</v>
      </c>
      <c r="I2106" s="1">
        <v>3.84</v>
      </c>
      <c r="J2106" s="1" t="s">
        <v>309</v>
      </c>
      <c r="K2106" s="1" t="s">
        <v>44</v>
      </c>
      <c r="L2106" s="1">
        <v>424.0</v>
      </c>
      <c r="M2106" s="1">
        <v>1982.0</v>
      </c>
      <c r="N2106" s="1">
        <v>1982.0</v>
      </c>
      <c r="P2106" s="2">
        <v>44261.0</v>
      </c>
      <c r="Q2106" s="1" t="s">
        <v>32</v>
      </c>
      <c r="R2106" s="1" t="s">
        <v>9218</v>
      </c>
      <c r="S2106" s="1" t="s">
        <v>32</v>
      </c>
      <c r="W2106" s="1">
        <v>0.0</v>
      </c>
      <c r="X2106" s="1">
        <v>0.0</v>
      </c>
    </row>
    <row r="2107" spans="1:24" ht="15.75" customHeight="1">
      <c r="A2107" s="1">
        <v>3.4324501E7</v>
      </c>
      <c r="B2107" s="1" t="s">
        <v>9219</v>
      </c>
      <c r="C2107" s="1" t="s">
        <v>9220</v>
      </c>
      <c r="D2107" s="1" t="s">
        <v>9221</v>
      </c>
      <c r="F2107" s="1" t="str">
        <f>"0300229046"</f>
        <v>0300229046</v>
      </c>
      <c r="G2107" s="1" t="str">
        <f>"9780300229042"</f>
        <v>9780300229042</v>
      </c>
      <c r="H2107" s="1">
        <v>0.0</v>
      </c>
      <c r="I2107" s="1">
        <v>3.61</v>
      </c>
      <c r="J2107" s="1" t="s">
        <v>962</v>
      </c>
      <c r="K2107" s="1" t="s">
        <v>37</v>
      </c>
      <c r="L2107" s="1">
        <v>360.0</v>
      </c>
      <c r="M2107" s="1">
        <v>2017.0</v>
      </c>
      <c r="N2107" s="1">
        <v>2017.0</v>
      </c>
      <c r="P2107" s="2">
        <v>45078.0</v>
      </c>
      <c r="Q2107" s="1" t="s">
        <v>9222</v>
      </c>
      <c r="R2107" s="1" t="s">
        <v>9223</v>
      </c>
      <c r="S2107" s="1" t="s">
        <v>32</v>
      </c>
      <c r="W2107" s="1">
        <v>0.0</v>
      </c>
      <c r="X2107" s="1">
        <v>0.0</v>
      </c>
    </row>
    <row r="2108" spans="1:24" ht="15.75" customHeight="1">
      <c r="A2108" s="1">
        <v>3846207.0</v>
      </c>
      <c r="B2108" s="1" t="s">
        <v>9224</v>
      </c>
      <c r="C2108" s="1" t="s">
        <v>9225</v>
      </c>
      <c r="D2108" s="1" t="s">
        <v>9226</v>
      </c>
      <c r="F2108" s="1" t="str">
        <f>"0898625785"</f>
        <v>0898625785</v>
      </c>
      <c r="G2108" s="1" t="str">
        <f>"9780898625783"</f>
        <v>9780898625783</v>
      </c>
      <c r="H2108" s="1">
        <v>0.0</v>
      </c>
      <c r="I2108" s="1">
        <v>0.0</v>
      </c>
      <c r="J2108" s="1" t="s">
        <v>9227</v>
      </c>
      <c r="K2108" s="1" t="s">
        <v>37</v>
      </c>
      <c r="L2108" s="1">
        <v>234.0</v>
      </c>
      <c r="M2108" s="1">
        <v>1986.0</v>
      </c>
      <c r="N2108" s="1">
        <v>1986.0</v>
      </c>
      <c r="P2108" s="3">
        <v>45213.0</v>
      </c>
      <c r="Q2108" s="1" t="s">
        <v>32</v>
      </c>
      <c r="R2108" s="1" t="s">
        <v>9228</v>
      </c>
      <c r="S2108" s="1" t="s">
        <v>32</v>
      </c>
      <c r="W2108" s="1">
        <v>0.0</v>
      </c>
      <c r="X2108" s="1">
        <v>0.0</v>
      </c>
    </row>
    <row r="2109" spans="1:24" ht="15.75" customHeight="1">
      <c r="A2109" s="1">
        <v>4.8595115E7</v>
      </c>
      <c r="B2109" s="1" t="s">
        <v>9229</v>
      </c>
      <c r="C2109" s="1" t="s">
        <v>9230</v>
      </c>
      <c r="D2109" s="1" t="s">
        <v>9231</v>
      </c>
      <c r="F2109" s="1" t="str">
        <f>"161219849X"</f>
        <v>161219849X</v>
      </c>
      <c r="G2109" s="1" t="str">
        <f>""</f>
        <v/>
      </c>
      <c r="H2109" s="1">
        <v>0.0</v>
      </c>
      <c r="I2109" s="1">
        <v>4.16</v>
      </c>
      <c r="J2109" s="1" t="s">
        <v>2462</v>
      </c>
      <c r="K2109" s="1" t="s">
        <v>29</v>
      </c>
      <c r="L2109" s="1">
        <v>252.0</v>
      </c>
      <c r="M2109" s="1">
        <v>2020.0</v>
      </c>
      <c r="N2109" s="1">
        <v>2019.0</v>
      </c>
      <c r="P2109" s="2">
        <v>44340.0</v>
      </c>
      <c r="Q2109" s="1" t="s">
        <v>502</v>
      </c>
      <c r="R2109" s="1" t="s">
        <v>9232</v>
      </c>
      <c r="S2109" s="1" t="s">
        <v>32</v>
      </c>
      <c r="W2109" s="1">
        <v>0.0</v>
      </c>
      <c r="X2109" s="1">
        <v>0.0</v>
      </c>
    </row>
    <row r="2110" spans="1:24" ht="15.75" customHeight="1">
      <c r="A2110" s="1">
        <v>2284915.0</v>
      </c>
      <c r="B2110" s="1" t="s">
        <v>9233</v>
      </c>
      <c r="C2110" s="1" t="s">
        <v>9234</v>
      </c>
      <c r="D2110" s="1" t="s">
        <v>9235</v>
      </c>
      <c r="E2110" s="1" t="s">
        <v>9236</v>
      </c>
      <c r="F2110" s="1" t="str">
        <f>"0674399684"</f>
        <v>0674399684</v>
      </c>
      <c r="G2110" s="1" t="str">
        <f>"9780674399686"</f>
        <v>9780674399686</v>
      </c>
      <c r="H2110" s="1">
        <v>0.0</v>
      </c>
      <c r="I2110" s="1">
        <v>3.4</v>
      </c>
      <c r="J2110" s="1" t="s">
        <v>2273</v>
      </c>
      <c r="K2110" s="1" t="s">
        <v>44</v>
      </c>
      <c r="L2110" s="1">
        <v>404.0</v>
      </c>
      <c r="M2110" s="1">
        <v>1998.0</v>
      </c>
      <c r="N2110" s="1">
        <v>1993.0</v>
      </c>
      <c r="P2110" s="2">
        <v>45129.0</v>
      </c>
      <c r="Q2110" s="1" t="s">
        <v>711</v>
      </c>
      <c r="R2110" s="1" t="s">
        <v>9237</v>
      </c>
      <c r="S2110" s="1" t="s">
        <v>32</v>
      </c>
      <c r="W2110" s="1">
        <v>0.0</v>
      </c>
      <c r="X2110" s="1">
        <v>0.0</v>
      </c>
    </row>
    <row r="2111" spans="1:24" ht="15.75" customHeight="1">
      <c r="A2111" s="1">
        <v>1372009.0</v>
      </c>
      <c r="B2111" s="1" t="s">
        <v>9238</v>
      </c>
      <c r="C2111" s="1" t="s">
        <v>9239</v>
      </c>
      <c r="D2111" s="1" t="s">
        <v>9240</v>
      </c>
      <c r="F2111" s="1" t="str">
        <f>"0816022682"</f>
        <v>0816022682</v>
      </c>
      <c r="G2111" s="1" t="str">
        <f>"9780816022687"</f>
        <v>9780816022687</v>
      </c>
      <c r="H2111" s="1">
        <v>0.0</v>
      </c>
      <c r="I2111" s="1">
        <v>4.03</v>
      </c>
      <c r="J2111" s="1" t="s">
        <v>3929</v>
      </c>
      <c r="K2111" s="1" t="s">
        <v>44</v>
      </c>
      <c r="L2111" s="1">
        <v>400.0</v>
      </c>
      <c r="M2111" s="1">
        <v>1990.0</v>
      </c>
      <c r="N2111" s="1">
        <v>1989.0</v>
      </c>
      <c r="P2111" s="2">
        <v>44790.0</v>
      </c>
      <c r="Q2111" s="1" t="s">
        <v>49</v>
      </c>
      <c r="R2111" s="1" t="s">
        <v>9241</v>
      </c>
      <c r="S2111" s="1" t="s">
        <v>32</v>
      </c>
      <c r="W2111" s="1">
        <v>0.0</v>
      </c>
      <c r="X2111" s="1">
        <v>0.0</v>
      </c>
    </row>
    <row r="2112" spans="1:24" ht="15.75" customHeight="1">
      <c r="A2112" s="1">
        <v>9966383.0</v>
      </c>
      <c r="B2112" s="1" t="s">
        <v>9242</v>
      </c>
      <c r="C2112" s="1" t="s">
        <v>9243</v>
      </c>
      <c r="D2112" s="1" t="s">
        <v>9244</v>
      </c>
      <c r="F2112" s="1" t="str">
        <f>"0195394879"</f>
        <v>0195394879</v>
      </c>
      <c r="G2112" s="1" t="str">
        <f>"9780195394870"</f>
        <v>9780195394870</v>
      </c>
      <c r="H2112" s="1">
        <v>0.0</v>
      </c>
      <c r="I2112" s="1">
        <v>4.3</v>
      </c>
      <c r="J2112" s="1" t="s">
        <v>181</v>
      </c>
      <c r="K2112" s="1" t="s">
        <v>44</v>
      </c>
      <c r="L2112" s="1">
        <v>338.0</v>
      </c>
      <c r="M2112" s="1">
        <v>2011.0</v>
      </c>
      <c r="N2112" s="1">
        <v>2011.0</v>
      </c>
      <c r="P2112" s="2">
        <v>45180.0</v>
      </c>
      <c r="Q2112" s="1" t="s">
        <v>32</v>
      </c>
      <c r="R2112" s="1" t="s">
        <v>9245</v>
      </c>
      <c r="S2112" s="1" t="s">
        <v>32</v>
      </c>
      <c r="W2112" s="1">
        <v>0.0</v>
      </c>
      <c r="X2112" s="1">
        <v>0.0</v>
      </c>
    </row>
    <row r="2113" spans="1:24" ht="15.75" customHeight="1">
      <c r="A2113" s="1">
        <v>9982697.0</v>
      </c>
      <c r="B2113" s="1" t="s">
        <v>9246</v>
      </c>
      <c r="C2113" s="1" t="s">
        <v>9247</v>
      </c>
      <c r="D2113" s="1" t="s">
        <v>9248</v>
      </c>
      <c r="F2113" s="1" t="str">
        <f>"0071748032"</f>
        <v>0071748032</v>
      </c>
      <c r="G2113" s="1" t="str">
        <f>"9780071748032"</f>
        <v>9780071748032</v>
      </c>
      <c r="H2113" s="1">
        <v>0.0</v>
      </c>
      <c r="I2113" s="1">
        <v>3.77</v>
      </c>
      <c r="J2113" s="1" t="s">
        <v>9249</v>
      </c>
      <c r="K2113" s="1" t="s">
        <v>44</v>
      </c>
      <c r="L2113" s="1">
        <v>208.0</v>
      </c>
      <c r="M2113" s="1">
        <v>2010.0</v>
      </c>
      <c r="N2113" s="1">
        <v>2009.0</v>
      </c>
      <c r="P2113" s="2">
        <v>45113.0</v>
      </c>
      <c r="Q2113" s="1" t="s">
        <v>115</v>
      </c>
      <c r="R2113" s="1" t="s">
        <v>9250</v>
      </c>
      <c r="S2113" s="1" t="s">
        <v>32</v>
      </c>
      <c r="W2113" s="1">
        <v>0.0</v>
      </c>
      <c r="X2113" s="1">
        <v>1.0</v>
      </c>
    </row>
    <row r="2114" spans="1:24" ht="15.75" customHeight="1">
      <c r="A2114" s="1">
        <v>2.5604557E7</v>
      </c>
      <c r="B2114" s="1" t="s">
        <v>9251</v>
      </c>
      <c r="C2114" s="1" t="s">
        <v>9252</v>
      </c>
      <c r="D2114" s="1" t="s">
        <v>9253</v>
      </c>
      <c r="F2114" s="1" t="str">
        <f>"0316282170"</f>
        <v>0316282170</v>
      </c>
      <c r="G2114" s="1" t="str">
        <f>"9780316282178"</f>
        <v>9780316282178</v>
      </c>
      <c r="H2114" s="1">
        <v>0.0</v>
      </c>
      <c r="I2114" s="1">
        <v>4.03</v>
      </c>
      <c r="J2114" s="1" t="s">
        <v>1963</v>
      </c>
      <c r="K2114" s="1" t="s">
        <v>37</v>
      </c>
      <c r="L2114" s="1">
        <v>288.0</v>
      </c>
      <c r="M2114" s="1">
        <v>2016.0</v>
      </c>
      <c r="N2114" s="1">
        <v>2016.0</v>
      </c>
      <c r="P2114" s="3">
        <v>45243.0</v>
      </c>
      <c r="Q2114" s="1" t="s">
        <v>55</v>
      </c>
      <c r="R2114" s="1" t="s">
        <v>9254</v>
      </c>
      <c r="S2114" s="1" t="s">
        <v>32</v>
      </c>
      <c r="W2114" s="1">
        <v>0.0</v>
      </c>
      <c r="X2114" s="1">
        <v>0.0</v>
      </c>
    </row>
    <row r="2115" spans="1:24" ht="15.75" customHeight="1">
      <c r="A2115" s="1">
        <v>340577.0</v>
      </c>
      <c r="B2115" s="1" t="s">
        <v>9255</v>
      </c>
      <c r="C2115" s="1" t="s">
        <v>9256</v>
      </c>
      <c r="D2115" s="1" t="s">
        <v>9257</v>
      </c>
      <c r="F2115" s="1" t="str">
        <f>"0393319806"</f>
        <v>0393319806</v>
      </c>
      <c r="G2115" s="1" t="str">
        <f>"9780393319804"</f>
        <v>9780393319804</v>
      </c>
      <c r="H2115" s="1">
        <v>0.0</v>
      </c>
      <c r="I2115" s="1">
        <v>4.04</v>
      </c>
      <c r="J2115" s="1" t="s">
        <v>248</v>
      </c>
      <c r="K2115" s="1" t="s">
        <v>44</v>
      </c>
      <c r="L2115" s="1">
        <v>872.0</v>
      </c>
      <c r="M2115" s="1">
        <v>1999.0</v>
      </c>
      <c r="N2115" s="1">
        <v>1997.0</v>
      </c>
      <c r="P2115" s="2">
        <v>45166.0</v>
      </c>
      <c r="Q2115" s="1" t="s">
        <v>32</v>
      </c>
      <c r="R2115" s="1" t="s">
        <v>9258</v>
      </c>
      <c r="S2115" s="1" t="s">
        <v>32</v>
      </c>
      <c r="W2115" s="1">
        <v>0.0</v>
      </c>
      <c r="X2115" s="1">
        <v>0.0</v>
      </c>
    </row>
    <row r="2116" spans="1:24" ht="15.75" customHeight="1">
      <c r="A2116" s="1">
        <v>162124.0</v>
      </c>
      <c r="B2116" s="1" t="s">
        <v>9259</v>
      </c>
      <c r="C2116" s="1" t="s">
        <v>9256</v>
      </c>
      <c r="D2116" s="1" t="s">
        <v>9257</v>
      </c>
      <c r="F2116" s="1" t="str">
        <f>"0192802674"</f>
        <v>0192802674</v>
      </c>
      <c r="G2116" s="1" t="str">
        <f>"9780192802675"</f>
        <v>9780192802675</v>
      </c>
      <c r="H2116" s="1">
        <v>0.0</v>
      </c>
      <c r="I2116" s="1">
        <v>3.51</v>
      </c>
      <c r="J2116" s="1" t="s">
        <v>181</v>
      </c>
      <c r="K2116" s="1" t="s">
        <v>44</v>
      </c>
      <c r="L2116" s="1">
        <v>256.0</v>
      </c>
      <c r="M2116" s="1">
        <v>2003.0</v>
      </c>
      <c r="N2116" s="1">
        <v>2002.0</v>
      </c>
      <c r="P2116" s="2">
        <v>45163.0</v>
      </c>
      <c r="Q2116" s="1" t="s">
        <v>32</v>
      </c>
      <c r="R2116" s="1" t="s">
        <v>9260</v>
      </c>
      <c r="S2116" s="1" t="s">
        <v>32</v>
      </c>
      <c r="W2116" s="1">
        <v>0.0</v>
      </c>
      <c r="X2116" s="1">
        <v>0.0</v>
      </c>
    </row>
    <row r="2117" spans="1:24" ht="15.75" customHeight="1">
      <c r="A2117" s="1">
        <v>743262.0</v>
      </c>
      <c r="B2117" s="1" t="s">
        <v>9261</v>
      </c>
      <c r="C2117" s="1" t="s">
        <v>9262</v>
      </c>
      <c r="D2117" s="1" t="s">
        <v>9263</v>
      </c>
      <c r="F2117" s="1" t="str">
        <f>"019512913X"</f>
        <v>019512913X</v>
      </c>
      <c r="G2117" s="1" t="str">
        <f>"9780195129137"</f>
        <v>9780195129137</v>
      </c>
      <c r="H2117" s="1">
        <v>0.0</v>
      </c>
      <c r="I2117" s="1">
        <v>3.44</v>
      </c>
      <c r="J2117" s="1" t="s">
        <v>181</v>
      </c>
      <c r="K2117" s="1" t="s">
        <v>44</v>
      </c>
      <c r="L2117" s="1">
        <v>336.0</v>
      </c>
      <c r="M2117" s="1">
        <v>1998.0</v>
      </c>
      <c r="N2117" s="1">
        <v>1992.0</v>
      </c>
      <c r="P2117" s="2">
        <v>45165.0</v>
      </c>
      <c r="Q2117" s="1" t="s">
        <v>32</v>
      </c>
      <c r="R2117" s="1" t="s">
        <v>9264</v>
      </c>
      <c r="S2117" s="1" t="s">
        <v>32</v>
      </c>
      <c r="W2117" s="1">
        <v>0.0</v>
      </c>
      <c r="X2117" s="1">
        <v>0.0</v>
      </c>
    </row>
    <row r="2118" spans="1:24" ht="15.75" customHeight="1">
      <c r="A2118" s="1">
        <v>79816.0</v>
      </c>
      <c r="B2118" s="1" t="s">
        <v>9265</v>
      </c>
      <c r="C2118" s="1" t="s">
        <v>9262</v>
      </c>
      <c r="D2118" s="1" t="s">
        <v>9263</v>
      </c>
      <c r="F2118" s="1" t="str">
        <f>"0195179862"</f>
        <v>0195179862</v>
      </c>
      <c r="G2118" s="1" t="str">
        <f>"9780195179866"</f>
        <v>9780195179866</v>
      </c>
      <c r="H2118" s="1">
        <v>0.0</v>
      </c>
      <c r="I2118" s="1">
        <v>3.67</v>
      </c>
      <c r="J2118" s="1" t="s">
        <v>181</v>
      </c>
      <c r="K2118" s="1" t="s">
        <v>44</v>
      </c>
      <c r="L2118" s="1">
        <v>416.0</v>
      </c>
      <c r="M2118" s="1">
        <v>2005.0</v>
      </c>
      <c r="N2118" s="1">
        <v>2003.0</v>
      </c>
      <c r="P2118" s="2">
        <v>45164.0</v>
      </c>
      <c r="Q2118" s="1" t="s">
        <v>32</v>
      </c>
      <c r="R2118" s="1" t="s">
        <v>9266</v>
      </c>
      <c r="S2118" s="1" t="s">
        <v>32</v>
      </c>
      <c r="W2118" s="1">
        <v>0.0</v>
      </c>
      <c r="X2118" s="1">
        <v>0.0</v>
      </c>
    </row>
    <row r="2119" spans="1:24" ht="15.75" customHeight="1">
      <c r="A2119" s="1">
        <v>1696944.0</v>
      </c>
      <c r="B2119" s="1" t="s">
        <v>9267</v>
      </c>
      <c r="C2119" s="1" t="s">
        <v>9268</v>
      </c>
      <c r="D2119" s="1" t="s">
        <v>9269</v>
      </c>
      <c r="E2119" s="1" t="s">
        <v>9270</v>
      </c>
      <c r="F2119" s="1" t="str">
        <f>"8437615518"</f>
        <v>8437615518</v>
      </c>
      <c r="G2119" s="1" t="str">
        <f>"9788437615516"</f>
        <v>9788437615516</v>
      </c>
      <c r="H2119" s="1">
        <v>0.0</v>
      </c>
      <c r="I2119" s="1">
        <v>3.74</v>
      </c>
      <c r="J2119" s="1" t="s">
        <v>753</v>
      </c>
      <c r="K2119" s="1" t="s">
        <v>44</v>
      </c>
      <c r="L2119" s="1">
        <v>336.0</v>
      </c>
      <c r="M2119" s="1">
        <v>1997.0</v>
      </c>
      <c r="N2119" s="1">
        <v>1970.0</v>
      </c>
      <c r="P2119" s="2">
        <v>45114.0</v>
      </c>
      <c r="Q2119" s="1" t="s">
        <v>383</v>
      </c>
      <c r="R2119" s="1" t="s">
        <v>9271</v>
      </c>
      <c r="S2119" s="1" t="s">
        <v>32</v>
      </c>
      <c r="W2119" s="1">
        <v>0.0</v>
      </c>
      <c r="X2119" s="1">
        <v>1.0</v>
      </c>
    </row>
    <row r="2120" spans="1:24" ht="15.75" customHeight="1">
      <c r="A2120" s="1">
        <v>455388.0</v>
      </c>
      <c r="B2120" s="1" t="s">
        <v>9272</v>
      </c>
      <c r="C2120" s="1" t="s">
        <v>9273</v>
      </c>
      <c r="D2120" s="1" t="s">
        <v>9274</v>
      </c>
      <c r="E2120" s="1" t="s">
        <v>9275</v>
      </c>
      <c r="F2120" s="1" t="str">
        <f>"0393323803"</f>
        <v>0393323803</v>
      </c>
      <c r="G2120" s="1" t="str">
        <f>"9780393323801"</f>
        <v>9780393323801</v>
      </c>
      <c r="H2120" s="1">
        <v>0.0</v>
      </c>
      <c r="I2120" s="1">
        <v>4.1</v>
      </c>
      <c r="J2120" s="1" t="s">
        <v>248</v>
      </c>
      <c r="K2120" s="1" t="s">
        <v>44</v>
      </c>
      <c r="L2120" s="1">
        <v>414.0</v>
      </c>
      <c r="M2120" s="1">
        <v>2003.0</v>
      </c>
      <c r="N2120" s="1">
        <v>2000.0</v>
      </c>
      <c r="P2120" s="2">
        <v>44263.0</v>
      </c>
      <c r="Q2120" s="1" t="s">
        <v>1739</v>
      </c>
      <c r="R2120" s="1" t="s">
        <v>9276</v>
      </c>
      <c r="S2120" s="1" t="s">
        <v>32</v>
      </c>
      <c r="W2120" s="1">
        <v>0.0</v>
      </c>
      <c r="X2120" s="1">
        <v>0.0</v>
      </c>
    </row>
    <row r="2121" spans="1:24" ht="15.75" customHeight="1">
      <c r="A2121" s="1">
        <v>207897.0</v>
      </c>
      <c r="B2121" s="1" t="s">
        <v>9277</v>
      </c>
      <c r="C2121" s="1" t="s">
        <v>9273</v>
      </c>
      <c r="D2121" s="1" t="s">
        <v>9274</v>
      </c>
      <c r="E2121" s="1" t="s">
        <v>9278</v>
      </c>
      <c r="F2121" s="1" t="str">
        <f>"0674387104"</f>
        <v>0674387104</v>
      </c>
      <c r="G2121" s="1" t="str">
        <f>"9780674387102"</f>
        <v>9780674387102</v>
      </c>
      <c r="H2121" s="1">
        <v>0.0</v>
      </c>
      <c r="I2121" s="1">
        <v>3.86</v>
      </c>
      <c r="J2121" s="1" t="s">
        <v>2273</v>
      </c>
      <c r="K2121" s="1" t="s">
        <v>44</v>
      </c>
      <c r="L2121" s="1">
        <v>496.0</v>
      </c>
      <c r="M2121" s="1">
        <v>1999.0</v>
      </c>
      <c r="N2121" s="1">
        <v>1994.0</v>
      </c>
      <c r="P2121" s="2">
        <v>45151.0</v>
      </c>
      <c r="Q2121" s="1" t="s">
        <v>109</v>
      </c>
      <c r="R2121" s="1" t="s">
        <v>9279</v>
      </c>
      <c r="S2121" s="1" t="s">
        <v>32</v>
      </c>
      <c r="W2121" s="1">
        <v>0.0</v>
      </c>
      <c r="X2121" s="1">
        <v>0.0</v>
      </c>
    </row>
    <row r="2122" spans="1:24" ht="15.75" customHeight="1">
      <c r="A2122" s="1">
        <v>163786.0</v>
      </c>
      <c r="B2122" s="1" t="s">
        <v>9280</v>
      </c>
      <c r="C2122" s="1" t="s">
        <v>9281</v>
      </c>
      <c r="D2122" s="1" t="s">
        <v>9282</v>
      </c>
      <c r="F2122" s="1" t="str">
        <f>"0486604535"</f>
        <v>0486604535</v>
      </c>
      <c r="G2122" s="1" t="str">
        <f>"9780486604534"</f>
        <v>9780486604534</v>
      </c>
      <c r="H2122" s="1">
        <v>0.0</v>
      </c>
      <c r="I2122" s="1">
        <v>3.95</v>
      </c>
      <c r="J2122" s="1" t="s">
        <v>9283</v>
      </c>
      <c r="K2122" s="1" t="s">
        <v>44</v>
      </c>
      <c r="L2122" s="1">
        <v>272.0</v>
      </c>
      <c r="M2122" s="1">
        <v>2011.0</v>
      </c>
      <c r="N2122" s="1">
        <v>1954.0</v>
      </c>
      <c r="P2122" s="2">
        <v>45153.0</v>
      </c>
      <c r="Q2122" s="1" t="s">
        <v>32</v>
      </c>
      <c r="R2122" s="1" t="s">
        <v>9284</v>
      </c>
      <c r="S2122" s="1" t="s">
        <v>32</v>
      </c>
      <c r="W2122" s="1">
        <v>0.0</v>
      </c>
      <c r="X2122" s="1">
        <v>0.0</v>
      </c>
    </row>
    <row r="2123" spans="1:24" ht="15.75" customHeight="1">
      <c r="A2123" s="1">
        <v>144937.0</v>
      </c>
      <c r="B2123" s="1" t="s">
        <v>9285</v>
      </c>
      <c r="C2123" s="1" t="s">
        <v>9286</v>
      </c>
      <c r="D2123" s="1" t="s">
        <v>9287</v>
      </c>
      <c r="E2123" s="1" t="s">
        <v>9288</v>
      </c>
      <c r="F2123" s="1" t="str">
        <f>"0195002105"</f>
        <v>0195002105</v>
      </c>
      <c r="G2123" s="1" t="str">
        <f>"9780195002102"</f>
        <v>9780195002102</v>
      </c>
      <c r="H2123" s="1">
        <v>0.0</v>
      </c>
      <c r="I2123" s="1">
        <v>4.02</v>
      </c>
      <c r="J2123" s="1" t="s">
        <v>181</v>
      </c>
      <c r="K2123" s="1" t="s">
        <v>44</v>
      </c>
      <c r="L2123" s="1">
        <v>232.0</v>
      </c>
      <c r="M2123" s="1">
        <v>1958.0</v>
      </c>
      <c r="N2123" s="1">
        <v>1917.0</v>
      </c>
      <c r="P2123" s="3">
        <v>44484.0</v>
      </c>
      <c r="Q2123" s="1" t="s">
        <v>45</v>
      </c>
      <c r="R2123" s="1" t="s">
        <v>9289</v>
      </c>
      <c r="S2123" s="1" t="s">
        <v>32</v>
      </c>
      <c r="W2123" s="1">
        <v>0.0</v>
      </c>
      <c r="X2123" s="1">
        <v>0.0</v>
      </c>
    </row>
    <row r="2124" spans="1:24" ht="15.75" customHeight="1">
      <c r="A2124" s="1">
        <v>274063.0</v>
      </c>
      <c r="B2124" s="1" t="s">
        <v>9290</v>
      </c>
      <c r="C2124" s="1" t="s">
        <v>9291</v>
      </c>
      <c r="D2124" s="1" t="s">
        <v>9292</v>
      </c>
      <c r="F2124" s="1" t="str">
        <f>"0486234002"</f>
        <v>0486234002</v>
      </c>
      <c r="G2124" s="1" t="str">
        <f>"9780486234007"</f>
        <v>9780486234007</v>
      </c>
      <c r="H2124" s="1">
        <v>0.0</v>
      </c>
      <c r="I2124" s="1">
        <v>4.24</v>
      </c>
      <c r="J2124" s="1" t="s">
        <v>910</v>
      </c>
      <c r="K2124" s="1" t="s">
        <v>44</v>
      </c>
      <c r="L2124" s="1">
        <v>160.0</v>
      </c>
      <c r="M2124" s="1">
        <v>1977.0</v>
      </c>
      <c r="N2124" s="1">
        <v>1977.0</v>
      </c>
      <c r="P2124" s="2">
        <v>45153.0</v>
      </c>
      <c r="Q2124" s="1" t="s">
        <v>32</v>
      </c>
      <c r="R2124" s="1" t="s">
        <v>9293</v>
      </c>
      <c r="S2124" s="1" t="s">
        <v>32</v>
      </c>
      <c r="W2124" s="1">
        <v>1.0</v>
      </c>
      <c r="X2124" s="1">
        <v>0.0</v>
      </c>
    </row>
    <row r="2125" spans="1:24" ht="15.75" customHeight="1">
      <c r="A2125" s="1">
        <v>14362.0</v>
      </c>
      <c r="B2125" s="1" t="s">
        <v>9294</v>
      </c>
      <c r="C2125" s="1" t="s">
        <v>9295</v>
      </c>
      <c r="D2125" s="1" t="s">
        <v>9296</v>
      </c>
      <c r="F2125" s="1" t="str">
        <f>"0446675369"</f>
        <v>0446675369</v>
      </c>
      <c r="G2125" s="1" t="str">
        <f>"9780446675369"</f>
        <v>9780446675369</v>
      </c>
      <c r="H2125" s="1">
        <v>0.0</v>
      </c>
      <c r="I2125" s="1">
        <v>3.82</v>
      </c>
      <c r="J2125" s="1" t="s">
        <v>2746</v>
      </c>
      <c r="K2125" s="1" t="s">
        <v>44</v>
      </c>
      <c r="L2125" s="1">
        <v>290.0</v>
      </c>
      <c r="M2125" s="1">
        <v>1999.0</v>
      </c>
      <c r="N2125" s="1">
        <v>1972.0</v>
      </c>
      <c r="P2125" s="2">
        <v>44013.0</v>
      </c>
      <c r="Q2125" s="1" t="s">
        <v>32</v>
      </c>
      <c r="R2125" s="1" t="s">
        <v>9297</v>
      </c>
      <c r="S2125" s="1" t="s">
        <v>32</v>
      </c>
      <c r="W2125" s="1">
        <v>0.0</v>
      </c>
      <c r="X2125" s="1">
        <v>0.0</v>
      </c>
    </row>
    <row r="2126" spans="1:24" ht="15.75" customHeight="1">
      <c r="A2126" s="1">
        <v>1264494.0</v>
      </c>
      <c r="B2126" s="1" t="s">
        <v>9298</v>
      </c>
      <c r="C2126" s="1" t="s">
        <v>9299</v>
      </c>
      <c r="D2126" s="1" t="s">
        <v>9300</v>
      </c>
      <c r="F2126" s="1" t="str">
        <f>"0312247249"</f>
        <v>0312247249</v>
      </c>
      <c r="G2126" s="1" t="str">
        <f>"9780312247249"</f>
        <v>9780312247249</v>
      </c>
      <c r="H2126" s="1">
        <v>0.0</v>
      </c>
      <c r="I2126" s="1">
        <v>3.95</v>
      </c>
      <c r="J2126" s="1" t="s">
        <v>2414</v>
      </c>
      <c r="K2126" s="1" t="s">
        <v>44</v>
      </c>
      <c r="L2126" s="1">
        <v>288.0</v>
      </c>
      <c r="M2126" s="1">
        <v>1999.0</v>
      </c>
      <c r="N2126" s="1">
        <v>1998.0</v>
      </c>
      <c r="P2126" s="2">
        <v>45189.0</v>
      </c>
      <c r="Q2126" s="1" t="s">
        <v>249</v>
      </c>
      <c r="R2126" s="1" t="s">
        <v>9301</v>
      </c>
      <c r="S2126" s="1" t="s">
        <v>32</v>
      </c>
      <c r="W2126" s="1">
        <v>0.0</v>
      </c>
      <c r="X2126" s="1">
        <v>0.0</v>
      </c>
    </row>
    <row r="2127" spans="1:24" ht="15.75" customHeight="1">
      <c r="A2127" s="1">
        <v>793647.0</v>
      </c>
      <c r="B2127" s="1" t="s">
        <v>9302</v>
      </c>
      <c r="C2127" s="1" t="s">
        <v>9303</v>
      </c>
      <c r="D2127" s="1" t="s">
        <v>9304</v>
      </c>
      <c r="F2127" s="1" t="str">
        <f>"0517362457"</f>
        <v>0517362457</v>
      </c>
      <c r="G2127" s="1" t="str">
        <f>"9780517362457"</f>
        <v>9780517362457</v>
      </c>
      <c r="H2127" s="1">
        <v>0.0</v>
      </c>
      <c r="I2127" s="1">
        <v>4.04</v>
      </c>
      <c r="J2127" s="1" t="s">
        <v>9305</v>
      </c>
      <c r="K2127" s="1" t="s">
        <v>37</v>
      </c>
      <c r="L2127" s="1">
        <v>557.0</v>
      </c>
      <c r="M2127" s="1">
        <v>1981.0</v>
      </c>
      <c r="N2127" s="1">
        <v>1959.0</v>
      </c>
      <c r="P2127" s="2">
        <v>43967.0</v>
      </c>
      <c r="Q2127" s="1" t="s">
        <v>49</v>
      </c>
      <c r="R2127" s="1" t="s">
        <v>9306</v>
      </c>
      <c r="S2127" s="1" t="s">
        <v>32</v>
      </c>
      <c r="W2127" s="1">
        <v>0.0</v>
      </c>
      <c r="X2127" s="1">
        <v>0.0</v>
      </c>
    </row>
    <row r="2128" spans="1:24" ht="15.75" customHeight="1">
      <c r="A2128" s="1">
        <v>1767179.0</v>
      </c>
      <c r="B2128" s="1" t="s">
        <v>9307</v>
      </c>
      <c r="C2128" s="1" t="s">
        <v>9308</v>
      </c>
      <c r="D2128" s="1" t="s">
        <v>9309</v>
      </c>
      <c r="F2128" s="1" t="str">
        <f>"0374521751"</f>
        <v>0374521751</v>
      </c>
      <c r="G2128" s="1" t="str">
        <f>"9780374521752"</f>
        <v>9780374521752</v>
      </c>
      <c r="H2128" s="1">
        <v>0.0</v>
      </c>
      <c r="I2128" s="1">
        <v>3.94</v>
      </c>
      <c r="J2128" s="1" t="s">
        <v>3437</v>
      </c>
      <c r="K2128" s="1" t="s">
        <v>44</v>
      </c>
      <c r="L2128" s="1">
        <v>289.0</v>
      </c>
      <c r="M2128" s="1">
        <v>1989.0</v>
      </c>
      <c r="N2128" s="1">
        <v>1987.0</v>
      </c>
      <c r="P2128" s="2">
        <v>45173.0</v>
      </c>
      <c r="Q2128" s="1" t="s">
        <v>32</v>
      </c>
      <c r="R2128" s="1" t="s">
        <v>9310</v>
      </c>
      <c r="S2128" s="1" t="s">
        <v>32</v>
      </c>
      <c r="W2128" s="1">
        <v>0.0</v>
      </c>
      <c r="X2128" s="1">
        <v>0.0</v>
      </c>
    </row>
    <row r="2129" spans="1:24" ht="15.75" customHeight="1">
      <c r="A2129" s="1">
        <v>3.4122265E7</v>
      </c>
      <c r="B2129" s="1" t="s">
        <v>9311</v>
      </c>
      <c r="C2129" s="1" t="s">
        <v>9312</v>
      </c>
      <c r="D2129" s="1" t="s">
        <v>9313</v>
      </c>
      <c r="F2129" s="1" t="str">
        <f>"0195390180"</f>
        <v>0195390180</v>
      </c>
      <c r="G2129" s="1" t="str">
        <f>"9780195390186"</f>
        <v>9780195390186</v>
      </c>
      <c r="H2129" s="1">
        <v>0.0</v>
      </c>
      <c r="I2129" s="1">
        <v>4.43</v>
      </c>
      <c r="J2129" s="1" t="s">
        <v>181</v>
      </c>
      <c r="K2129" s="1" t="s">
        <v>44</v>
      </c>
      <c r="L2129" s="1">
        <v>272.0</v>
      </c>
      <c r="M2129" s="1">
        <v>2017.0</v>
      </c>
      <c r="N2129" s="1">
        <v>2017.0</v>
      </c>
      <c r="P2129" s="2">
        <v>44814.0</v>
      </c>
      <c r="Q2129" s="1" t="s">
        <v>115</v>
      </c>
      <c r="R2129" s="1" t="s">
        <v>9314</v>
      </c>
      <c r="S2129" s="1" t="s">
        <v>32</v>
      </c>
      <c r="W2129" s="1">
        <v>0.0</v>
      </c>
      <c r="X2129" s="1">
        <v>1.0</v>
      </c>
    </row>
    <row r="2130" spans="1:24" ht="15.75" customHeight="1">
      <c r="A2130" s="1">
        <v>3.7561945E7</v>
      </c>
      <c r="B2130" s="1" t="s">
        <v>9311</v>
      </c>
      <c r="C2130" s="1" t="s">
        <v>9312</v>
      </c>
      <c r="D2130" s="1" t="s">
        <v>9313</v>
      </c>
      <c r="F2130" s="1" t="str">
        <f>"0190675578"</f>
        <v>0190675578</v>
      </c>
      <c r="G2130" s="1" t="str">
        <f>"9780190675578"</f>
        <v>9780190675578</v>
      </c>
      <c r="H2130" s="1">
        <v>0.0</v>
      </c>
      <c r="I2130" s="1">
        <v>4.43</v>
      </c>
      <c r="J2130" s="1" t="s">
        <v>181</v>
      </c>
      <c r="K2130" s="1" t="s">
        <v>29</v>
      </c>
      <c r="L2130" s="1">
        <v>270.0</v>
      </c>
      <c r="M2130" s="1">
        <v>2017.0</v>
      </c>
      <c r="N2130" s="1">
        <v>2017.0</v>
      </c>
      <c r="P2130" s="2">
        <v>45113.0</v>
      </c>
      <c r="Q2130" s="1" t="s">
        <v>32</v>
      </c>
      <c r="R2130" s="1" t="s">
        <v>9315</v>
      </c>
      <c r="S2130" s="1" t="s">
        <v>32</v>
      </c>
      <c r="W2130" s="1">
        <v>0.0</v>
      </c>
      <c r="X2130" s="1">
        <v>0.0</v>
      </c>
    </row>
    <row r="2131" spans="1:24" ht="15.75" customHeight="1">
      <c r="A2131" s="1">
        <v>3.4122264E7</v>
      </c>
      <c r="B2131" s="1" t="s">
        <v>9311</v>
      </c>
      <c r="C2131" s="1" t="s">
        <v>9312</v>
      </c>
      <c r="D2131" s="1" t="s">
        <v>9313</v>
      </c>
      <c r="F2131" s="1" t="str">
        <f>"0195390172"</f>
        <v>0195390172</v>
      </c>
      <c r="G2131" s="1" t="str">
        <f>"9780195390179"</f>
        <v>9780195390179</v>
      </c>
      <c r="H2131" s="1">
        <v>0.0</v>
      </c>
      <c r="I2131" s="1">
        <v>4.43</v>
      </c>
      <c r="J2131" s="1" t="s">
        <v>181</v>
      </c>
      <c r="K2131" s="1" t="s">
        <v>37</v>
      </c>
      <c r="L2131" s="1">
        <v>274.0</v>
      </c>
      <c r="M2131" s="1">
        <v>2017.0</v>
      </c>
      <c r="N2131" s="1">
        <v>2017.0</v>
      </c>
      <c r="P2131" s="2">
        <v>42977.0</v>
      </c>
      <c r="Q2131" s="1" t="s">
        <v>32</v>
      </c>
      <c r="R2131" s="1" t="s">
        <v>9316</v>
      </c>
      <c r="S2131" s="1" t="s">
        <v>32</v>
      </c>
      <c r="W2131" s="1">
        <v>0.0</v>
      </c>
      <c r="X2131" s="1">
        <v>0.0</v>
      </c>
    </row>
    <row r="2132" spans="1:24" ht="15.75" customHeight="1">
      <c r="A2132" s="1">
        <v>4037619.0</v>
      </c>
      <c r="B2132" s="1" t="s">
        <v>9317</v>
      </c>
      <c r="C2132" s="1" t="s">
        <v>9318</v>
      </c>
      <c r="D2132" s="1" t="s">
        <v>9319</v>
      </c>
      <c r="F2132" s="1" t="str">
        <f>"9025607969"</f>
        <v>9025607969</v>
      </c>
      <c r="G2132" s="1" t="str">
        <f>"9789025607968"</f>
        <v>9789025607968</v>
      </c>
      <c r="H2132" s="1">
        <v>0.0</v>
      </c>
      <c r="I2132" s="1">
        <v>4.2</v>
      </c>
      <c r="J2132" s="1" t="s">
        <v>9320</v>
      </c>
      <c r="K2132" s="1" t="s">
        <v>44</v>
      </c>
      <c r="L2132" s="1">
        <v>265.0</v>
      </c>
      <c r="M2132" s="1">
        <v>1979.0</v>
      </c>
      <c r="P2132" s="2">
        <v>45120.0</v>
      </c>
      <c r="Q2132" s="1" t="s">
        <v>725</v>
      </c>
      <c r="R2132" s="1" t="s">
        <v>9321</v>
      </c>
      <c r="S2132" s="1" t="s">
        <v>32</v>
      </c>
      <c r="W2132" s="1">
        <v>0.0</v>
      </c>
      <c r="X2132" s="1">
        <v>0.0</v>
      </c>
    </row>
    <row r="2133" spans="1:24" ht="15.75" customHeight="1">
      <c r="A2133" s="1">
        <v>1.5811545E7</v>
      </c>
      <c r="B2133" s="1" t="s">
        <v>9322</v>
      </c>
      <c r="C2133" s="1" t="s">
        <v>9323</v>
      </c>
      <c r="D2133" s="1" t="s">
        <v>9324</v>
      </c>
      <c r="F2133" s="1" t="str">
        <f>"0670026638"</f>
        <v>0670026638</v>
      </c>
      <c r="G2133" s="1" t="str">
        <f>"9780670026630"</f>
        <v>9780670026630</v>
      </c>
      <c r="H2133" s="1">
        <v>0.0</v>
      </c>
      <c r="I2133" s="1">
        <v>4.06</v>
      </c>
      <c r="J2133" s="1" t="s">
        <v>1137</v>
      </c>
      <c r="K2133" s="1" t="s">
        <v>37</v>
      </c>
      <c r="L2133" s="1">
        <v>432.0</v>
      </c>
      <c r="M2133" s="1">
        <v>2013.0</v>
      </c>
      <c r="N2133" s="1">
        <v>2013.0</v>
      </c>
      <c r="P2133" s="2">
        <v>41647.0</v>
      </c>
      <c r="Q2133" s="1" t="s">
        <v>32</v>
      </c>
      <c r="R2133" s="1" t="s">
        <v>9325</v>
      </c>
      <c r="S2133" s="1" t="s">
        <v>32</v>
      </c>
      <c r="W2133" s="1">
        <v>0.0</v>
      </c>
      <c r="X2133" s="1">
        <v>0.0</v>
      </c>
    </row>
    <row r="2134" spans="1:24" ht="15.75" customHeight="1">
      <c r="A2134" s="1">
        <v>3853.0</v>
      </c>
      <c r="B2134" s="1" t="s">
        <v>9326</v>
      </c>
      <c r="C2134" s="1" t="s">
        <v>9327</v>
      </c>
      <c r="D2134" s="1" t="s">
        <v>9328</v>
      </c>
      <c r="F2134" s="1" t="str">
        <f>"1582430152"</f>
        <v>1582430152</v>
      </c>
      <c r="G2134" s="1" t="str">
        <f>"9781582430157"</f>
        <v>9781582430157</v>
      </c>
      <c r="H2134" s="1">
        <v>0.0</v>
      </c>
      <c r="I2134" s="1">
        <v>3.55</v>
      </c>
      <c r="J2134" s="1" t="s">
        <v>7243</v>
      </c>
      <c r="K2134" s="1" t="s">
        <v>44</v>
      </c>
      <c r="L2134" s="1">
        <v>190.0</v>
      </c>
      <c r="M2134" s="1">
        <v>1999.0</v>
      </c>
      <c r="N2134" s="1">
        <v>1975.0</v>
      </c>
      <c r="P2134" s="2">
        <v>45111.0</v>
      </c>
      <c r="Q2134" s="1" t="s">
        <v>261</v>
      </c>
      <c r="R2134" s="1" t="s">
        <v>9329</v>
      </c>
      <c r="S2134" s="1" t="s">
        <v>32</v>
      </c>
      <c r="W2134" s="1">
        <v>0.0</v>
      </c>
      <c r="X2134" s="1">
        <v>0.0</v>
      </c>
    </row>
    <row r="2135" spans="1:24" ht="15.75" customHeight="1">
      <c r="A2135" s="1">
        <v>9541.0</v>
      </c>
      <c r="B2135" s="1" t="s">
        <v>9330</v>
      </c>
      <c r="C2135" s="1" t="s">
        <v>9331</v>
      </c>
      <c r="D2135" s="1" t="s">
        <v>9332</v>
      </c>
      <c r="F2135" s="1" t="str">
        <f>"0679779078"</f>
        <v>0679779078</v>
      </c>
      <c r="G2135" s="1" t="str">
        <f>"9780679779070"</f>
        <v>9780679779070</v>
      </c>
      <c r="H2135" s="1">
        <v>0.0</v>
      </c>
      <c r="I2135" s="1">
        <v>4.39</v>
      </c>
      <c r="J2135" s="1" t="s">
        <v>69</v>
      </c>
      <c r="K2135" s="1" t="s">
        <v>44</v>
      </c>
      <c r="L2135" s="1">
        <v>325.0</v>
      </c>
      <c r="M2135" s="1">
        <v>2002.0</v>
      </c>
      <c r="N2135" s="1">
        <v>1998.0</v>
      </c>
      <c r="P2135" s="3">
        <v>45228.0</v>
      </c>
      <c r="Q2135" s="1" t="s">
        <v>32</v>
      </c>
      <c r="R2135" s="1" t="s">
        <v>9333</v>
      </c>
      <c r="S2135" s="1" t="s">
        <v>32</v>
      </c>
      <c r="W2135" s="1">
        <v>0.0</v>
      </c>
      <c r="X2135" s="1">
        <v>0.0</v>
      </c>
    </row>
    <row r="2136" spans="1:24" ht="15.75" customHeight="1">
      <c r="A2136" s="1">
        <v>14287.0</v>
      </c>
      <c r="B2136" s="1" t="s">
        <v>9334</v>
      </c>
      <c r="C2136" s="1" t="s">
        <v>9335</v>
      </c>
      <c r="D2136" s="1" t="s">
        <v>9336</v>
      </c>
      <c r="E2136" s="1" t="s">
        <v>9337</v>
      </c>
      <c r="F2136" s="1" t="str">
        <f>""</f>
        <v/>
      </c>
      <c r="G2136" s="1" t="str">
        <f>"9784770029041"</f>
        <v>9784770029041</v>
      </c>
      <c r="H2136" s="1">
        <v>0.0</v>
      </c>
      <c r="I2136" s="1">
        <v>3.29</v>
      </c>
      <c r="J2136" s="1" t="s">
        <v>9338</v>
      </c>
      <c r="K2136" s="1" t="s">
        <v>44</v>
      </c>
      <c r="L2136" s="1">
        <v>126.0</v>
      </c>
      <c r="M2136" s="1">
        <v>2003.0</v>
      </c>
      <c r="N2136" s="1">
        <v>1976.0</v>
      </c>
      <c r="P2136" s="2">
        <v>42544.0</v>
      </c>
      <c r="Q2136" s="1" t="s">
        <v>502</v>
      </c>
      <c r="R2136" s="1" t="s">
        <v>9339</v>
      </c>
      <c r="S2136" s="1" t="s">
        <v>32</v>
      </c>
      <c r="W2136" s="1">
        <v>0.0</v>
      </c>
      <c r="X2136" s="1">
        <v>0.0</v>
      </c>
    </row>
    <row r="2137" spans="1:24" ht="15.75" customHeight="1">
      <c r="A2137" s="1">
        <v>5.0358154E7</v>
      </c>
      <c r="B2137" s="1" t="s">
        <v>9340</v>
      </c>
      <c r="C2137" s="1" t="s">
        <v>9341</v>
      </c>
      <c r="D2137" s="1" t="s">
        <v>9342</v>
      </c>
      <c r="F2137" s="1" t="str">
        <f>"0711248834"</f>
        <v>0711248834</v>
      </c>
      <c r="G2137" s="1" t="str">
        <f>"9780711248830"</f>
        <v>9780711248830</v>
      </c>
      <c r="H2137" s="1">
        <v>0.0</v>
      </c>
      <c r="I2137" s="1">
        <v>4.29</v>
      </c>
      <c r="J2137" s="1" t="s">
        <v>9343</v>
      </c>
      <c r="K2137" s="1" t="s">
        <v>37</v>
      </c>
      <c r="L2137" s="1">
        <v>240.0</v>
      </c>
      <c r="M2137" s="1">
        <v>2020.0</v>
      </c>
      <c r="P2137" s="2">
        <v>45023.0</v>
      </c>
      <c r="Q2137" s="1" t="s">
        <v>32</v>
      </c>
      <c r="R2137" s="1" t="s">
        <v>9344</v>
      </c>
      <c r="S2137" s="1" t="s">
        <v>32</v>
      </c>
      <c r="W2137" s="1">
        <v>0.0</v>
      </c>
      <c r="X2137" s="1">
        <v>0.0</v>
      </c>
    </row>
    <row r="2138" spans="1:24" ht="15.75" customHeight="1">
      <c r="A2138" s="1">
        <v>1185604.0</v>
      </c>
      <c r="B2138" s="1" t="s">
        <v>9345</v>
      </c>
      <c r="C2138" s="1" t="s">
        <v>9346</v>
      </c>
      <c r="D2138" s="1" t="s">
        <v>9347</v>
      </c>
      <c r="F2138" s="1" t="str">
        <f>"0486231240"</f>
        <v>0486231240</v>
      </c>
      <c r="G2138" s="1" t="str">
        <f>"9780486231242"</f>
        <v>9780486231242</v>
      </c>
      <c r="H2138" s="1">
        <v>0.0</v>
      </c>
      <c r="I2138" s="1">
        <v>3.77</v>
      </c>
      <c r="J2138" s="1" t="s">
        <v>910</v>
      </c>
      <c r="K2138" s="1" t="s">
        <v>44</v>
      </c>
      <c r="L2138" s="1">
        <v>384.0</v>
      </c>
      <c r="M2138" s="1">
        <v>2011.0</v>
      </c>
      <c r="N2138" s="1">
        <v>1975.0</v>
      </c>
      <c r="P2138" s="2">
        <v>45153.0</v>
      </c>
      <c r="Q2138" s="1" t="s">
        <v>32</v>
      </c>
      <c r="R2138" s="1" t="s">
        <v>9348</v>
      </c>
      <c r="S2138" s="1" t="s">
        <v>32</v>
      </c>
      <c r="W2138" s="1">
        <v>0.0</v>
      </c>
      <c r="X2138" s="1">
        <v>0.0</v>
      </c>
    </row>
    <row r="2139" spans="1:24" ht="15.75" customHeight="1">
      <c r="A2139" s="1">
        <v>23916.0</v>
      </c>
      <c r="B2139" s="1" t="s">
        <v>9349</v>
      </c>
      <c r="C2139" s="1" t="s">
        <v>9350</v>
      </c>
      <c r="D2139" s="1" t="s">
        <v>9351</v>
      </c>
      <c r="E2139" s="1" t="s">
        <v>9352</v>
      </c>
      <c r="F2139" s="1" t="str">
        <f>"0874514363"</f>
        <v>0874514363</v>
      </c>
      <c r="G2139" s="1" t="str">
        <f>"9780874514360"</f>
        <v>9780874514360</v>
      </c>
      <c r="H2139" s="1">
        <v>0.0</v>
      </c>
      <c r="I2139" s="1">
        <v>4.37</v>
      </c>
      <c r="J2139" s="1" t="s">
        <v>9353</v>
      </c>
      <c r="K2139" s="1" t="s">
        <v>44</v>
      </c>
      <c r="L2139" s="1">
        <v>573.0</v>
      </c>
      <c r="M2139" s="1">
        <v>1988.0</v>
      </c>
      <c r="N2139" s="1">
        <v>1971.0</v>
      </c>
      <c r="P2139" s="2">
        <v>45175.0</v>
      </c>
      <c r="Q2139" s="1" t="s">
        <v>49</v>
      </c>
      <c r="R2139" s="1" t="s">
        <v>9354</v>
      </c>
      <c r="S2139" s="1" t="s">
        <v>32</v>
      </c>
      <c r="W2139" s="1">
        <v>0.0</v>
      </c>
      <c r="X2139" s="1">
        <v>0.0</v>
      </c>
    </row>
    <row r="2140" spans="1:24" ht="15.75" customHeight="1">
      <c r="A2140" s="1">
        <v>1147532.0</v>
      </c>
      <c r="B2140" s="1" t="s">
        <v>9355</v>
      </c>
      <c r="C2140" s="1" t="s">
        <v>9356</v>
      </c>
      <c r="D2140" s="1" t="s">
        <v>9357</v>
      </c>
      <c r="E2140" s="1" t="s">
        <v>9358</v>
      </c>
      <c r="F2140" s="1" t="str">
        <f>"8472451917"</f>
        <v>8472451917</v>
      </c>
      <c r="G2140" s="1" t="str">
        <f>"9788472451919"</f>
        <v>9788472451919</v>
      </c>
      <c r="H2140" s="1">
        <v>0.0</v>
      </c>
      <c r="I2140" s="1">
        <v>4.12</v>
      </c>
      <c r="J2140" s="1" t="s">
        <v>9359</v>
      </c>
      <c r="K2140" s="1" t="s">
        <v>44</v>
      </c>
      <c r="L2140" s="1">
        <v>525.0</v>
      </c>
      <c r="M2140" s="1">
        <v>1989.0</v>
      </c>
      <c r="P2140" s="2">
        <v>44843.0</v>
      </c>
      <c r="Q2140" s="1" t="s">
        <v>32</v>
      </c>
      <c r="R2140" s="1" t="s">
        <v>9360</v>
      </c>
      <c r="S2140" s="1" t="s">
        <v>32</v>
      </c>
      <c r="W2140" s="1">
        <v>0.0</v>
      </c>
      <c r="X2140" s="1">
        <v>0.0</v>
      </c>
    </row>
    <row r="2141" spans="1:24" ht="15.75" customHeight="1">
      <c r="A2141" s="1">
        <v>1.8096738E7</v>
      </c>
      <c r="B2141" s="1" t="s">
        <v>9361</v>
      </c>
      <c r="C2141" s="1" t="s">
        <v>9362</v>
      </c>
      <c r="D2141" s="1" t="s">
        <v>9363</v>
      </c>
      <c r="E2141" s="1" t="s">
        <v>9364</v>
      </c>
      <c r="F2141" s="1" t="str">
        <f>"1107645034"</f>
        <v>1107645034</v>
      </c>
      <c r="G2141" s="1" t="str">
        <f>"9781107645035"</f>
        <v>9781107645035</v>
      </c>
      <c r="H2141" s="1">
        <v>0.0</v>
      </c>
      <c r="I2141" s="1">
        <v>3.79</v>
      </c>
      <c r="J2141" s="1" t="s">
        <v>388</v>
      </c>
      <c r="K2141" s="1" t="s">
        <v>44</v>
      </c>
      <c r="L2141" s="1">
        <v>174.0</v>
      </c>
      <c r="M2141" s="1">
        <v>2013.0</v>
      </c>
      <c r="N2141" s="1">
        <v>362.0</v>
      </c>
      <c r="P2141" s="2">
        <v>44967.0</v>
      </c>
      <c r="Q2141" s="1" t="s">
        <v>725</v>
      </c>
      <c r="R2141" s="1" t="s">
        <v>9365</v>
      </c>
      <c r="S2141" s="1" t="s">
        <v>32</v>
      </c>
      <c r="W2141" s="1">
        <v>0.0</v>
      </c>
      <c r="X2141" s="1">
        <v>0.0</v>
      </c>
    </row>
    <row r="2142" spans="1:24" ht="15.75" customHeight="1">
      <c r="A2142" s="1">
        <v>2.5651731E7</v>
      </c>
      <c r="B2142" s="1" t="s">
        <v>9366</v>
      </c>
      <c r="C2142" s="1" t="s">
        <v>9367</v>
      </c>
      <c r="D2142" s="1" t="s">
        <v>9368</v>
      </c>
      <c r="F2142" s="1" t="str">
        <f>"6073103395"</f>
        <v>6073103395</v>
      </c>
      <c r="G2142" s="1" t="str">
        <f>"9786073103398"</f>
        <v>9786073103398</v>
      </c>
      <c r="H2142" s="1">
        <v>0.0</v>
      </c>
      <c r="I2142" s="1">
        <v>3.71</v>
      </c>
      <c r="J2142" s="1" t="s">
        <v>6068</v>
      </c>
      <c r="K2142" s="1" t="s">
        <v>44</v>
      </c>
      <c r="L2142" s="1">
        <v>680.0</v>
      </c>
      <c r="M2142" s="1">
        <v>2010.0</v>
      </c>
      <c r="N2142" s="1">
        <v>1988.0</v>
      </c>
      <c r="P2142" s="2">
        <v>41365.0</v>
      </c>
      <c r="Q2142" s="1" t="s">
        <v>818</v>
      </c>
      <c r="R2142" s="1" t="s">
        <v>9369</v>
      </c>
      <c r="S2142" s="1" t="s">
        <v>32</v>
      </c>
      <c r="W2142" s="1">
        <v>0.0</v>
      </c>
      <c r="X2142" s="1">
        <v>1.0</v>
      </c>
    </row>
    <row r="2143" spans="1:24" ht="15.75" customHeight="1">
      <c r="A2143" s="1">
        <v>605573.0</v>
      </c>
      <c r="B2143" s="1" t="s">
        <v>9370</v>
      </c>
      <c r="C2143" s="1" t="s">
        <v>9367</v>
      </c>
      <c r="D2143" s="1" t="s">
        <v>9368</v>
      </c>
      <c r="F2143" s="1" t="str">
        <f t="shared" si="154" ref="F2143:G2143">""</f>
        <v/>
      </c>
      <c r="G2143" s="1" t="str">
        <f t="shared" si="154"/>
        <v/>
      </c>
      <c r="H2143" s="1">
        <v>0.0</v>
      </c>
      <c r="I2143" s="1">
        <v>3.98</v>
      </c>
      <c r="J2143" s="1" t="s">
        <v>1273</v>
      </c>
      <c r="K2143" s="1" t="s">
        <v>44</v>
      </c>
      <c r="L2143" s="1">
        <v>536.0</v>
      </c>
      <c r="M2143" s="1">
        <v>2006.0</v>
      </c>
      <c r="N2143" s="1">
        <v>1981.0</v>
      </c>
      <c r="P2143" s="2">
        <v>45111.0</v>
      </c>
      <c r="Q2143" s="1" t="s">
        <v>261</v>
      </c>
      <c r="R2143" s="1" t="s">
        <v>9371</v>
      </c>
      <c r="S2143" s="1" t="s">
        <v>32</v>
      </c>
      <c r="W2143" s="1">
        <v>0.0</v>
      </c>
      <c r="X2143" s="1">
        <v>0.0</v>
      </c>
    </row>
    <row r="2144" spans="1:24" ht="15.75" customHeight="1">
      <c r="A2144" s="1">
        <v>3.4419228E7</v>
      </c>
      <c r="B2144" s="1" t="s">
        <v>9372</v>
      </c>
      <c r="C2144" s="1" t="s">
        <v>1633</v>
      </c>
      <c r="D2144" s="1" t="s">
        <v>9373</v>
      </c>
      <c r="F2144" s="1" t="str">
        <f>"0143131702"</f>
        <v>0143131702</v>
      </c>
      <c r="G2144" s="1" t="str">
        <f>"9780143131700"</f>
        <v>9780143131700</v>
      </c>
      <c r="H2144" s="1">
        <v>5.0</v>
      </c>
      <c r="I2144" s="1">
        <v>4.27</v>
      </c>
      <c r="J2144" s="1" t="s">
        <v>309</v>
      </c>
      <c r="K2144" s="1" t="s">
        <v>44</v>
      </c>
      <c r="L2144" s="1">
        <v>96.0</v>
      </c>
      <c r="M2144" s="1">
        <v>2017.0</v>
      </c>
      <c r="N2144" s="1">
        <v>2017.0</v>
      </c>
      <c r="P2144" s="2">
        <v>42874.0</v>
      </c>
      <c r="Q2144" s="1" t="s">
        <v>9374</v>
      </c>
      <c r="R2144" s="1" t="s">
        <v>9375</v>
      </c>
      <c r="S2144" s="1" t="s">
        <v>271</v>
      </c>
      <c r="W2144" s="1">
        <v>1.0</v>
      </c>
      <c r="X2144" s="1">
        <v>1.0</v>
      </c>
    </row>
    <row r="2145" spans="1:24" ht="15.75" customHeight="1">
      <c r="A2145" s="1">
        <v>3.0104969E7</v>
      </c>
      <c r="B2145" s="1" t="s">
        <v>9376</v>
      </c>
      <c r="C2145" s="1" t="s">
        <v>1633</v>
      </c>
      <c r="D2145" s="1" t="s">
        <v>9373</v>
      </c>
      <c r="F2145" s="1" t="str">
        <f>""</f>
        <v/>
      </c>
      <c r="G2145" s="1" t="str">
        <f>"9781943977178"</f>
        <v>9781943977178</v>
      </c>
      <c r="H2145" s="1">
        <v>0.0</v>
      </c>
      <c r="I2145" s="1">
        <v>4.18</v>
      </c>
      <c r="J2145" s="1" t="s">
        <v>9377</v>
      </c>
      <c r="K2145" s="1" t="s">
        <v>44</v>
      </c>
      <c r="L2145" s="1">
        <v>42.0</v>
      </c>
      <c r="M2145" s="1">
        <v>2016.0</v>
      </c>
      <c r="N2145" s="1">
        <v>2016.0</v>
      </c>
      <c r="P2145" s="2">
        <v>42874.0</v>
      </c>
      <c r="Q2145" s="1" t="s">
        <v>9374</v>
      </c>
      <c r="R2145" s="1" t="s">
        <v>9378</v>
      </c>
      <c r="S2145" s="1" t="s">
        <v>271</v>
      </c>
      <c r="W2145" s="1">
        <v>2.0</v>
      </c>
      <c r="X2145" s="1">
        <v>1.0</v>
      </c>
    </row>
    <row r="2146" spans="1:24" ht="15.75" customHeight="1">
      <c r="A2146" s="1">
        <v>2.3250284E7</v>
      </c>
      <c r="B2146" s="1" t="s">
        <v>9379</v>
      </c>
      <c r="C2146" s="1" t="s">
        <v>1633</v>
      </c>
      <c r="D2146" s="1" t="s">
        <v>9373</v>
      </c>
      <c r="F2146" s="1" t="str">
        <f>"0989641546"</f>
        <v>0989641546</v>
      </c>
      <c r="G2146" s="1" t="str">
        <f>"9780989641548"</f>
        <v>9780989641548</v>
      </c>
      <c r="H2146" s="1">
        <v>5.0</v>
      </c>
      <c r="I2146" s="1">
        <v>3.9</v>
      </c>
      <c r="J2146" s="1" t="s">
        <v>9380</v>
      </c>
      <c r="K2146" s="1" t="s">
        <v>44</v>
      </c>
      <c r="L2146" s="1">
        <v>46.0</v>
      </c>
      <c r="M2146" s="1">
        <v>2014.0</v>
      </c>
      <c r="N2146" s="1">
        <v>2014.0</v>
      </c>
      <c r="P2146" s="2">
        <v>42346.0</v>
      </c>
      <c r="Q2146" s="1" t="s">
        <v>9374</v>
      </c>
      <c r="R2146" s="1" t="s">
        <v>9381</v>
      </c>
      <c r="S2146" s="1" t="s">
        <v>271</v>
      </c>
      <c r="W2146" s="1">
        <v>1.0</v>
      </c>
      <c r="X2146" s="1">
        <v>1.0</v>
      </c>
    </row>
    <row r="2147" spans="1:24" ht="15.75" customHeight="1">
      <c r="A2147" s="1">
        <v>1.01145323E8</v>
      </c>
      <c r="B2147" s="1" t="s">
        <v>9382</v>
      </c>
      <c r="C2147" s="1" t="s">
        <v>1633</v>
      </c>
      <c r="D2147" s="1" t="s">
        <v>9373</v>
      </c>
      <c r="F2147" s="1" t="str">
        <f>"166801999X"</f>
        <v>166801999X</v>
      </c>
      <c r="G2147" s="1" t="str">
        <f>"9781668019993"</f>
        <v>9781668019993</v>
      </c>
      <c r="H2147" s="1">
        <v>0.0</v>
      </c>
      <c r="I2147" s="1">
        <v>4.34</v>
      </c>
      <c r="J2147" s="1" t="s">
        <v>88</v>
      </c>
      <c r="K2147" s="1" t="s">
        <v>44</v>
      </c>
      <c r="L2147" s="1">
        <v>112.0</v>
      </c>
      <c r="M2147" s="1">
        <v>2023.0</v>
      </c>
      <c r="N2147" s="1">
        <v>2023.0</v>
      </c>
      <c r="P2147" s="2">
        <v>45066.0</v>
      </c>
      <c r="Q2147" s="1" t="s">
        <v>32</v>
      </c>
      <c r="R2147" s="1" t="s">
        <v>9383</v>
      </c>
      <c r="S2147" s="1" t="s">
        <v>32</v>
      </c>
      <c r="W2147" s="1">
        <v>0.0</v>
      </c>
      <c r="X2147" s="1">
        <v>0.0</v>
      </c>
    </row>
    <row r="2148" spans="1:24" ht="15.75" customHeight="1">
      <c r="A2148" s="1">
        <v>3.0763882E7</v>
      </c>
      <c r="B2148" s="1" t="s">
        <v>9384</v>
      </c>
      <c r="C2148" s="1" t="s">
        <v>9385</v>
      </c>
      <c r="D2148" s="1" t="s">
        <v>9386</v>
      </c>
      <c r="E2148" s="1" t="s">
        <v>9387</v>
      </c>
      <c r="F2148" s="1" t="str">
        <f>"0399184597"</f>
        <v>0399184597</v>
      </c>
      <c r="G2148" s="1" t="str">
        <f>"9780399184598"</f>
        <v>9780399184598</v>
      </c>
      <c r="H2148" s="1">
        <v>0.0</v>
      </c>
      <c r="I2148" s="1">
        <v>3.73</v>
      </c>
      <c r="J2148" s="1" t="s">
        <v>2218</v>
      </c>
      <c r="K2148" s="1" t="s">
        <v>37</v>
      </c>
      <c r="L2148" s="1">
        <v>183.0</v>
      </c>
      <c r="M2148" s="1">
        <v>2017.0</v>
      </c>
      <c r="N2148" s="1">
        <v>2014.0</v>
      </c>
      <c r="P2148" s="2">
        <v>43287.0</v>
      </c>
      <c r="Q2148" s="1" t="s">
        <v>502</v>
      </c>
      <c r="R2148" s="1" t="s">
        <v>9388</v>
      </c>
      <c r="S2148" s="1" t="s">
        <v>32</v>
      </c>
      <c r="W2148" s="1">
        <v>0.0</v>
      </c>
      <c r="X2148" s="1">
        <v>0.0</v>
      </c>
    </row>
    <row r="2149" spans="1:24" ht="15.75" customHeight="1">
      <c r="A2149" s="1">
        <v>2.3719481E7</v>
      </c>
      <c r="B2149" s="1" t="s">
        <v>9389</v>
      </c>
      <c r="C2149" s="1" t="s">
        <v>9390</v>
      </c>
      <c r="D2149" s="1" t="s">
        <v>9391</v>
      </c>
      <c r="F2149" s="1" t="str">
        <f>"0544526708"</f>
        <v>0544526708</v>
      </c>
      <c r="G2149" s="1" t="str">
        <f>"9780544526709"</f>
        <v>9780544526709</v>
      </c>
      <c r="H2149" s="1">
        <v>0.0</v>
      </c>
      <c r="I2149" s="1">
        <v>3.65</v>
      </c>
      <c r="J2149" s="1" t="s">
        <v>5333</v>
      </c>
      <c r="K2149" s="1" t="s">
        <v>37</v>
      </c>
      <c r="L2149" s="1">
        <v>322.0</v>
      </c>
      <c r="M2149" s="1">
        <v>2016.0</v>
      </c>
      <c r="N2149" s="1">
        <v>2016.0</v>
      </c>
      <c r="P2149" s="2">
        <v>42345.0</v>
      </c>
      <c r="Q2149" s="1" t="s">
        <v>32</v>
      </c>
      <c r="R2149" s="1" t="s">
        <v>9392</v>
      </c>
      <c r="S2149" s="1" t="s">
        <v>32</v>
      </c>
      <c r="W2149" s="1">
        <v>0.0</v>
      </c>
      <c r="X2149" s="1">
        <v>0.0</v>
      </c>
    </row>
    <row r="2150" spans="1:24" ht="15.75" customHeight="1">
      <c r="A2150" s="1">
        <v>4.3260498E7</v>
      </c>
      <c r="B2150" s="1" t="s">
        <v>9393</v>
      </c>
      <c r="C2150" s="1" t="s">
        <v>9394</v>
      </c>
      <c r="D2150" s="1" t="s">
        <v>9395</v>
      </c>
      <c r="E2150" s="1" t="s">
        <v>9394</v>
      </c>
      <c r="F2150" s="1" t="str">
        <f t="shared" si="155" ref="F2150:G2150">""</f>
        <v/>
      </c>
      <c r="G2150" s="1" t="str">
        <f t="shared" si="155"/>
        <v/>
      </c>
      <c r="H2150" s="1">
        <v>0.0</v>
      </c>
      <c r="I2150" s="1">
        <v>4.22</v>
      </c>
      <c r="J2150" s="1" t="s">
        <v>468</v>
      </c>
      <c r="K2150" s="1" t="s">
        <v>29</v>
      </c>
      <c r="L2150" s="1">
        <v>290.0</v>
      </c>
      <c r="M2150" s="1">
        <v>2019.0</v>
      </c>
      <c r="N2150" s="1">
        <v>2019.0</v>
      </c>
      <c r="P2150" s="2">
        <v>43922.0</v>
      </c>
      <c r="Q2150" s="1" t="s">
        <v>32</v>
      </c>
      <c r="R2150" s="1" t="s">
        <v>9396</v>
      </c>
      <c r="S2150" s="1" t="s">
        <v>32</v>
      </c>
      <c r="W2150" s="1">
        <v>0.0</v>
      </c>
      <c r="X2150" s="1">
        <v>0.0</v>
      </c>
    </row>
    <row r="2151" spans="1:24" ht="15.75" customHeight="1">
      <c r="A2151" s="1">
        <v>1.894776E7</v>
      </c>
      <c r="B2151" s="1" t="s">
        <v>9397</v>
      </c>
      <c r="C2151" s="1" t="s">
        <v>9398</v>
      </c>
      <c r="D2151" s="1" t="s">
        <v>9399</v>
      </c>
      <c r="F2151" s="1" t="str">
        <f t="shared" si="156" ref="F2151:G2151">""</f>
        <v/>
      </c>
      <c r="G2151" s="1" t="str">
        <f t="shared" si="156"/>
        <v/>
      </c>
      <c r="H2151" s="1">
        <v>0.0</v>
      </c>
      <c r="I2151" s="1">
        <v>4.37</v>
      </c>
      <c r="J2151" s="1" t="s">
        <v>454</v>
      </c>
      <c r="K2151" s="1" t="s">
        <v>29</v>
      </c>
      <c r="L2151" s="1">
        <v>484.0</v>
      </c>
      <c r="M2151" s="1">
        <v>2012.0</v>
      </c>
      <c r="N2151" s="1">
        <v>1961.0</v>
      </c>
      <c r="P2151" s="2">
        <v>45181.0</v>
      </c>
      <c r="Q2151" s="1" t="s">
        <v>249</v>
      </c>
      <c r="R2151" s="1" t="s">
        <v>9400</v>
      </c>
      <c r="S2151" s="1" t="s">
        <v>32</v>
      </c>
      <c r="W2151" s="1">
        <v>0.0</v>
      </c>
      <c r="X2151" s="1">
        <v>0.0</v>
      </c>
    </row>
    <row r="2152" spans="1:24" ht="15.75" customHeight="1">
      <c r="A2152" s="1">
        <v>12279.0</v>
      </c>
      <c r="B2152" s="1" t="s">
        <v>9401</v>
      </c>
      <c r="C2152" s="1" t="s">
        <v>9398</v>
      </c>
      <c r="D2152" s="1" t="s">
        <v>9399</v>
      </c>
      <c r="E2152" s="1" t="s">
        <v>9402</v>
      </c>
      <c r="F2152" s="1" t="str">
        <f>"0375400702"</f>
        <v>0375400702</v>
      </c>
      <c r="G2152" s="1" t="str">
        <f>"9780375400704"</f>
        <v>9780375400704</v>
      </c>
      <c r="H2152" s="1">
        <v>0.0</v>
      </c>
      <c r="I2152" s="1">
        <v>4.28</v>
      </c>
      <c r="J2152" s="1" t="s">
        <v>9403</v>
      </c>
      <c r="K2152" s="1" t="s">
        <v>37</v>
      </c>
      <c r="L2152" s="1">
        <v>512.0</v>
      </c>
      <c r="M2152" s="1">
        <v>1997.0</v>
      </c>
      <c r="N2152" s="1">
        <v>1958.0</v>
      </c>
      <c r="P2152" s="2">
        <v>45181.0</v>
      </c>
      <c r="Q2152" s="1" t="s">
        <v>249</v>
      </c>
      <c r="R2152" s="1" t="s">
        <v>9404</v>
      </c>
      <c r="S2152" s="1" t="s">
        <v>32</v>
      </c>
      <c r="W2152" s="1">
        <v>0.0</v>
      </c>
      <c r="X2152" s="1">
        <v>0.0</v>
      </c>
    </row>
    <row r="2153" spans="1:24" ht="15.75" customHeight="1">
      <c r="A2153" s="1">
        <v>235815.0</v>
      </c>
      <c r="B2153" s="1" t="s">
        <v>9405</v>
      </c>
      <c r="C2153" s="1" t="s">
        <v>9406</v>
      </c>
      <c r="D2153" s="1" t="s">
        <v>9407</v>
      </c>
      <c r="F2153" s="1" t="str">
        <f>"0918273986"</f>
        <v>0918273986</v>
      </c>
      <c r="G2153" s="1" t="str">
        <f>"9780918273987"</f>
        <v>9780918273987</v>
      </c>
      <c r="H2153" s="1">
        <v>0.0</v>
      </c>
      <c r="I2153" s="1">
        <v>4.07</v>
      </c>
      <c r="J2153" s="1" t="s">
        <v>1504</v>
      </c>
      <c r="K2153" s="1" t="s">
        <v>44</v>
      </c>
      <c r="L2153" s="1">
        <v>128.0</v>
      </c>
      <c r="M2153" s="1">
        <v>1992.0</v>
      </c>
      <c r="N2153" s="1">
        <v>1992.0</v>
      </c>
      <c r="P2153" s="2">
        <v>45163.0</v>
      </c>
      <c r="Q2153" s="1" t="s">
        <v>818</v>
      </c>
      <c r="R2153" s="1" t="s">
        <v>9408</v>
      </c>
      <c r="S2153" s="1" t="s">
        <v>32</v>
      </c>
      <c r="W2153" s="1">
        <v>0.0</v>
      </c>
      <c r="X2153" s="1">
        <v>1.0</v>
      </c>
    </row>
    <row r="2154" spans="1:24" ht="15.75" customHeight="1">
      <c r="A2154" s="1">
        <v>2351302.0</v>
      </c>
      <c r="B2154" s="1" t="s">
        <v>9409</v>
      </c>
      <c r="C2154" s="1" t="s">
        <v>9410</v>
      </c>
      <c r="D2154" s="1" t="s">
        <v>9411</v>
      </c>
      <c r="F2154" s="1" t="str">
        <f>"0195131061"</f>
        <v>0195131061</v>
      </c>
      <c r="G2154" s="1" t="str">
        <f>"9780195131062"</f>
        <v>9780195131062</v>
      </c>
      <c r="H2154" s="1">
        <v>0.0</v>
      </c>
      <c r="I2154" s="1">
        <v>3.36</v>
      </c>
      <c r="J2154" s="1" t="s">
        <v>181</v>
      </c>
      <c r="K2154" s="1" t="s">
        <v>44</v>
      </c>
      <c r="L2154" s="1">
        <v>256.0</v>
      </c>
      <c r="M2154" s="1">
        <v>1999.0</v>
      </c>
      <c r="N2154" s="1">
        <v>1998.0</v>
      </c>
      <c r="P2154" s="2">
        <v>45181.0</v>
      </c>
      <c r="Q2154" s="1" t="s">
        <v>249</v>
      </c>
      <c r="R2154" s="1" t="s">
        <v>9412</v>
      </c>
      <c r="S2154" s="1" t="s">
        <v>32</v>
      </c>
      <c r="W2154" s="1">
        <v>0.0</v>
      </c>
      <c r="X2154" s="1">
        <v>0.0</v>
      </c>
    </row>
    <row r="2155" spans="1:24" ht="15.75" customHeight="1">
      <c r="A2155" s="1">
        <v>8398736.0</v>
      </c>
      <c r="B2155" s="1" t="s">
        <v>9413</v>
      </c>
      <c r="C2155" s="1" t="s">
        <v>9414</v>
      </c>
      <c r="D2155" s="1" t="s">
        <v>9415</v>
      </c>
      <c r="F2155" s="1" t="str">
        <f t="shared" si="157" ref="F2155:G2155">""</f>
        <v/>
      </c>
      <c r="G2155" s="1" t="str">
        <f t="shared" si="157"/>
        <v/>
      </c>
      <c r="H2155" s="1">
        <v>0.0</v>
      </c>
      <c r="I2155" s="1">
        <v>3.91</v>
      </c>
      <c r="J2155" s="1" t="s">
        <v>9416</v>
      </c>
      <c r="K2155" s="1" t="s">
        <v>44</v>
      </c>
      <c r="L2155" s="1">
        <v>123.0</v>
      </c>
      <c r="M2155" s="1">
        <v>1961.0</v>
      </c>
      <c r="N2155" s="1">
        <v>1944.0</v>
      </c>
      <c r="P2155" s="2">
        <v>45160.0</v>
      </c>
      <c r="Q2155" s="1" t="s">
        <v>606</v>
      </c>
      <c r="R2155" s="1" t="s">
        <v>9417</v>
      </c>
      <c r="S2155" s="1" t="s">
        <v>32</v>
      </c>
      <c r="W2155" s="1">
        <v>0.0</v>
      </c>
      <c r="X2155" s="1">
        <v>1.0</v>
      </c>
    </row>
    <row r="2156" spans="1:24" ht="15.75" customHeight="1">
      <c r="A2156" s="1">
        <v>67471.0</v>
      </c>
      <c r="B2156" s="1" t="s">
        <v>9418</v>
      </c>
      <c r="C2156" s="1" t="s">
        <v>9419</v>
      </c>
      <c r="D2156" s="1" t="s">
        <v>9420</v>
      </c>
      <c r="F2156" s="1" t="str">
        <f>"0806125160"</f>
        <v>0806125160</v>
      </c>
      <c r="G2156" s="1" t="str">
        <f>"9780806125169"</f>
        <v>9780806125169</v>
      </c>
      <c r="H2156" s="1">
        <v>0.0</v>
      </c>
      <c r="I2156" s="1">
        <v>3.63</v>
      </c>
      <c r="J2156" s="1" t="s">
        <v>9421</v>
      </c>
      <c r="K2156" s="1" t="s">
        <v>44</v>
      </c>
      <c r="L2156" s="1">
        <v>384.0</v>
      </c>
      <c r="M2156" s="1">
        <v>1993.0</v>
      </c>
      <c r="N2156" s="1">
        <v>1991.0</v>
      </c>
      <c r="P2156" s="3">
        <v>45273.0</v>
      </c>
      <c r="Q2156" s="1" t="s">
        <v>479</v>
      </c>
      <c r="R2156" s="1" t="s">
        <v>9422</v>
      </c>
      <c r="S2156" s="1" t="s">
        <v>32</v>
      </c>
      <c r="W2156" s="1">
        <v>0.0</v>
      </c>
      <c r="X2156" s="1">
        <v>0.0</v>
      </c>
    </row>
    <row r="2157" spans="1:24" ht="15.75" customHeight="1">
      <c r="A2157" s="1">
        <v>85862.0</v>
      </c>
      <c r="B2157" s="1" t="s">
        <v>9423</v>
      </c>
      <c r="C2157" s="1" t="s">
        <v>1503</v>
      </c>
      <c r="D2157" s="1" t="s">
        <v>9424</v>
      </c>
      <c r="F2157" s="1" t="str">
        <f>"0814719201"</f>
        <v>0814719201</v>
      </c>
      <c r="G2157" s="1" t="str">
        <f>"9780814719206"</f>
        <v>9780814719206</v>
      </c>
      <c r="H2157" s="1">
        <v>0.0</v>
      </c>
      <c r="I2157" s="1">
        <v>4.17</v>
      </c>
      <c r="J2157" s="1" t="s">
        <v>9425</v>
      </c>
      <c r="K2157" s="1" t="s">
        <v>44</v>
      </c>
      <c r="L2157" s="1">
        <v>203.0</v>
      </c>
      <c r="M2157" s="1">
        <v>2001.0</v>
      </c>
      <c r="N2157" s="1">
        <v>1999.0</v>
      </c>
      <c r="P2157" s="2">
        <v>44216.0</v>
      </c>
      <c r="Q2157" s="1" t="s">
        <v>1110</v>
      </c>
      <c r="R2157" s="1" t="s">
        <v>9426</v>
      </c>
      <c r="S2157" s="1" t="s">
        <v>32</v>
      </c>
      <c r="W2157" s="1">
        <v>0.0</v>
      </c>
      <c r="X2157" s="1">
        <v>0.0</v>
      </c>
    </row>
    <row r="2158" spans="1:24" ht="15.75" customHeight="1">
      <c r="A2158" s="1">
        <v>4.0363341E7</v>
      </c>
      <c r="B2158" s="1" t="s">
        <v>9427</v>
      </c>
      <c r="C2158" s="1" t="s">
        <v>9428</v>
      </c>
      <c r="D2158" s="1" t="s">
        <v>9429</v>
      </c>
      <c r="F2158" s="1" t="str">
        <f>"1786636395"</f>
        <v>1786636395</v>
      </c>
      <c r="G2158" s="1" t="str">
        <f>"9781786636393"</f>
        <v>9781786636393</v>
      </c>
      <c r="H2158" s="1">
        <v>0.0</v>
      </c>
      <c r="I2158" s="1">
        <v>3.95</v>
      </c>
      <c r="J2158" s="1" t="s">
        <v>367</v>
      </c>
      <c r="K2158" s="1" t="s">
        <v>44</v>
      </c>
      <c r="L2158" s="1">
        <v>202.0</v>
      </c>
      <c r="M2158" s="1">
        <v>2019.0</v>
      </c>
      <c r="N2158" s="1">
        <v>2019.0</v>
      </c>
      <c r="P2158" s="2">
        <v>44204.0</v>
      </c>
      <c r="Q2158" s="1" t="s">
        <v>32</v>
      </c>
      <c r="R2158" s="1" t="s">
        <v>9430</v>
      </c>
      <c r="S2158" s="1" t="s">
        <v>32</v>
      </c>
      <c r="W2158" s="1">
        <v>0.0</v>
      </c>
      <c r="X2158" s="1">
        <v>0.0</v>
      </c>
    </row>
    <row r="2159" spans="1:24" ht="15.75" customHeight="1">
      <c r="A2159" s="1">
        <v>2.7395552E7</v>
      </c>
      <c r="B2159" s="1" t="s">
        <v>9431</v>
      </c>
      <c r="C2159" s="1" t="s">
        <v>9432</v>
      </c>
      <c r="D2159" s="1" t="s">
        <v>9433</v>
      </c>
      <c r="F2159" s="1" t="str">
        <f t="shared" si="158" ref="F2159:G2159">""</f>
        <v/>
      </c>
      <c r="G2159" s="1" t="str">
        <f t="shared" si="158"/>
        <v/>
      </c>
      <c r="H2159" s="1">
        <v>0.0</v>
      </c>
      <c r="I2159" s="1">
        <v>3.0</v>
      </c>
      <c r="L2159" s="1">
        <v>59.0</v>
      </c>
      <c r="M2159" s="1">
        <v>1979.0</v>
      </c>
      <c r="P2159" s="2">
        <v>45122.0</v>
      </c>
      <c r="Q2159" s="1" t="s">
        <v>32</v>
      </c>
      <c r="R2159" s="1" t="s">
        <v>9434</v>
      </c>
      <c r="S2159" s="1" t="s">
        <v>32</v>
      </c>
      <c r="W2159" s="1">
        <v>0.0</v>
      </c>
      <c r="X2159" s="1">
        <v>0.0</v>
      </c>
    </row>
    <row r="2160" spans="1:24" ht="15.75" customHeight="1">
      <c r="A2160" s="1">
        <v>1156196.0</v>
      </c>
      <c r="B2160" s="1" t="s">
        <v>9435</v>
      </c>
      <c r="C2160" s="1" t="s">
        <v>9436</v>
      </c>
      <c r="D2160" s="1" t="s">
        <v>9437</v>
      </c>
      <c r="E2160" s="1" t="s">
        <v>9438</v>
      </c>
      <c r="F2160" s="1" t="str">
        <f>"0195067789"</f>
        <v>0195067789</v>
      </c>
      <c r="G2160" s="1" t="str">
        <f>"9780195067781"</f>
        <v>9780195067781</v>
      </c>
      <c r="H2160" s="1">
        <v>0.0</v>
      </c>
      <c r="I2160" s="1">
        <v>4.36</v>
      </c>
      <c r="J2160" s="1" t="s">
        <v>181</v>
      </c>
      <c r="K2160" s="1" t="s">
        <v>44</v>
      </c>
      <c r="L2160" s="1">
        <v>304.0</v>
      </c>
      <c r="M2160" s="1">
        <v>1991.0</v>
      </c>
      <c r="N2160" s="1">
        <v>1987.0</v>
      </c>
      <c r="P2160" s="2">
        <v>44258.0</v>
      </c>
      <c r="Q2160" s="1" t="s">
        <v>32</v>
      </c>
      <c r="R2160" s="1" t="s">
        <v>9439</v>
      </c>
      <c r="S2160" s="1" t="s">
        <v>32</v>
      </c>
      <c r="W2160" s="1">
        <v>0.0</v>
      </c>
      <c r="X2160" s="1">
        <v>0.0</v>
      </c>
    </row>
    <row r="2161" spans="1:24" ht="15.75" customHeight="1">
      <c r="A2161" s="1">
        <v>877488.0</v>
      </c>
      <c r="B2161" s="1" t="s">
        <v>9440</v>
      </c>
      <c r="C2161" s="1" t="s">
        <v>9441</v>
      </c>
      <c r="D2161" s="1" t="s">
        <v>9442</v>
      </c>
      <c r="F2161" s="1" t="str">
        <f>"0312291280"</f>
        <v>0312291280</v>
      </c>
      <c r="G2161" s="1" t="str">
        <f>"9780312291280"</f>
        <v>9780312291280</v>
      </c>
      <c r="H2161" s="1">
        <v>0.0</v>
      </c>
      <c r="I2161" s="1">
        <v>4.03</v>
      </c>
      <c r="J2161" s="1" t="s">
        <v>2414</v>
      </c>
      <c r="K2161" s="1" t="s">
        <v>44</v>
      </c>
      <c r="L2161" s="1">
        <v>544.0</v>
      </c>
      <c r="M2161" s="1">
        <v>2003.0</v>
      </c>
      <c r="N2161" s="1">
        <v>2003.0</v>
      </c>
      <c r="P2161" s="2">
        <v>45122.0</v>
      </c>
      <c r="Q2161" s="1" t="s">
        <v>49</v>
      </c>
      <c r="R2161" s="1" t="s">
        <v>9443</v>
      </c>
      <c r="S2161" s="1" t="s">
        <v>32</v>
      </c>
      <c r="W2161" s="1">
        <v>0.0</v>
      </c>
      <c r="X2161" s="1">
        <v>0.0</v>
      </c>
    </row>
    <row r="2162" spans="1:24" ht="15.75" customHeight="1">
      <c r="A2162" s="1">
        <v>1.8920469E7</v>
      </c>
      <c r="B2162" s="1" t="s">
        <v>9444</v>
      </c>
      <c r="C2162" s="1" t="s">
        <v>9445</v>
      </c>
      <c r="D2162" s="1" t="s">
        <v>9446</v>
      </c>
      <c r="F2162" s="1" t="str">
        <f t="shared" si="159" ref="F2162:G2162">""</f>
        <v/>
      </c>
      <c r="G2162" s="1" t="str">
        <f t="shared" si="159"/>
        <v/>
      </c>
      <c r="H2162" s="1">
        <v>4.0</v>
      </c>
      <c r="I2162" s="1">
        <v>4.05</v>
      </c>
      <c r="J2162" s="1" t="s">
        <v>69</v>
      </c>
      <c r="K2162" s="1" t="s">
        <v>29</v>
      </c>
      <c r="L2162" s="1">
        <v>185.0</v>
      </c>
      <c r="M2162" s="1">
        <v>2013.0</v>
      </c>
      <c r="N2162" s="1">
        <v>1991.0</v>
      </c>
      <c r="P2162" s="2">
        <v>42803.0</v>
      </c>
      <c r="Q2162" s="1" t="s">
        <v>9447</v>
      </c>
      <c r="R2162" s="1" t="s">
        <v>9448</v>
      </c>
      <c r="S2162" s="1" t="s">
        <v>271</v>
      </c>
      <c r="W2162" s="1">
        <v>1.0</v>
      </c>
      <c r="X2162" s="1">
        <v>0.0</v>
      </c>
    </row>
    <row r="2163" spans="1:24" ht="15.75" customHeight="1">
      <c r="A2163" s="1">
        <v>673824.0</v>
      </c>
      <c r="B2163" s="1" t="s">
        <v>9449</v>
      </c>
      <c r="C2163" s="1" t="s">
        <v>9450</v>
      </c>
      <c r="D2163" s="1" t="s">
        <v>9451</v>
      </c>
      <c r="F2163" s="1" t="str">
        <f>"0195306465"</f>
        <v>0195306465</v>
      </c>
      <c r="G2163" s="1" t="str">
        <f>"9780195306460"</f>
        <v>9780195306460</v>
      </c>
      <c r="H2163" s="1">
        <v>0.0</v>
      </c>
      <c r="I2163" s="1">
        <v>3.79</v>
      </c>
      <c r="J2163" s="1" t="s">
        <v>181</v>
      </c>
      <c r="K2163" s="1" t="s">
        <v>44</v>
      </c>
      <c r="L2163" s="1">
        <v>342.0</v>
      </c>
      <c r="M2163" s="1">
        <v>2006.0</v>
      </c>
      <c r="N2163" s="1">
        <v>2004.0</v>
      </c>
      <c r="P2163" s="2">
        <v>45299.0</v>
      </c>
      <c r="Q2163" s="1" t="s">
        <v>30</v>
      </c>
      <c r="R2163" s="1" t="s">
        <v>9452</v>
      </c>
      <c r="S2163" s="1" t="s">
        <v>32</v>
      </c>
      <c r="W2163" s="1">
        <v>0.0</v>
      </c>
      <c r="X2163" s="1">
        <v>0.0</v>
      </c>
    </row>
    <row r="2164" spans="1:24" ht="15.75" customHeight="1">
      <c r="A2164" s="1">
        <v>4.1587567E7</v>
      </c>
      <c r="B2164" s="1" t="s">
        <v>9453</v>
      </c>
      <c r="C2164" s="1" t="s">
        <v>9454</v>
      </c>
      <c r="D2164" s="1" t="s">
        <v>9455</v>
      </c>
      <c r="E2164" s="1" t="s">
        <v>9456</v>
      </c>
      <c r="F2164" s="1" t="str">
        <f>"8417059997"</f>
        <v>8417059997</v>
      </c>
      <c r="G2164" s="1" t="str">
        <f>"9788417059996"</f>
        <v>9788417059996</v>
      </c>
      <c r="H2164" s="1">
        <v>0.0</v>
      </c>
      <c r="I2164" s="1">
        <v>3.81</v>
      </c>
      <c r="J2164" s="1" t="s">
        <v>4549</v>
      </c>
      <c r="K2164" s="1" t="s">
        <v>37</v>
      </c>
      <c r="L2164" s="1">
        <v>221.0</v>
      </c>
      <c r="M2164" s="1">
        <v>2018.0</v>
      </c>
      <c r="N2164" s="1">
        <v>2018.0</v>
      </c>
      <c r="P2164" s="2">
        <v>44095.0</v>
      </c>
      <c r="Q2164" s="1" t="s">
        <v>32</v>
      </c>
      <c r="R2164" s="1" t="s">
        <v>9457</v>
      </c>
      <c r="S2164" s="1" t="s">
        <v>32</v>
      </c>
      <c r="W2164" s="1">
        <v>0.0</v>
      </c>
      <c r="X2164" s="1">
        <v>0.0</v>
      </c>
    </row>
    <row r="2165" spans="1:24" ht="15.75" customHeight="1">
      <c r="A2165" s="1">
        <v>1.99768E7</v>
      </c>
      <c r="B2165" s="1" t="s">
        <v>9458</v>
      </c>
      <c r="C2165" s="1" t="s">
        <v>9459</v>
      </c>
      <c r="D2165" s="1" t="s">
        <v>9460</v>
      </c>
      <c r="F2165" s="1" t="str">
        <f>"4861522471"</f>
        <v>4861522471</v>
      </c>
      <c r="G2165" s="1" t="str">
        <f>"9784861522475"</f>
        <v>9784861522475</v>
      </c>
      <c r="H2165" s="1">
        <v>0.0</v>
      </c>
      <c r="I2165" s="1">
        <v>4.67</v>
      </c>
      <c r="J2165" s="1" t="s">
        <v>9461</v>
      </c>
      <c r="K2165" s="1" t="s">
        <v>44</v>
      </c>
      <c r="L2165" s="1">
        <v>256.0</v>
      </c>
      <c r="M2165" s="1">
        <v>2010.0</v>
      </c>
      <c r="N2165" s="1">
        <v>2011.0</v>
      </c>
      <c r="P2165" s="2">
        <v>44444.0</v>
      </c>
      <c r="Q2165" s="1" t="s">
        <v>49</v>
      </c>
      <c r="R2165" s="1" t="s">
        <v>9462</v>
      </c>
      <c r="S2165" s="1" t="s">
        <v>32</v>
      </c>
      <c r="W2165" s="1">
        <v>0.0</v>
      </c>
      <c r="X2165" s="1">
        <v>0.0</v>
      </c>
    </row>
    <row r="2166" spans="1:24" ht="15.75" customHeight="1">
      <c r="A2166" s="1">
        <v>150253.0</v>
      </c>
      <c r="B2166" s="1" t="s">
        <v>9463</v>
      </c>
      <c r="C2166" s="1" t="s">
        <v>9464</v>
      </c>
      <c r="D2166" s="1" t="s">
        <v>9465</v>
      </c>
      <c r="E2166" s="1" t="s">
        <v>846</v>
      </c>
      <c r="F2166" s="1" t="str">
        <f>"1844080811"</f>
        <v>1844080811</v>
      </c>
      <c r="G2166" s="1" t="str">
        <f>"9781844080816"</f>
        <v>9781844080816</v>
      </c>
      <c r="H2166" s="1">
        <v>0.0</v>
      </c>
      <c r="I2166" s="1">
        <v>4.44</v>
      </c>
      <c r="J2166" s="1" t="s">
        <v>9466</v>
      </c>
      <c r="K2166" s="1" t="s">
        <v>44</v>
      </c>
      <c r="L2166" s="1">
        <v>416.0</v>
      </c>
      <c r="M2166" s="1">
        <v>2003.0</v>
      </c>
      <c r="N2166" s="1">
        <v>-550.0</v>
      </c>
      <c r="P2166" s="2">
        <v>45111.0</v>
      </c>
      <c r="Q2166" s="1" t="s">
        <v>9467</v>
      </c>
      <c r="R2166" s="1" t="s">
        <v>9468</v>
      </c>
      <c r="S2166" s="1" t="s">
        <v>32</v>
      </c>
      <c r="W2166" s="1">
        <v>0.0</v>
      </c>
      <c r="X2166" s="1">
        <v>0.0</v>
      </c>
    </row>
    <row r="2167" spans="1:24" ht="15.75" customHeight="1">
      <c r="A2167" s="1">
        <v>3.1426504E7</v>
      </c>
      <c r="B2167" s="1" t="s">
        <v>9469</v>
      </c>
      <c r="C2167" s="1" t="s">
        <v>9470</v>
      </c>
      <c r="D2167" s="1" t="s">
        <v>9471</v>
      </c>
      <c r="F2167" s="1" t="str">
        <f>"9874568860"</f>
        <v>9874568860</v>
      </c>
      <c r="G2167" s="1" t="str">
        <f>"9789874568861"</f>
        <v>9789874568861</v>
      </c>
      <c r="H2167" s="1">
        <v>0.0</v>
      </c>
      <c r="I2167" s="1">
        <v>3.62</v>
      </c>
      <c r="J2167" s="1" t="s">
        <v>9472</v>
      </c>
      <c r="K2167" s="1" t="s">
        <v>44</v>
      </c>
      <c r="L2167" s="1">
        <v>136.0</v>
      </c>
      <c r="M2167" s="1">
        <v>2016.0</v>
      </c>
      <c r="N2167" s="1">
        <v>1965.0</v>
      </c>
      <c r="P2167" s="2">
        <v>44100.0</v>
      </c>
      <c r="Q2167" s="1" t="s">
        <v>32</v>
      </c>
      <c r="R2167" s="1" t="s">
        <v>9473</v>
      </c>
      <c r="S2167" s="1" t="s">
        <v>32</v>
      </c>
      <c r="W2167" s="1">
        <v>0.0</v>
      </c>
      <c r="X2167" s="1">
        <v>0.0</v>
      </c>
    </row>
    <row r="2168" spans="1:24" ht="15.75" customHeight="1">
      <c r="A2168" s="1">
        <v>101910.0</v>
      </c>
      <c r="B2168" s="1" t="s">
        <v>9474</v>
      </c>
      <c r="C2168" s="1" t="s">
        <v>9475</v>
      </c>
      <c r="D2168" s="1" t="s">
        <v>9476</v>
      </c>
      <c r="E2168" s="1" t="s">
        <v>9477</v>
      </c>
      <c r="F2168" s="1" t="str">
        <f>"0811807843"</f>
        <v>0811807843</v>
      </c>
      <c r="G2168" s="1" t="str">
        <f>"9780811807845"</f>
        <v>9780811807845</v>
      </c>
      <c r="H2168" s="1">
        <v>0.0</v>
      </c>
      <c r="I2168" s="1">
        <v>3.74</v>
      </c>
      <c r="J2168" s="1" t="s">
        <v>2877</v>
      </c>
      <c r="K2168" s="1" t="s">
        <v>44</v>
      </c>
      <c r="L2168" s="1">
        <v>224.0</v>
      </c>
      <c r="M2168" s="1">
        <v>1994.0</v>
      </c>
      <c r="N2168" s="1">
        <v>1994.0</v>
      </c>
      <c r="P2168" s="2">
        <v>45143.0</v>
      </c>
      <c r="Q2168" s="1" t="s">
        <v>788</v>
      </c>
      <c r="R2168" s="1" t="s">
        <v>9478</v>
      </c>
      <c r="S2168" s="1" t="s">
        <v>32</v>
      </c>
      <c r="W2168" s="1">
        <v>0.0</v>
      </c>
      <c r="X2168" s="1">
        <v>1.0</v>
      </c>
    </row>
    <row r="2169" spans="1:24" ht="15.75" customHeight="1">
      <c r="A2169" s="1">
        <v>5.0998242E7</v>
      </c>
      <c r="B2169" s="1" t="s">
        <v>9479</v>
      </c>
      <c r="C2169" s="1" t="s">
        <v>9480</v>
      </c>
      <c r="D2169" s="1" t="s">
        <v>9481</v>
      </c>
      <c r="F2169" s="1" t="str">
        <f>"0711251711"</f>
        <v>0711251711</v>
      </c>
      <c r="G2169" s="1" t="str">
        <f>"9780711251717"</f>
        <v>9780711251717</v>
      </c>
      <c r="H2169" s="1">
        <v>0.0</v>
      </c>
      <c r="I2169" s="1">
        <v>4.08</v>
      </c>
      <c r="J2169" s="1" t="s">
        <v>9343</v>
      </c>
      <c r="K2169" s="1" t="s">
        <v>37</v>
      </c>
      <c r="L2169" s="1">
        <v>224.0</v>
      </c>
      <c r="M2169" s="1">
        <v>2021.0</v>
      </c>
      <c r="P2169" s="2">
        <v>45122.0</v>
      </c>
      <c r="Q2169" s="1" t="s">
        <v>32</v>
      </c>
      <c r="R2169" s="1" t="s">
        <v>9482</v>
      </c>
      <c r="S2169" s="1" t="s">
        <v>32</v>
      </c>
      <c r="W2169" s="1">
        <v>0.0</v>
      </c>
      <c r="X2169" s="1">
        <v>0.0</v>
      </c>
    </row>
    <row r="2170" spans="1:24" ht="15.75" customHeight="1">
      <c r="A2170" s="1">
        <v>3.6258582E7</v>
      </c>
      <c r="B2170" s="1" t="s">
        <v>9483</v>
      </c>
      <c r="C2170" s="1" t="s">
        <v>9484</v>
      </c>
      <c r="D2170" s="1" t="s">
        <v>9485</v>
      </c>
      <c r="F2170" s="1" t="str">
        <f>"1911358383"</f>
        <v>1911358383</v>
      </c>
      <c r="G2170" s="1" t="str">
        <f>"9781911358381"</f>
        <v>9781911358381</v>
      </c>
      <c r="H2170" s="1">
        <v>0.0</v>
      </c>
      <c r="I2170" s="1">
        <v>4.18</v>
      </c>
      <c r="J2170" s="1" t="s">
        <v>9486</v>
      </c>
      <c r="K2170" s="1" t="s">
        <v>37</v>
      </c>
      <c r="L2170" s="1">
        <v>176.0</v>
      </c>
      <c r="M2170" s="1">
        <v>2018.0</v>
      </c>
      <c r="P2170" s="2">
        <v>44840.0</v>
      </c>
      <c r="Q2170" s="1" t="s">
        <v>32</v>
      </c>
      <c r="R2170" s="1" t="s">
        <v>9487</v>
      </c>
      <c r="S2170" s="1" t="s">
        <v>32</v>
      </c>
      <c r="W2170" s="1">
        <v>0.0</v>
      </c>
      <c r="X2170" s="1">
        <v>0.0</v>
      </c>
    </row>
    <row r="2171" spans="1:24" ht="15.75" customHeight="1">
      <c r="A2171" s="1">
        <v>5.1042698E7</v>
      </c>
      <c r="B2171" s="1" t="s">
        <v>9488</v>
      </c>
      <c r="C2171" s="1" t="s">
        <v>9489</v>
      </c>
      <c r="D2171" s="1" t="s">
        <v>9490</v>
      </c>
      <c r="F2171" s="1" t="str">
        <f>"1946448648"</f>
        <v>1946448648</v>
      </c>
      <c r="G2171" s="1" t="str">
        <f>"9781946448644"</f>
        <v>9781946448644</v>
      </c>
      <c r="H2171" s="1">
        <v>0.0</v>
      </c>
      <c r="I2171" s="1">
        <v>4.55</v>
      </c>
      <c r="J2171" s="1" t="s">
        <v>5018</v>
      </c>
      <c r="K2171" s="1" t="s">
        <v>44</v>
      </c>
      <c r="L2171" s="1">
        <v>104.0</v>
      </c>
      <c r="M2171" s="1">
        <v>2020.0</v>
      </c>
      <c r="N2171" s="1">
        <v>2020.0</v>
      </c>
      <c r="P2171" s="2">
        <v>44138.0</v>
      </c>
      <c r="Q2171" s="1" t="s">
        <v>32</v>
      </c>
      <c r="R2171" s="1" t="s">
        <v>9491</v>
      </c>
      <c r="S2171" s="1" t="s">
        <v>32</v>
      </c>
      <c r="W2171" s="1">
        <v>0.0</v>
      </c>
      <c r="X2171" s="1">
        <v>0.0</v>
      </c>
    </row>
    <row r="2172" spans="1:24" ht="15.75" customHeight="1">
      <c r="A2172" s="1">
        <v>203853.0</v>
      </c>
      <c r="B2172" s="1" t="s">
        <v>9492</v>
      </c>
      <c r="C2172" s="1" t="s">
        <v>9493</v>
      </c>
      <c r="D2172" s="1" t="s">
        <v>9494</v>
      </c>
      <c r="E2172" s="1" t="s">
        <v>9495</v>
      </c>
      <c r="F2172" s="1" t="str">
        <f>"0393924513"</f>
        <v>0393924513</v>
      </c>
      <c r="G2172" s="1" t="str">
        <f>"9780393924510"</f>
        <v>9780393924510</v>
      </c>
      <c r="H2172" s="1">
        <v>0.0</v>
      </c>
      <c r="I2172" s="1">
        <v>4.04</v>
      </c>
      <c r="J2172" s="1" t="s">
        <v>248</v>
      </c>
      <c r="K2172" s="1" t="s">
        <v>44</v>
      </c>
      <c r="L2172" s="1">
        <v>1264.0</v>
      </c>
      <c r="M2172" s="1">
        <v>2003.0</v>
      </c>
      <c r="N2172" s="1">
        <v>2001.0</v>
      </c>
      <c r="P2172" s="2">
        <v>45163.0</v>
      </c>
      <c r="Q2172" s="1" t="s">
        <v>115</v>
      </c>
      <c r="R2172" s="1" t="s">
        <v>9496</v>
      </c>
      <c r="S2172" s="1" t="s">
        <v>32</v>
      </c>
      <c r="W2172" s="1">
        <v>0.0</v>
      </c>
      <c r="X2172" s="1">
        <v>1.0</v>
      </c>
    </row>
    <row r="2173" spans="1:24" ht="15.75" customHeight="1">
      <c r="A2173" s="1">
        <v>276249.0</v>
      </c>
      <c r="B2173" s="1" t="s">
        <v>9497</v>
      </c>
      <c r="C2173" s="1" t="s">
        <v>9498</v>
      </c>
      <c r="D2173" s="1" t="s">
        <v>9499</v>
      </c>
      <c r="F2173" s="1" t="str">
        <f>"0674598466"</f>
        <v>0674598466</v>
      </c>
      <c r="G2173" s="1" t="str">
        <f>"9780674598461"</f>
        <v>9780674598461</v>
      </c>
      <c r="H2173" s="1">
        <v>0.0</v>
      </c>
      <c r="I2173" s="1">
        <v>4.0</v>
      </c>
      <c r="J2173" s="1" t="s">
        <v>2273</v>
      </c>
      <c r="K2173" s="1" t="s">
        <v>44</v>
      </c>
      <c r="L2173" s="1">
        <v>192.0</v>
      </c>
      <c r="M2173" s="1">
        <v>1980.0</v>
      </c>
      <c r="N2173" s="1">
        <v>1980.0</v>
      </c>
      <c r="P2173" s="2">
        <v>45137.0</v>
      </c>
      <c r="Q2173" s="1" t="s">
        <v>32</v>
      </c>
      <c r="R2173" s="1" t="s">
        <v>9500</v>
      </c>
      <c r="S2173" s="1" t="s">
        <v>32</v>
      </c>
      <c r="W2173" s="1">
        <v>0.0</v>
      </c>
      <c r="X2173" s="1">
        <v>0.0</v>
      </c>
    </row>
    <row r="2174" spans="1:24" ht="15.75" customHeight="1">
      <c r="A2174" s="1">
        <v>3.8357895E7</v>
      </c>
      <c r="B2174" s="1" t="s">
        <v>9501</v>
      </c>
      <c r="C2174" s="1" t="s">
        <v>9502</v>
      </c>
      <c r="D2174" s="1" t="s">
        <v>9503</v>
      </c>
      <c r="E2174" s="1" t="s">
        <v>9504</v>
      </c>
      <c r="F2174" s="1" t="str">
        <f t="shared" si="160" ref="F2174:G2174">""</f>
        <v/>
      </c>
      <c r="G2174" s="1" t="str">
        <f t="shared" si="160"/>
        <v/>
      </c>
      <c r="H2174" s="1">
        <v>0.0</v>
      </c>
      <c r="I2174" s="1">
        <v>3.69</v>
      </c>
      <c r="J2174" s="1" t="s">
        <v>9505</v>
      </c>
      <c r="K2174" s="1" t="s">
        <v>44</v>
      </c>
      <c r="L2174" s="1">
        <v>163.0</v>
      </c>
      <c r="M2174" s="1">
        <v>2018.0</v>
      </c>
      <c r="N2174" s="1">
        <v>2016.0</v>
      </c>
      <c r="P2174" s="3">
        <v>44126.0</v>
      </c>
      <c r="Q2174" s="1" t="s">
        <v>32</v>
      </c>
      <c r="R2174" s="1" t="s">
        <v>9506</v>
      </c>
      <c r="S2174" s="1" t="s">
        <v>32</v>
      </c>
      <c r="W2174" s="1">
        <v>0.0</v>
      </c>
      <c r="X2174" s="1">
        <v>0.0</v>
      </c>
    </row>
    <row r="2175" spans="1:24" ht="15.75" customHeight="1">
      <c r="A2175" s="1">
        <v>145562.0</v>
      </c>
      <c r="B2175" s="1" t="s">
        <v>9507</v>
      </c>
      <c r="C2175" s="1" t="s">
        <v>9508</v>
      </c>
      <c r="D2175" s="1" t="s">
        <v>9509</v>
      </c>
      <c r="F2175" s="1" t="str">
        <f>"0875421229"</f>
        <v>0875421229</v>
      </c>
      <c r="G2175" s="1" t="str">
        <f>"9780875421223"</f>
        <v>9780875421223</v>
      </c>
      <c r="H2175" s="1">
        <v>0.0</v>
      </c>
      <c r="I2175" s="1">
        <v>4.28</v>
      </c>
      <c r="J2175" s="1" t="s">
        <v>1267</v>
      </c>
      <c r="K2175" s="1" t="s">
        <v>44</v>
      </c>
      <c r="L2175" s="1">
        <v>318.0</v>
      </c>
      <c r="M2175" s="1">
        <v>1985.0</v>
      </c>
      <c r="N2175" s="1">
        <v>1985.0</v>
      </c>
      <c r="P2175" s="2">
        <v>44809.0</v>
      </c>
      <c r="Q2175" s="1" t="s">
        <v>49</v>
      </c>
      <c r="R2175" s="1" t="s">
        <v>9510</v>
      </c>
      <c r="S2175" s="1" t="s">
        <v>32</v>
      </c>
      <c r="W2175" s="1">
        <v>0.0</v>
      </c>
      <c r="X2175" s="1">
        <v>0.0</v>
      </c>
    </row>
    <row r="2176" spans="1:24" ht="15.75" customHeight="1">
      <c r="A2176" s="1">
        <v>3.8496507E7</v>
      </c>
      <c r="B2176" s="1" t="s">
        <v>9511</v>
      </c>
      <c r="C2176" s="1" t="s">
        <v>9512</v>
      </c>
      <c r="D2176" s="1" t="s">
        <v>9513</v>
      </c>
      <c r="F2176" s="1" t="str">
        <f>"0143131621"</f>
        <v>0143131621</v>
      </c>
      <c r="G2176" s="1" t="str">
        <f>"9780143131625"</f>
        <v>9780143131625</v>
      </c>
      <c r="H2176" s="1">
        <v>0.0</v>
      </c>
      <c r="I2176" s="1">
        <v>3.63</v>
      </c>
      <c r="J2176" s="1" t="s">
        <v>1023</v>
      </c>
      <c r="K2176" s="1" t="s">
        <v>44</v>
      </c>
      <c r="L2176" s="1">
        <v>304.0</v>
      </c>
      <c r="M2176" s="1">
        <v>2018.0</v>
      </c>
      <c r="N2176" s="1">
        <v>2018.0</v>
      </c>
      <c r="P2176" s="2">
        <v>45114.0</v>
      </c>
      <c r="Q2176" s="1" t="s">
        <v>32</v>
      </c>
      <c r="R2176" s="1" t="s">
        <v>9514</v>
      </c>
      <c r="S2176" s="1" t="s">
        <v>32</v>
      </c>
      <c r="W2176" s="1">
        <v>0.0</v>
      </c>
      <c r="X2176" s="1">
        <v>0.0</v>
      </c>
    </row>
    <row r="2177" spans="1:24" ht="15.75" customHeight="1">
      <c r="A2177" s="1">
        <v>92365.0</v>
      </c>
      <c r="B2177" s="1" t="s">
        <v>9515</v>
      </c>
      <c r="C2177" s="1" t="s">
        <v>9516</v>
      </c>
      <c r="D2177" s="1" t="s">
        <v>9517</v>
      </c>
      <c r="F2177" s="1" t="str">
        <f>"0060841699"</f>
        <v>0060841699</v>
      </c>
      <c r="G2177" s="1" t="str">
        <f>"9780060841690"</f>
        <v>9780060841690</v>
      </c>
      <c r="H2177" s="1">
        <v>0.0</v>
      </c>
      <c r="I2177" s="1">
        <v>4.12</v>
      </c>
      <c r="J2177" s="1" t="s">
        <v>917</v>
      </c>
      <c r="K2177" s="1" t="s">
        <v>44</v>
      </c>
      <c r="L2177" s="1">
        <v>292.0</v>
      </c>
      <c r="M2177" s="1">
        <v>2005.0</v>
      </c>
      <c r="N2177" s="1">
        <v>1995.0</v>
      </c>
      <c r="P2177" s="2">
        <v>41364.0</v>
      </c>
      <c r="Q2177" s="1" t="s">
        <v>32</v>
      </c>
      <c r="R2177" s="1" t="s">
        <v>9518</v>
      </c>
      <c r="S2177" s="1" t="s">
        <v>32</v>
      </c>
      <c r="W2177" s="1">
        <v>0.0</v>
      </c>
      <c r="X2177" s="1">
        <v>0.0</v>
      </c>
    </row>
    <row r="2178" spans="1:24" ht="15.75" customHeight="1">
      <c r="A2178" s="1">
        <v>86143.0</v>
      </c>
      <c r="B2178" s="1" t="s">
        <v>9519</v>
      </c>
      <c r="C2178" s="1" t="s">
        <v>9520</v>
      </c>
      <c r="D2178" s="1" t="s">
        <v>9521</v>
      </c>
      <c r="E2178" s="1" t="s">
        <v>9522</v>
      </c>
      <c r="F2178" s="1" t="str">
        <f>"0805209700"</f>
        <v>0805209700</v>
      </c>
      <c r="G2178" s="1" t="str">
        <f>"9780805209709"</f>
        <v>9780805209709</v>
      </c>
      <c r="H2178" s="1">
        <v>0.0</v>
      </c>
      <c r="I2178" s="1">
        <v>4.12</v>
      </c>
      <c r="J2178" s="1" t="s">
        <v>3555</v>
      </c>
      <c r="K2178" s="1" t="s">
        <v>44</v>
      </c>
      <c r="L2178" s="1">
        <v>411.0</v>
      </c>
      <c r="M2178" s="1">
        <v>1990.0</v>
      </c>
      <c r="N2178" s="1">
        <v>1970.0</v>
      </c>
      <c r="P2178" s="2">
        <v>43906.0</v>
      </c>
      <c r="Q2178" s="1" t="s">
        <v>788</v>
      </c>
      <c r="R2178" s="1" t="s">
        <v>9523</v>
      </c>
      <c r="S2178" s="1" t="s">
        <v>32</v>
      </c>
      <c r="W2178" s="1">
        <v>0.0</v>
      </c>
      <c r="X2178" s="1">
        <v>1.0</v>
      </c>
    </row>
    <row r="2179" spans="1:24" ht="15.75" customHeight="1">
      <c r="A2179" s="1">
        <v>5.3210289E7</v>
      </c>
      <c r="B2179" s="1" t="s">
        <v>9524</v>
      </c>
      <c r="C2179" s="1" t="s">
        <v>9525</v>
      </c>
      <c r="D2179" s="1" t="s">
        <v>9526</v>
      </c>
      <c r="E2179" s="1" t="s">
        <v>9527</v>
      </c>
      <c r="F2179" s="1" t="str">
        <f>"1119696135"</f>
        <v>1119696135</v>
      </c>
      <c r="G2179" s="1" t="str">
        <f>"9781119696131"</f>
        <v>9781119696131</v>
      </c>
      <c r="H2179" s="1">
        <v>0.0</v>
      </c>
      <c r="I2179" s="1">
        <v>4.71</v>
      </c>
      <c r="J2179" s="1" t="s">
        <v>9528</v>
      </c>
      <c r="K2179" s="1" t="s">
        <v>44</v>
      </c>
      <c r="L2179" s="1">
        <v>608.0</v>
      </c>
      <c r="M2179" s="1">
        <v>2021.0</v>
      </c>
      <c r="P2179" s="2">
        <v>45132.0</v>
      </c>
      <c r="Q2179" s="1" t="s">
        <v>1017</v>
      </c>
      <c r="R2179" s="1" t="s">
        <v>9529</v>
      </c>
      <c r="S2179" s="1" t="s">
        <v>32</v>
      </c>
      <c r="W2179" s="1">
        <v>0.0</v>
      </c>
      <c r="X2179" s="1">
        <v>1.0</v>
      </c>
    </row>
    <row r="2180" spans="1:24" ht="15.75" customHeight="1">
      <c r="A2180" s="1">
        <v>1.7737025E7</v>
      </c>
      <c r="B2180" s="1" t="s">
        <v>9530</v>
      </c>
      <c r="C2180" s="1" t="s">
        <v>9531</v>
      </c>
      <c r="D2180" s="1" t="s">
        <v>9532</v>
      </c>
      <c r="F2180" s="1" t="str">
        <f>"0307269876"</f>
        <v>0307269876</v>
      </c>
      <c r="G2180" s="1" t="str">
        <f>"9780307269874"</f>
        <v>9780307269874</v>
      </c>
      <c r="H2180" s="1">
        <v>0.0</v>
      </c>
      <c r="I2180" s="1">
        <v>3.85</v>
      </c>
      <c r="J2180" s="1" t="s">
        <v>1397</v>
      </c>
      <c r="K2180" s="1" t="s">
        <v>37</v>
      </c>
      <c r="L2180" s="1">
        <v>416.0</v>
      </c>
      <c r="M2180" s="1">
        <v>2014.0</v>
      </c>
      <c r="N2180" s="1">
        <v>2014.0</v>
      </c>
      <c r="P2180" s="2">
        <v>45164.0</v>
      </c>
      <c r="Q2180" s="1" t="s">
        <v>32</v>
      </c>
      <c r="R2180" s="1" t="s">
        <v>9533</v>
      </c>
      <c r="S2180" s="1" t="s">
        <v>32</v>
      </c>
      <c r="W2180" s="1">
        <v>0.0</v>
      </c>
      <c r="X2180" s="1">
        <v>0.0</v>
      </c>
    </row>
    <row r="2181" spans="1:24" ht="15.75" customHeight="1">
      <c r="A2181" s="1">
        <v>130405.0</v>
      </c>
      <c r="B2181" s="1" t="s">
        <v>9534</v>
      </c>
      <c r="C2181" s="1" t="s">
        <v>9535</v>
      </c>
      <c r="D2181" s="1" t="s">
        <v>9536</v>
      </c>
      <c r="E2181" s="1" t="s">
        <v>9537</v>
      </c>
      <c r="F2181" s="1" t="str">
        <f>"0374530076"</f>
        <v>0374530076</v>
      </c>
      <c r="G2181" s="1" t="str">
        <f>"9780374530075"</f>
        <v>9780374530075</v>
      </c>
      <c r="H2181" s="1">
        <v>0.0</v>
      </c>
      <c r="I2181" s="1">
        <v>3.94</v>
      </c>
      <c r="J2181" s="1" t="s">
        <v>438</v>
      </c>
      <c r="K2181" s="1" t="s">
        <v>44</v>
      </c>
      <c r="L2181" s="1">
        <v>96.0</v>
      </c>
      <c r="M2181" s="1">
        <v>2005.0</v>
      </c>
      <c r="N2181" s="1">
        <v>2004.0</v>
      </c>
      <c r="P2181" s="2">
        <v>45112.0</v>
      </c>
      <c r="Q2181" s="1" t="s">
        <v>32</v>
      </c>
      <c r="R2181" s="1" t="s">
        <v>9538</v>
      </c>
      <c r="S2181" s="1" t="s">
        <v>32</v>
      </c>
      <c r="W2181" s="1">
        <v>0.0</v>
      </c>
      <c r="X2181" s="1">
        <v>0.0</v>
      </c>
    </row>
    <row r="2182" spans="1:24" ht="15.75" customHeight="1">
      <c r="A2182" s="1">
        <v>834694.0</v>
      </c>
      <c r="B2182" s="1" t="s">
        <v>9539</v>
      </c>
      <c r="C2182" s="1" t="s">
        <v>9535</v>
      </c>
      <c r="D2182" s="1" t="s">
        <v>9536</v>
      </c>
      <c r="E2182" s="1" t="s">
        <v>9537</v>
      </c>
      <c r="F2182" s="1" t="str">
        <f>"0374522898"</f>
        <v>0374522898</v>
      </c>
      <c r="G2182" s="1" t="str">
        <f>"9780374522896"</f>
        <v>9780374522896</v>
      </c>
      <c r="H2182" s="1">
        <v>0.0</v>
      </c>
      <c r="I2182" s="1">
        <v>4.16</v>
      </c>
      <c r="J2182" s="1" t="s">
        <v>438</v>
      </c>
      <c r="K2182" s="1" t="s">
        <v>44</v>
      </c>
      <c r="L2182" s="1">
        <v>96.0</v>
      </c>
      <c r="M2182" s="1">
        <v>1991.0</v>
      </c>
      <c r="N2182" s="1">
        <v>1990.0</v>
      </c>
      <c r="P2182" s="2">
        <v>45112.0</v>
      </c>
      <c r="Q2182" s="1" t="s">
        <v>32</v>
      </c>
      <c r="R2182" s="1" t="s">
        <v>9540</v>
      </c>
      <c r="S2182" s="1" t="s">
        <v>32</v>
      </c>
      <c r="W2182" s="1">
        <v>0.0</v>
      </c>
      <c r="X2182" s="1">
        <v>0.0</v>
      </c>
    </row>
    <row r="2183" spans="1:24" ht="15.75" customHeight="1">
      <c r="A2183" s="1">
        <v>1.7262116E7</v>
      </c>
      <c r="B2183" s="1" t="s">
        <v>9541</v>
      </c>
      <c r="C2183" s="1" t="s">
        <v>9542</v>
      </c>
      <c r="D2183" s="1" t="s">
        <v>9543</v>
      </c>
      <c r="F2183" s="1" t="str">
        <f>"0307952339"</f>
        <v>0307952339</v>
      </c>
      <c r="G2183" s="1" t="str">
        <f>"9780307952332"</f>
        <v>9780307952332</v>
      </c>
      <c r="H2183" s="1">
        <v>0.0</v>
      </c>
      <c r="I2183" s="1">
        <v>4.27</v>
      </c>
      <c r="J2183" s="1" t="s">
        <v>7284</v>
      </c>
      <c r="K2183" s="1" t="s">
        <v>37</v>
      </c>
      <c r="L2183" s="1">
        <v>592.0</v>
      </c>
      <c r="M2183" s="1">
        <v>2013.0</v>
      </c>
      <c r="N2183" s="1">
        <v>2013.0</v>
      </c>
      <c r="P2183" s="3">
        <v>44484.0</v>
      </c>
      <c r="Q2183" s="1" t="s">
        <v>32</v>
      </c>
      <c r="R2183" s="1" t="s">
        <v>9544</v>
      </c>
      <c r="S2183" s="1" t="s">
        <v>32</v>
      </c>
      <c r="W2183" s="1">
        <v>0.0</v>
      </c>
      <c r="X2183" s="1">
        <v>0.0</v>
      </c>
    </row>
    <row r="2184" spans="1:24" ht="15.75" customHeight="1">
      <c r="A2184" s="1">
        <v>1.7571124E7</v>
      </c>
      <c r="B2184" s="1" t="s">
        <v>9545</v>
      </c>
      <c r="C2184" s="1" t="s">
        <v>9546</v>
      </c>
      <c r="D2184" s="1" t="s">
        <v>9547</v>
      </c>
      <c r="F2184" s="1" t="str">
        <f>"1451661975"</f>
        <v>1451661975</v>
      </c>
      <c r="G2184" s="1" t="str">
        <f>"9781451661972"</f>
        <v>9781451661972</v>
      </c>
      <c r="H2184" s="1">
        <v>0.0</v>
      </c>
      <c r="I2184" s="1">
        <v>4.23</v>
      </c>
      <c r="J2184" s="1" t="s">
        <v>88</v>
      </c>
      <c r="K2184" s="1" t="s">
        <v>29</v>
      </c>
      <c r="L2184" s="1">
        <v>432.0</v>
      </c>
      <c r="M2184" s="1">
        <v>2014.0</v>
      </c>
      <c r="N2184" s="1">
        <v>2014.0</v>
      </c>
      <c r="P2184" s="2">
        <v>41667.0</v>
      </c>
      <c r="Q2184" s="1" t="s">
        <v>1110</v>
      </c>
      <c r="R2184" s="1" t="s">
        <v>9548</v>
      </c>
      <c r="S2184" s="1" t="s">
        <v>32</v>
      </c>
      <c r="W2184" s="1">
        <v>0.0</v>
      </c>
      <c r="X2184" s="1">
        <v>0.0</v>
      </c>
    </row>
    <row r="2185" spans="1:24" ht="15.75" customHeight="1">
      <c r="A2185" s="1">
        <v>2.2211783E7</v>
      </c>
      <c r="B2185" s="1" t="s">
        <v>9549</v>
      </c>
      <c r="C2185" s="1" t="s">
        <v>9550</v>
      </c>
      <c r="D2185" s="1" t="s">
        <v>9551</v>
      </c>
      <c r="F2185" s="1" t="str">
        <f>"9873650261"</f>
        <v>9873650261</v>
      </c>
      <c r="G2185" s="1" t="str">
        <f>"9789873650260"</f>
        <v>9789873650260</v>
      </c>
      <c r="H2185" s="1">
        <v>0.0</v>
      </c>
      <c r="I2185" s="1">
        <v>3.92</v>
      </c>
      <c r="J2185" s="1" t="s">
        <v>2148</v>
      </c>
      <c r="K2185" s="1" t="s">
        <v>44</v>
      </c>
      <c r="L2185" s="1">
        <v>187.0</v>
      </c>
      <c r="M2185" s="1">
        <v>2014.0</v>
      </c>
      <c r="N2185" s="1">
        <v>2014.0</v>
      </c>
      <c r="P2185" s="3">
        <v>45228.0</v>
      </c>
      <c r="Q2185" s="1" t="s">
        <v>145</v>
      </c>
      <c r="R2185" s="1" t="s">
        <v>9552</v>
      </c>
      <c r="S2185" s="1" t="s">
        <v>32</v>
      </c>
      <c r="W2185" s="1">
        <v>0.0</v>
      </c>
      <c r="X2185" s="1">
        <v>0.0</v>
      </c>
    </row>
    <row r="2186" spans="1:24" ht="15.75" customHeight="1">
      <c r="A2186" s="1">
        <v>4.0078217E7</v>
      </c>
      <c r="B2186" s="1" t="s">
        <v>9553</v>
      </c>
      <c r="C2186" s="1" t="s">
        <v>9550</v>
      </c>
      <c r="D2186" s="1" t="s">
        <v>9551</v>
      </c>
      <c r="E2186" s="1" t="s">
        <v>9554</v>
      </c>
      <c r="F2186" s="1" t="str">
        <f>"9504656013"</f>
        <v>9504656013</v>
      </c>
      <c r="G2186" s="1" t="str">
        <f>"9789504656012"</f>
        <v>9789504656012</v>
      </c>
      <c r="H2186" s="1">
        <v>0.0</v>
      </c>
      <c r="I2186" s="1">
        <v>3.3</v>
      </c>
      <c r="J2186" s="1" t="s">
        <v>9555</v>
      </c>
      <c r="K2186" s="1" t="s">
        <v>44</v>
      </c>
      <c r="L2186" s="1">
        <v>120.0</v>
      </c>
      <c r="M2186" s="1">
        <v>2018.0</v>
      </c>
      <c r="P2186" s="2">
        <v>43969.0</v>
      </c>
      <c r="Q2186" s="1" t="s">
        <v>127</v>
      </c>
      <c r="R2186" s="1" t="s">
        <v>9556</v>
      </c>
      <c r="S2186" s="1" t="s">
        <v>32</v>
      </c>
      <c r="W2186" s="1">
        <v>0.0</v>
      </c>
      <c r="X2186" s="1">
        <v>0.0</v>
      </c>
    </row>
    <row r="2187" spans="1:24" ht="15.75" customHeight="1">
      <c r="A2187" s="1">
        <v>97411.0</v>
      </c>
      <c r="B2187" s="1" t="s">
        <v>9557</v>
      </c>
      <c r="C2187" s="1" t="s">
        <v>9558</v>
      </c>
      <c r="D2187" s="1" t="s">
        <v>9559</v>
      </c>
      <c r="F2187" s="1" t="str">
        <f>"0140442103"</f>
        <v>0140442103</v>
      </c>
      <c r="G2187" s="1" t="str">
        <f>"9780140442106"</f>
        <v>9780140442106</v>
      </c>
      <c r="H2187" s="1">
        <v>0.0</v>
      </c>
      <c r="I2187" s="1">
        <v>4.35</v>
      </c>
      <c r="J2187" s="1" t="s">
        <v>309</v>
      </c>
      <c r="K2187" s="1" t="s">
        <v>44</v>
      </c>
      <c r="L2187" s="1">
        <v>254.0</v>
      </c>
      <c r="M2187" s="1">
        <v>2004.0</v>
      </c>
      <c r="N2187" s="1">
        <v>65.0</v>
      </c>
      <c r="P2187" s="2">
        <v>41616.0</v>
      </c>
      <c r="Q2187" s="1" t="s">
        <v>725</v>
      </c>
      <c r="R2187" s="1" t="s">
        <v>9560</v>
      </c>
      <c r="S2187" s="1" t="s">
        <v>32</v>
      </c>
      <c r="W2187" s="1">
        <v>0.0</v>
      </c>
      <c r="X2187" s="1">
        <v>0.0</v>
      </c>
    </row>
    <row r="2188" spans="1:24" ht="15.75" customHeight="1">
      <c r="A2188" s="1">
        <v>6135735.0</v>
      </c>
      <c r="B2188" s="1" t="s">
        <v>9561</v>
      </c>
      <c r="C2188" s="1" t="s">
        <v>9562</v>
      </c>
      <c r="D2188" s="1" t="s">
        <v>9563</v>
      </c>
      <c r="F2188" s="1" t="str">
        <f>"9879334965"</f>
        <v>9879334965</v>
      </c>
      <c r="G2188" s="1" t="str">
        <f>"9789879334966"</f>
        <v>9789879334966</v>
      </c>
      <c r="H2188" s="1">
        <v>0.0</v>
      </c>
      <c r="I2188" s="1">
        <v>3.85</v>
      </c>
      <c r="J2188" s="1" t="s">
        <v>9564</v>
      </c>
      <c r="K2188" s="1" t="s">
        <v>44</v>
      </c>
      <c r="L2188" s="1">
        <v>140.0</v>
      </c>
      <c r="M2188" s="1">
        <v>2003.0</v>
      </c>
      <c r="N2188" s="1">
        <v>2000.0</v>
      </c>
      <c r="P2188" s="2">
        <v>44869.0</v>
      </c>
      <c r="Q2188" s="1" t="s">
        <v>32</v>
      </c>
      <c r="R2188" s="1" t="s">
        <v>9565</v>
      </c>
      <c r="S2188" s="1" t="s">
        <v>32</v>
      </c>
      <c r="W2188" s="1">
        <v>0.0</v>
      </c>
      <c r="X2188" s="1">
        <v>0.0</v>
      </c>
    </row>
    <row r="2189" spans="1:24" ht="15.75" customHeight="1">
      <c r="A2189" s="1">
        <v>5.2159531E7</v>
      </c>
      <c r="B2189" s="1" t="s">
        <v>9566</v>
      </c>
      <c r="C2189" s="1" t="s">
        <v>9567</v>
      </c>
      <c r="D2189" s="1" t="s">
        <v>9568</v>
      </c>
      <c r="F2189" s="1" t="str">
        <f>"8420438928"</f>
        <v>8420438928</v>
      </c>
      <c r="G2189" s="1" t="str">
        <f>"9788420438924"</f>
        <v>9788420438924</v>
      </c>
      <c r="H2189" s="1">
        <v>0.0</v>
      </c>
      <c r="I2189" s="1">
        <v>3.76</v>
      </c>
      <c r="J2189" s="1" t="s">
        <v>4225</v>
      </c>
      <c r="K2189" s="1" t="s">
        <v>44</v>
      </c>
      <c r="L2189" s="1">
        <v>248.0</v>
      </c>
      <c r="M2189" s="1">
        <v>2020.0</v>
      </c>
      <c r="N2189" s="1">
        <v>2020.0</v>
      </c>
      <c r="P2189" s="2">
        <v>44095.0</v>
      </c>
      <c r="Q2189" s="1" t="s">
        <v>32</v>
      </c>
      <c r="R2189" s="1" t="s">
        <v>9569</v>
      </c>
      <c r="S2189" s="1" t="s">
        <v>32</v>
      </c>
      <c r="W2189" s="1">
        <v>0.0</v>
      </c>
      <c r="X2189" s="1">
        <v>0.0</v>
      </c>
    </row>
    <row r="2190" spans="1:24" ht="15.75" customHeight="1">
      <c r="A2190" s="1">
        <v>3.5271203E7</v>
      </c>
      <c r="B2190" s="1" t="s">
        <v>9570</v>
      </c>
      <c r="C2190" s="1" t="s">
        <v>9571</v>
      </c>
      <c r="D2190" s="1" t="s">
        <v>9572</v>
      </c>
      <c r="F2190" s="1" t="str">
        <f>"0062390864"</f>
        <v>0062390864</v>
      </c>
      <c r="G2190" s="1" t="str">
        <f>"9780062390868"</f>
        <v>9780062390868</v>
      </c>
      <c r="H2190" s="1">
        <v>0.0</v>
      </c>
      <c r="I2190" s="1">
        <v>3.91</v>
      </c>
      <c r="J2190" s="1" t="s">
        <v>1968</v>
      </c>
      <c r="K2190" s="1" t="s">
        <v>44</v>
      </c>
      <c r="L2190" s="1">
        <v>338.0</v>
      </c>
      <c r="M2190" s="1">
        <v>2018.0</v>
      </c>
      <c r="N2190" s="1">
        <v>2017.0</v>
      </c>
      <c r="P2190" s="2">
        <v>45113.0</v>
      </c>
      <c r="Q2190" s="1" t="s">
        <v>788</v>
      </c>
      <c r="R2190" s="1" t="s">
        <v>9573</v>
      </c>
      <c r="S2190" s="1" t="s">
        <v>32</v>
      </c>
      <c r="W2190" s="1">
        <v>0.0</v>
      </c>
      <c r="X2190" s="1">
        <v>1.0</v>
      </c>
    </row>
    <row r="2191" spans="1:24" ht="15.75" customHeight="1">
      <c r="A2191" s="1">
        <v>647924.0</v>
      </c>
      <c r="B2191" s="1" t="s">
        <v>9574</v>
      </c>
      <c r="C2191" s="1" t="s">
        <v>9575</v>
      </c>
      <c r="D2191" s="1" t="s">
        <v>9576</v>
      </c>
      <c r="F2191" s="1" t="str">
        <f>"1844675084"</f>
        <v>1844675084</v>
      </c>
      <c r="G2191" s="1" t="str">
        <f>"9781844675081"</f>
        <v>9781844675081</v>
      </c>
      <c r="H2191" s="1">
        <v>0.0</v>
      </c>
      <c r="I2191" s="1">
        <v>4.14</v>
      </c>
      <c r="J2191" s="1" t="s">
        <v>367</v>
      </c>
      <c r="K2191" s="1" t="s">
        <v>44</v>
      </c>
      <c r="L2191" s="1">
        <v>440.0</v>
      </c>
      <c r="M2191" s="1">
        <v>2004.0</v>
      </c>
      <c r="N2191" s="1">
        <v>1994.0</v>
      </c>
      <c r="P2191" s="3">
        <v>45273.0</v>
      </c>
      <c r="Q2191" s="1" t="s">
        <v>479</v>
      </c>
      <c r="R2191" s="1" t="s">
        <v>9577</v>
      </c>
      <c r="S2191" s="1" t="s">
        <v>32</v>
      </c>
      <c r="W2191" s="1">
        <v>0.0</v>
      </c>
      <c r="X2191" s="1">
        <v>0.0</v>
      </c>
    </row>
    <row r="2192" spans="1:24" ht="15.75" customHeight="1">
      <c r="A2192" s="1">
        <v>78612.0</v>
      </c>
      <c r="B2192" s="1" t="s">
        <v>9578</v>
      </c>
      <c r="C2192" s="1" t="s">
        <v>9579</v>
      </c>
      <c r="D2192" s="1" t="s">
        <v>9580</v>
      </c>
      <c r="F2192" s="1" t="str">
        <f>"0060955376"</f>
        <v>0060955376</v>
      </c>
      <c r="G2192" s="1" t="str">
        <f>"9780060955373"</f>
        <v>9780060955373</v>
      </c>
      <c r="H2192" s="1">
        <v>0.0</v>
      </c>
      <c r="I2192" s="1">
        <v>3.97</v>
      </c>
      <c r="J2192" s="1" t="s">
        <v>917</v>
      </c>
      <c r="K2192" s="1" t="s">
        <v>44</v>
      </c>
      <c r="L2192" s="1">
        <v>448.0</v>
      </c>
      <c r="M2192" s="1">
        <v>2005.0</v>
      </c>
      <c r="N2192" s="1">
        <v>2004.0</v>
      </c>
      <c r="P2192" s="2">
        <v>45308.0</v>
      </c>
      <c r="Q2192" s="1" t="s">
        <v>30</v>
      </c>
      <c r="R2192" s="1" t="s">
        <v>9581</v>
      </c>
      <c r="S2192" s="1" t="s">
        <v>32</v>
      </c>
      <c r="W2192" s="1">
        <v>0.0</v>
      </c>
      <c r="X2192" s="1">
        <v>0.0</v>
      </c>
    </row>
    <row r="2193" spans="1:24" ht="15.75" customHeight="1">
      <c r="A2193" s="1">
        <v>5.7224204E7</v>
      </c>
      <c r="B2193" s="1" t="s">
        <v>9582</v>
      </c>
      <c r="C2193" s="1" t="s">
        <v>9583</v>
      </c>
      <c r="D2193" s="1" t="s">
        <v>9584</v>
      </c>
      <c r="F2193" s="1" t="str">
        <f>"1908745908"</f>
        <v>1908745908</v>
      </c>
      <c r="G2193" s="1" t="str">
        <f>"9781908745903"</f>
        <v>9781908745903</v>
      </c>
      <c r="H2193" s="1">
        <v>0.0</v>
      </c>
      <c r="I2193" s="1">
        <v>3.94</v>
      </c>
      <c r="J2193" s="1" t="s">
        <v>9585</v>
      </c>
      <c r="K2193" s="1" t="s">
        <v>37</v>
      </c>
      <c r="L2193" s="1">
        <v>386.0</v>
      </c>
      <c r="M2193" s="1">
        <v>2022.0</v>
      </c>
      <c r="N2193" s="1">
        <v>2022.0</v>
      </c>
      <c r="P2193" s="2">
        <v>45111.0</v>
      </c>
      <c r="Q2193" s="1" t="s">
        <v>261</v>
      </c>
      <c r="R2193" s="1" t="s">
        <v>9586</v>
      </c>
      <c r="S2193" s="1" t="s">
        <v>32</v>
      </c>
      <c r="W2193" s="1">
        <v>0.0</v>
      </c>
      <c r="X2193" s="1">
        <v>0.0</v>
      </c>
    </row>
    <row r="2194" spans="1:24" ht="15.75" customHeight="1">
      <c r="A2194" s="1">
        <v>608283.0</v>
      </c>
      <c r="B2194" s="1" t="s">
        <v>9587</v>
      </c>
      <c r="C2194" s="1" t="s">
        <v>9588</v>
      </c>
      <c r="D2194" s="1" t="s">
        <v>9589</v>
      </c>
      <c r="F2194" s="1" t="str">
        <f>"0971904723"</f>
        <v>0971904723</v>
      </c>
      <c r="G2194" s="1" t="str">
        <f>"9780971904729"</f>
        <v>9780971904729</v>
      </c>
      <c r="H2194" s="1">
        <v>0.0</v>
      </c>
      <c r="I2194" s="1">
        <v>3.42</v>
      </c>
      <c r="J2194" s="1" t="s">
        <v>2541</v>
      </c>
      <c r="K2194" s="1" t="s">
        <v>44</v>
      </c>
      <c r="L2194" s="1">
        <v>144.0</v>
      </c>
      <c r="M2194" s="1">
        <v>2002.0</v>
      </c>
      <c r="N2194" s="1">
        <v>2001.0</v>
      </c>
      <c r="P2194" s="2">
        <v>43922.0</v>
      </c>
      <c r="Q2194" s="1" t="s">
        <v>32</v>
      </c>
      <c r="R2194" s="1" t="s">
        <v>9590</v>
      </c>
      <c r="S2194" s="1" t="s">
        <v>32</v>
      </c>
      <c r="W2194" s="1">
        <v>0.0</v>
      </c>
      <c r="X2194" s="1">
        <v>0.0</v>
      </c>
    </row>
    <row r="2195" spans="1:24" ht="15.75" customHeight="1">
      <c r="A2195" s="1">
        <v>838075.0</v>
      </c>
      <c r="B2195" s="1" t="s">
        <v>9591</v>
      </c>
      <c r="C2195" s="1" t="s">
        <v>9592</v>
      </c>
      <c r="D2195" s="1" t="s">
        <v>9593</v>
      </c>
      <c r="F2195" s="1" t="str">
        <f>"0060586532"</f>
        <v>0060586532</v>
      </c>
      <c r="G2195" s="1" t="str">
        <f>"9780060586539"</f>
        <v>9780060586539</v>
      </c>
      <c r="H2195" s="1">
        <v>0.0</v>
      </c>
      <c r="I2195" s="1">
        <v>4.33</v>
      </c>
      <c r="J2195" s="1" t="s">
        <v>2015</v>
      </c>
      <c r="K2195" s="1" t="s">
        <v>1745</v>
      </c>
      <c r="L2195" s="1">
        <v>192.0</v>
      </c>
      <c r="M2195" s="1">
        <v>2004.0</v>
      </c>
      <c r="N2195" s="1">
        <v>1974.0</v>
      </c>
      <c r="P2195" s="2">
        <v>45143.0</v>
      </c>
      <c r="Q2195" s="1" t="s">
        <v>449</v>
      </c>
      <c r="R2195" s="1" t="s">
        <v>9594</v>
      </c>
      <c r="S2195" s="1" t="s">
        <v>32</v>
      </c>
      <c r="W2195" s="1">
        <v>0.0</v>
      </c>
      <c r="X2195" s="1">
        <v>1.0</v>
      </c>
    </row>
    <row r="2196" spans="1:24" ht="15.75" customHeight="1">
      <c r="A2196" s="1">
        <v>49286.0</v>
      </c>
      <c r="B2196" s="1" t="s">
        <v>9595</v>
      </c>
      <c r="C2196" s="1" t="s">
        <v>9596</v>
      </c>
      <c r="D2196" s="1" t="s">
        <v>9597</v>
      </c>
      <c r="F2196" s="1" t="str">
        <f>"0679742441"</f>
        <v>0679742441</v>
      </c>
      <c r="G2196" s="1" t="str">
        <f>"9780679742449"</f>
        <v>9780679742449</v>
      </c>
      <c r="H2196" s="1">
        <v>0.0</v>
      </c>
      <c r="I2196" s="1">
        <v>4.07</v>
      </c>
      <c r="J2196" s="1" t="s">
        <v>69</v>
      </c>
      <c r="K2196" s="1" t="s">
        <v>44</v>
      </c>
      <c r="L2196" s="1">
        <v>278.0</v>
      </c>
      <c r="M2196" s="1">
        <v>1995.0</v>
      </c>
      <c r="N2196" s="1">
        <v>1994.0</v>
      </c>
      <c r="P2196" s="2">
        <v>45166.0</v>
      </c>
      <c r="Q2196" s="1" t="s">
        <v>249</v>
      </c>
      <c r="R2196" s="1" t="s">
        <v>9598</v>
      </c>
      <c r="S2196" s="1" t="s">
        <v>32</v>
      </c>
      <c r="W2196" s="1">
        <v>0.0</v>
      </c>
      <c r="X2196" s="1">
        <v>0.0</v>
      </c>
    </row>
    <row r="2197" spans="1:24" ht="15.75" customHeight="1">
      <c r="A2197" s="1">
        <v>311689.0</v>
      </c>
      <c r="B2197" s="1" t="s">
        <v>9599</v>
      </c>
      <c r="C2197" s="1" t="s">
        <v>9600</v>
      </c>
      <c r="D2197" s="1" t="s">
        <v>9601</v>
      </c>
      <c r="F2197" s="1" t="str">
        <f>"0195325427"</f>
        <v>0195325427</v>
      </c>
      <c r="G2197" s="1" t="str">
        <f>"9780195325423"</f>
        <v>9780195325423</v>
      </c>
      <c r="H2197" s="1">
        <v>0.0</v>
      </c>
      <c r="I2197" s="1">
        <v>3.87</v>
      </c>
      <c r="J2197" s="1" t="s">
        <v>9602</v>
      </c>
      <c r="K2197" s="1" t="s">
        <v>44</v>
      </c>
      <c r="L2197" s="1">
        <v>432.0</v>
      </c>
      <c r="M2197" s="1">
        <v>2007.0</v>
      </c>
      <c r="N2197" s="1">
        <v>2005.0</v>
      </c>
      <c r="P2197" s="3">
        <v>45278.0</v>
      </c>
      <c r="Q2197" s="1" t="s">
        <v>479</v>
      </c>
      <c r="R2197" s="1" t="s">
        <v>9603</v>
      </c>
      <c r="S2197" s="1" t="s">
        <v>32</v>
      </c>
      <c r="W2197" s="1">
        <v>0.0</v>
      </c>
      <c r="X2197" s="1">
        <v>0.0</v>
      </c>
    </row>
    <row r="2198" spans="1:24" ht="15.75" customHeight="1">
      <c r="A2198" s="1">
        <v>7170627.0</v>
      </c>
      <c r="B2198" s="1" t="s">
        <v>9604</v>
      </c>
      <c r="C2198" s="1" t="s">
        <v>9605</v>
      </c>
      <c r="D2198" s="1" t="s">
        <v>9606</v>
      </c>
      <c r="F2198" s="1" t="str">
        <f t="shared" si="161" ref="F2198:G2198">""</f>
        <v/>
      </c>
      <c r="G2198" s="1" t="str">
        <f t="shared" si="161"/>
        <v/>
      </c>
      <c r="H2198" s="1">
        <v>0.0</v>
      </c>
      <c r="I2198" s="1">
        <v>4.33</v>
      </c>
      <c r="J2198" s="1" t="s">
        <v>88</v>
      </c>
      <c r="K2198" s="1" t="s">
        <v>37</v>
      </c>
      <c r="L2198" s="1">
        <v>571.0</v>
      </c>
      <c r="M2198" s="1">
        <v>2010.0</v>
      </c>
      <c r="N2198" s="1">
        <v>2010.0</v>
      </c>
      <c r="P2198" s="2">
        <v>43589.0</v>
      </c>
      <c r="Q2198" s="1" t="s">
        <v>32</v>
      </c>
      <c r="R2198" s="1" t="s">
        <v>9607</v>
      </c>
      <c r="S2198" s="1" t="s">
        <v>32</v>
      </c>
      <c r="W2198" s="1">
        <v>0.0</v>
      </c>
      <c r="X2198" s="1">
        <v>0.0</v>
      </c>
    </row>
    <row r="2199" spans="1:24" ht="15.75" customHeight="1">
      <c r="A2199" s="1">
        <v>137424.0</v>
      </c>
      <c r="B2199" s="1" t="s">
        <v>9608</v>
      </c>
      <c r="C2199" s="1" t="s">
        <v>9609</v>
      </c>
      <c r="D2199" s="1" t="s">
        <v>9610</v>
      </c>
      <c r="E2199" s="1" t="s">
        <v>9611</v>
      </c>
      <c r="F2199" s="1" t="str">
        <f>"0745321003"</f>
        <v>0745321003</v>
      </c>
      <c r="G2199" s="1" t="str">
        <f>"9780745321004"</f>
        <v>9780745321004</v>
      </c>
      <c r="H2199" s="1">
        <v>0.0</v>
      </c>
      <c r="I2199" s="1">
        <v>4.38</v>
      </c>
      <c r="J2199" s="1" t="s">
        <v>4559</v>
      </c>
      <c r="K2199" s="1" t="s">
        <v>44</v>
      </c>
      <c r="L2199" s="1">
        <v>472.0</v>
      </c>
      <c r="M2199" s="1">
        <v>2003.0</v>
      </c>
      <c r="N2199" s="1">
        <v>1971.0</v>
      </c>
      <c r="P2199" s="3">
        <v>44190.0</v>
      </c>
      <c r="Q2199" s="1" t="s">
        <v>32</v>
      </c>
      <c r="R2199" s="1" t="s">
        <v>9612</v>
      </c>
      <c r="S2199" s="1" t="s">
        <v>32</v>
      </c>
      <c r="W2199" s="1">
        <v>0.0</v>
      </c>
      <c r="X2199" s="1">
        <v>0.0</v>
      </c>
    </row>
    <row r="2200" spans="1:24" ht="15.75" customHeight="1">
      <c r="A2200" s="1">
        <v>396829.0</v>
      </c>
      <c r="B2200" s="1" t="s">
        <v>9613</v>
      </c>
      <c r="C2200" s="1" t="s">
        <v>9614</v>
      </c>
      <c r="D2200" s="1" t="s">
        <v>9615</v>
      </c>
      <c r="F2200" s="1" t="str">
        <f t="shared" si="162" ref="F2200:G2200">""</f>
        <v/>
      </c>
      <c r="G2200" s="1" t="str">
        <f t="shared" si="162"/>
        <v/>
      </c>
      <c r="H2200" s="1">
        <v>0.0</v>
      </c>
      <c r="I2200" s="1">
        <v>3.95</v>
      </c>
      <c r="J2200" s="1" t="s">
        <v>9616</v>
      </c>
      <c r="K2200" s="1" t="s">
        <v>44</v>
      </c>
      <c r="L2200" s="1">
        <v>195.0</v>
      </c>
      <c r="M2200" s="1">
        <v>1964.0</v>
      </c>
      <c r="N2200" s="1">
        <v>1964.0</v>
      </c>
      <c r="P2200" s="2">
        <v>44474.0</v>
      </c>
      <c r="Q2200" s="1" t="s">
        <v>45</v>
      </c>
      <c r="R2200" s="1" t="s">
        <v>9617</v>
      </c>
      <c r="S2200" s="1" t="s">
        <v>32</v>
      </c>
      <c r="W2200" s="1">
        <v>0.0</v>
      </c>
      <c r="X2200" s="1">
        <v>0.0</v>
      </c>
    </row>
    <row r="2201" spans="1:24" ht="15.75" customHeight="1">
      <c r="A2201" s="1">
        <v>97751.0</v>
      </c>
      <c r="B2201" s="1" t="s">
        <v>9618</v>
      </c>
      <c r="C2201" s="1" t="s">
        <v>9619</v>
      </c>
      <c r="D2201" s="1" t="s">
        <v>9620</v>
      </c>
      <c r="E2201" s="1" t="s">
        <v>9621</v>
      </c>
      <c r="F2201" s="1" t="str">
        <f>"0142437476"</f>
        <v>0142437476</v>
      </c>
      <c r="G2201" s="1" t="str">
        <f>"9780142437476"</f>
        <v>9780142437476</v>
      </c>
      <c r="H2201" s="1">
        <v>0.0</v>
      </c>
      <c r="I2201" s="1">
        <v>3.87</v>
      </c>
      <c r="J2201" s="1" t="s">
        <v>1023</v>
      </c>
      <c r="K2201" s="1" t="s">
        <v>44</v>
      </c>
      <c r="L2201" s="1">
        <v>240.0</v>
      </c>
      <c r="M2201" s="1">
        <v>2003.0</v>
      </c>
      <c r="N2201" s="1">
        <v>1919.0</v>
      </c>
      <c r="P2201" s="2">
        <v>43961.0</v>
      </c>
      <c r="Q2201" s="1" t="s">
        <v>32</v>
      </c>
      <c r="R2201" s="1" t="s">
        <v>9622</v>
      </c>
      <c r="S2201" s="1" t="s">
        <v>32</v>
      </c>
      <c r="W2201" s="1">
        <v>0.0</v>
      </c>
      <c r="X2201" s="1">
        <v>0.0</v>
      </c>
    </row>
    <row r="2202" spans="1:24" ht="15.75" customHeight="1">
      <c r="A2202" s="1">
        <v>1.3481515E7</v>
      </c>
      <c r="B2202" s="1" t="s">
        <v>9623</v>
      </c>
      <c r="C2202" s="1" t="s">
        <v>9624</v>
      </c>
      <c r="D2202" s="1" t="s">
        <v>9625</v>
      </c>
      <c r="F2202" s="1" t="str">
        <f t="shared" si="163" ref="F2202:G2202">""</f>
        <v/>
      </c>
      <c r="G2202" s="1" t="str">
        <f t="shared" si="163"/>
        <v/>
      </c>
      <c r="H2202" s="1">
        <v>0.0</v>
      </c>
      <c r="I2202" s="1">
        <v>4.81</v>
      </c>
      <c r="J2202" s="1" t="s">
        <v>1411</v>
      </c>
      <c r="K2202" s="1" t="s">
        <v>37</v>
      </c>
      <c r="M2202" s="1">
        <v>1888.0</v>
      </c>
      <c r="N2202" s="1">
        <v>1888.0</v>
      </c>
      <c r="P2202" s="2">
        <v>43976.0</v>
      </c>
      <c r="Q2202" s="1" t="s">
        <v>9626</v>
      </c>
      <c r="R2202" s="1" t="s">
        <v>9627</v>
      </c>
      <c r="S2202" s="1" t="s">
        <v>32</v>
      </c>
      <c r="W2202" s="1">
        <v>0.0</v>
      </c>
      <c r="X2202" s="1">
        <v>0.0</v>
      </c>
    </row>
    <row r="2203" spans="1:24" ht="15.75" customHeight="1">
      <c r="A2203" s="1">
        <v>8338487.0</v>
      </c>
      <c r="B2203" s="1" t="s">
        <v>9628</v>
      </c>
      <c r="C2203" s="1" t="s">
        <v>9629</v>
      </c>
      <c r="D2203" s="1" t="s">
        <v>9630</v>
      </c>
      <c r="F2203" s="1" t="str">
        <f>"9500729970"</f>
        <v>9500729970</v>
      </c>
      <c r="G2203" s="1" t="str">
        <f>"9789500729970"</f>
        <v>9789500729970</v>
      </c>
      <c r="H2203" s="1">
        <v>0.0</v>
      </c>
      <c r="I2203" s="1">
        <v>4.08</v>
      </c>
      <c r="J2203" s="1" t="s">
        <v>1219</v>
      </c>
      <c r="K2203" s="1" t="s">
        <v>44</v>
      </c>
      <c r="L2203" s="1">
        <v>192.0</v>
      </c>
      <c r="M2203" s="1">
        <v>2008.0</v>
      </c>
      <c r="N2203" s="1">
        <v>1948.0</v>
      </c>
      <c r="P2203" s="2">
        <v>43970.0</v>
      </c>
      <c r="Q2203" s="1" t="s">
        <v>127</v>
      </c>
      <c r="R2203" s="1" t="s">
        <v>9631</v>
      </c>
      <c r="S2203" s="1" t="s">
        <v>32</v>
      </c>
      <c r="W2203" s="1">
        <v>0.0</v>
      </c>
      <c r="X2203" s="1">
        <v>0.0</v>
      </c>
    </row>
    <row r="2204" spans="1:24" ht="15.75" customHeight="1">
      <c r="A2204" s="1">
        <v>2.2056496E7</v>
      </c>
      <c r="B2204" s="1" t="s">
        <v>9632</v>
      </c>
      <c r="C2204" s="1" t="s">
        <v>9629</v>
      </c>
      <c r="D2204" s="1" t="s">
        <v>9630</v>
      </c>
      <c r="E2204" s="1" t="s">
        <v>9633</v>
      </c>
      <c r="F2204" s="1" t="str">
        <f>"1590177673"</f>
        <v>1590177673</v>
      </c>
      <c r="G2204" s="1" t="str">
        <f>"9781590177679"</f>
        <v>9781590177679</v>
      </c>
      <c r="H2204" s="1">
        <v>0.0</v>
      </c>
      <c r="I2204" s="1">
        <v>3.92</v>
      </c>
      <c r="J2204" s="1" t="s">
        <v>204</v>
      </c>
      <c r="K2204" s="1" t="s">
        <v>44</v>
      </c>
      <c r="L2204" s="1">
        <v>354.0</v>
      </c>
      <c r="M2204" s="1">
        <v>2015.0</v>
      </c>
      <c r="N2204" s="1">
        <v>1988.0</v>
      </c>
      <c r="P2204" s="2">
        <v>45078.0</v>
      </c>
      <c r="Q2204" s="1" t="s">
        <v>32</v>
      </c>
      <c r="R2204" s="1" t="s">
        <v>9634</v>
      </c>
      <c r="S2204" s="1" t="s">
        <v>32</v>
      </c>
      <c r="W2204" s="1">
        <v>0.0</v>
      </c>
      <c r="X2204" s="1">
        <v>0.0</v>
      </c>
    </row>
    <row r="2205" spans="1:24" ht="15.75" customHeight="1">
      <c r="A2205" s="1">
        <v>193585.0</v>
      </c>
      <c r="B2205" s="1" t="s">
        <v>9635</v>
      </c>
      <c r="C2205" s="1" t="s">
        <v>9636</v>
      </c>
      <c r="D2205" s="1" t="s">
        <v>9637</v>
      </c>
      <c r="F2205" s="1" t="str">
        <f>"0810124270"</f>
        <v>0810124270</v>
      </c>
      <c r="G2205" s="1" t="str">
        <f>"9780810124271"</f>
        <v>9780810124271</v>
      </c>
      <c r="H2205" s="1">
        <v>0.0</v>
      </c>
      <c r="I2205" s="1">
        <v>4.33</v>
      </c>
      <c r="J2205" s="1" t="s">
        <v>229</v>
      </c>
      <c r="K2205" s="1" t="s">
        <v>44</v>
      </c>
      <c r="L2205" s="1">
        <v>464.0</v>
      </c>
      <c r="M2205" s="1">
        <v>2007.0</v>
      </c>
      <c r="N2205" s="1">
        <v>2005.0</v>
      </c>
      <c r="P2205" s="2">
        <v>41365.0</v>
      </c>
      <c r="Q2205" s="1" t="s">
        <v>502</v>
      </c>
      <c r="R2205" s="1" t="s">
        <v>9638</v>
      </c>
      <c r="S2205" s="1" t="s">
        <v>32</v>
      </c>
      <c r="W2205" s="1">
        <v>0.0</v>
      </c>
      <c r="X2205" s="1">
        <v>0.0</v>
      </c>
    </row>
    <row r="2206" spans="1:24" ht="15.75" customHeight="1">
      <c r="A2206" s="1">
        <v>53148.0</v>
      </c>
      <c r="B2206" s="1" t="s">
        <v>9639</v>
      </c>
      <c r="C2206" s="1" t="s">
        <v>9640</v>
      </c>
      <c r="D2206" s="1" t="s">
        <v>9641</v>
      </c>
      <c r="F2206" s="1" t="str">
        <f>"0192853775"</f>
        <v>0192853775</v>
      </c>
      <c r="G2206" s="1" t="str">
        <f>"9780192853776"</f>
        <v>9780192853776</v>
      </c>
      <c r="H2206" s="1">
        <v>0.0</v>
      </c>
      <c r="I2206" s="1">
        <v>3.61</v>
      </c>
      <c r="J2206" s="1" t="s">
        <v>181</v>
      </c>
      <c r="K2206" s="1" t="s">
        <v>44</v>
      </c>
      <c r="L2206" s="1">
        <v>172.0</v>
      </c>
      <c r="M2206" s="1">
        <v>2003.0</v>
      </c>
      <c r="N2206" s="1">
        <v>2001.0</v>
      </c>
      <c r="P2206" s="2">
        <v>45153.0</v>
      </c>
      <c r="Q2206" s="1" t="s">
        <v>32</v>
      </c>
      <c r="R2206" s="1" t="s">
        <v>9642</v>
      </c>
      <c r="S2206" s="1" t="s">
        <v>32</v>
      </c>
      <c r="W2206" s="1">
        <v>0.0</v>
      </c>
      <c r="X2206" s="1">
        <v>0.0</v>
      </c>
    </row>
    <row r="2207" spans="1:24" ht="15.75" customHeight="1">
      <c r="A2207" s="1">
        <v>1038873.0</v>
      </c>
      <c r="B2207" s="1" t="s">
        <v>9643</v>
      </c>
      <c r="C2207" s="1" t="s">
        <v>9640</v>
      </c>
      <c r="D2207" s="1" t="s">
        <v>9641</v>
      </c>
      <c r="F2207" s="1" t="str">
        <f>"0192100246"</f>
        <v>0192100246</v>
      </c>
      <c r="G2207" s="1" t="str">
        <f>"9780192100245"</f>
        <v>9780192100245</v>
      </c>
      <c r="H2207" s="1">
        <v>0.0</v>
      </c>
      <c r="I2207" s="1">
        <v>3.75</v>
      </c>
      <c r="J2207" s="1" t="s">
        <v>990</v>
      </c>
      <c r="K2207" s="1" t="s">
        <v>37</v>
      </c>
      <c r="L2207" s="1">
        <v>296.0</v>
      </c>
      <c r="M2207" s="1">
        <v>1999.0</v>
      </c>
      <c r="N2207" s="1">
        <v>1999.0</v>
      </c>
      <c r="P2207" s="2">
        <v>44206.0</v>
      </c>
      <c r="Q2207" s="1" t="s">
        <v>32</v>
      </c>
      <c r="R2207" s="1" t="s">
        <v>9644</v>
      </c>
      <c r="S2207" s="1" t="s">
        <v>32</v>
      </c>
      <c r="W2207" s="1">
        <v>0.0</v>
      </c>
      <c r="X2207" s="1">
        <v>0.0</v>
      </c>
    </row>
    <row r="2208" spans="1:24" ht="15.75" customHeight="1">
      <c r="A2208" s="1">
        <v>301227.0</v>
      </c>
      <c r="B2208" s="1" t="s">
        <v>9645</v>
      </c>
      <c r="C2208" s="1" t="s">
        <v>9646</v>
      </c>
      <c r="D2208" s="1" t="s">
        <v>9647</v>
      </c>
      <c r="E2208" s="1" t="s">
        <v>9648</v>
      </c>
      <c r="F2208" s="1" t="str">
        <f>"0198606419"</f>
        <v>0198606419</v>
      </c>
      <c r="G2208" s="1" t="str">
        <f>"9780198606413"</f>
        <v>9780198606413</v>
      </c>
      <c r="H2208" s="1">
        <v>0.0</v>
      </c>
      <c r="I2208" s="1">
        <v>4.65</v>
      </c>
      <c r="J2208" s="1" t="s">
        <v>990</v>
      </c>
      <c r="K2208" s="1" t="s">
        <v>37</v>
      </c>
      <c r="L2208" s="1">
        <v>1704.0</v>
      </c>
      <c r="M2208" s="1">
        <v>2003.0</v>
      </c>
      <c r="N2208" s="1">
        <v>1949.0</v>
      </c>
      <c r="P2208" s="2">
        <v>45115.0</v>
      </c>
      <c r="Q2208" s="1" t="s">
        <v>49</v>
      </c>
      <c r="R2208" s="1" t="s">
        <v>9649</v>
      </c>
      <c r="S2208" s="1" t="s">
        <v>32</v>
      </c>
      <c r="W2208" s="1">
        <v>0.0</v>
      </c>
      <c r="X2208" s="1">
        <v>0.0</v>
      </c>
    </row>
    <row r="2209" spans="1:24" ht="15.75" customHeight="1">
      <c r="A2209" s="1">
        <v>164006.0</v>
      </c>
      <c r="B2209" s="1" t="s">
        <v>9650</v>
      </c>
      <c r="C2209" s="1" t="s">
        <v>9651</v>
      </c>
      <c r="D2209" s="1" t="s">
        <v>9652</v>
      </c>
      <c r="E2209" s="1" t="s">
        <v>9653</v>
      </c>
      <c r="F2209" s="1" t="str">
        <f>"0060825197"</f>
        <v>0060825197</v>
      </c>
      <c r="G2209" s="1" t="str">
        <f>"9780060825195"</f>
        <v>9780060825195</v>
      </c>
      <c r="H2209" s="1">
        <v>0.0</v>
      </c>
      <c r="I2209" s="1">
        <v>4.12</v>
      </c>
      <c r="J2209" s="1" t="s">
        <v>397</v>
      </c>
      <c r="K2209" s="1" t="s">
        <v>44</v>
      </c>
      <c r="L2209" s="1">
        <v>359.0</v>
      </c>
      <c r="M2209" s="1">
        <v>2005.0</v>
      </c>
      <c r="N2209" s="1">
        <v>1958.0</v>
      </c>
      <c r="P2209" s="2">
        <v>44237.0</v>
      </c>
      <c r="Q2209" s="1" t="s">
        <v>1739</v>
      </c>
      <c r="R2209" s="1" t="s">
        <v>9654</v>
      </c>
      <c r="S2209" s="1" t="s">
        <v>32</v>
      </c>
      <c r="W2209" s="1">
        <v>0.0</v>
      </c>
      <c r="X2209" s="1">
        <v>0.0</v>
      </c>
    </row>
    <row r="2210" spans="1:24" ht="15.75" customHeight="1">
      <c r="A2210" s="1">
        <v>1.8687491E7</v>
      </c>
      <c r="B2210" s="1" t="s">
        <v>9655</v>
      </c>
      <c r="C2210" s="1" t="s">
        <v>9651</v>
      </c>
      <c r="D2210" s="1" t="s">
        <v>9652</v>
      </c>
      <c r="E2210" s="1" t="s">
        <v>9656</v>
      </c>
      <c r="F2210" s="1" t="str">
        <f t="shared" si="164" ref="F2210:G2210">""</f>
        <v/>
      </c>
      <c r="G2210" s="1" t="str">
        <f t="shared" si="164"/>
        <v/>
      </c>
      <c r="H2210" s="1">
        <v>0.0</v>
      </c>
      <c r="I2210" s="1">
        <v>4.16</v>
      </c>
      <c r="J2210" s="1" t="s">
        <v>69</v>
      </c>
      <c r="K2210" s="1" t="s">
        <v>29</v>
      </c>
      <c r="L2210" s="1">
        <v>836.0</v>
      </c>
      <c r="M2210" s="1">
        <v>2012.0</v>
      </c>
      <c r="N2210" s="1">
        <v>1949.0</v>
      </c>
      <c r="P2210" s="2">
        <v>45113.0</v>
      </c>
      <c r="Q2210" s="1" t="s">
        <v>2021</v>
      </c>
      <c r="R2210" s="1" t="s">
        <v>9657</v>
      </c>
      <c r="S2210" s="1" t="s">
        <v>32</v>
      </c>
      <c r="W2210" s="1">
        <v>0.0</v>
      </c>
      <c r="X2210" s="1">
        <v>1.0</v>
      </c>
    </row>
    <row r="2211" spans="1:24" ht="15.75" customHeight="1">
      <c r="A2211" s="1">
        <v>322929.0</v>
      </c>
      <c r="B2211" s="1" t="s">
        <v>9658</v>
      </c>
      <c r="C2211" s="1" t="s">
        <v>3484</v>
      </c>
      <c r="D2211" s="1" t="s">
        <v>9659</v>
      </c>
      <c r="E2211" s="1" t="s">
        <v>9660</v>
      </c>
      <c r="F2211" s="1" t="str">
        <f>"0918825016"</f>
        <v>0918825016</v>
      </c>
      <c r="G2211" s="1" t="str">
        <f>"9780918825018"</f>
        <v>9780918825018</v>
      </c>
      <c r="H2211" s="1">
        <v>0.0</v>
      </c>
      <c r="I2211" s="1">
        <v>4.35</v>
      </c>
      <c r="J2211" s="1" t="s">
        <v>9661</v>
      </c>
      <c r="K2211" s="1" t="s">
        <v>44</v>
      </c>
      <c r="L2211" s="1">
        <v>576.0</v>
      </c>
      <c r="M2211" s="1">
        <v>2007.0</v>
      </c>
      <c r="N2211" s="1">
        <v>1977.0</v>
      </c>
      <c r="P2211" s="3">
        <v>43419.0</v>
      </c>
      <c r="Q2211" s="1" t="s">
        <v>9662</v>
      </c>
      <c r="R2211" s="1" t="s">
        <v>9663</v>
      </c>
      <c r="S2211" s="1" t="s">
        <v>32</v>
      </c>
      <c r="W2211" s="1">
        <v>0.0</v>
      </c>
      <c r="X2211" s="1">
        <v>0.0</v>
      </c>
    </row>
    <row r="2212" spans="1:24" ht="15.75" customHeight="1">
      <c r="A2212" s="1">
        <v>2.9430708E7</v>
      </c>
      <c r="B2212" s="1" t="s">
        <v>9664</v>
      </c>
      <c r="C2212" s="1" t="s">
        <v>9665</v>
      </c>
      <c r="D2212" s="1" t="s">
        <v>9666</v>
      </c>
      <c r="F2212" s="1" t="str">
        <f>"1501141090"</f>
        <v>1501141090</v>
      </c>
      <c r="G2212" s="1" t="str">
        <f>"9781501141096"</f>
        <v>9781501141096</v>
      </c>
      <c r="H2212" s="1">
        <v>0.0</v>
      </c>
      <c r="I2212" s="1">
        <v>3.88</v>
      </c>
      <c r="J2212" s="1" t="s">
        <v>622</v>
      </c>
      <c r="K2212" s="1" t="s">
        <v>37</v>
      </c>
      <c r="L2212" s="1">
        <v>576.0</v>
      </c>
      <c r="M2212" s="1">
        <v>2016.0</v>
      </c>
      <c r="N2212" s="1">
        <v>2016.0</v>
      </c>
      <c r="P2212" s="3">
        <v>42725.0</v>
      </c>
      <c r="Q2212" s="1" t="s">
        <v>32</v>
      </c>
      <c r="R2212" s="1" t="s">
        <v>9667</v>
      </c>
      <c r="S2212" s="1" t="s">
        <v>32</v>
      </c>
      <c r="W2212" s="1">
        <v>0.0</v>
      </c>
      <c r="X2212" s="1">
        <v>0.0</v>
      </c>
    </row>
    <row r="2213" spans="1:24" ht="15.75" customHeight="1">
      <c r="A2213" s="1">
        <v>542413.0</v>
      </c>
      <c r="B2213" s="1" t="s">
        <v>9668</v>
      </c>
      <c r="C2213" s="1" t="s">
        <v>9669</v>
      </c>
      <c r="D2213" s="1" t="s">
        <v>9670</v>
      </c>
      <c r="F2213" s="1" t="str">
        <f>"1570754357"</f>
        <v>1570754357</v>
      </c>
      <c r="G2213" s="1" t="str">
        <f>"9781570754357"</f>
        <v>9781570754357</v>
      </c>
      <c r="H2213" s="1">
        <v>0.0</v>
      </c>
      <c r="I2213" s="1">
        <v>3.96</v>
      </c>
      <c r="J2213" s="1" t="s">
        <v>9671</v>
      </c>
      <c r="K2213" s="1" t="s">
        <v>37</v>
      </c>
      <c r="L2213" s="1">
        <v>484.0</v>
      </c>
      <c r="M2213" s="1">
        <v>2002.0</v>
      </c>
      <c r="N2213" s="1">
        <v>2002.0</v>
      </c>
      <c r="P2213" s="3">
        <v>45271.0</v>
      </c>
      <c r="Q2213" s="1" t="s">
        <v>479</v>
      </c>
      <c r="R2213" s="1" t="s">
        <v>9672</v>
      </c>
      <c r="S2213" s="1" t="s">
        <v>32</v>
      </c>
      <c r="W2213" s="1">
        <v>0.0</v>
      </c>
      <c r="X2213" s="1">
        <v>0.0</v>
      </c>
    </row>
    <row r="2214" spans="1:24" ht="15.75" customHeight="1">
      <c r="A2214" s="1">
        <v>9962121.0</v>
      </c>
      <c r="B2214" s="1" t="s">
        <v>9673</v>
      </c>
      <c r="C2214" s="1" t="s">
        <v>9674</v>
      </c>
      <c r="D2214" s="1" t="s">
        <v>9675</v>
      </c>
      <c r="F2214" s="1" t="str">
        <f>"0520258827"</f>
        <v>0520258827</v>
      </c>
      <c r="G2214" s="1" t="str">
        <f>"9780520258822"</f>
        <v>9780520258822</v>
      </c>
      <c r="H2214" s="1">
        <v>0.0</v>
      </c>
      <c r="I2214" s="1">
        <v>3.72</v>
      </c>
      <c r="J2214" s="1" t="s">
        <v>552</v>
      </c>
      <c r="K2214" s="1" t="s">
        <v>37</v>
      </c>
      <c r="L2214" s="1">
        <v>280.0</v>
      </c>
      <c r="M2214" s="1">
        <v>2011.0</v>
      </c>
      <c r="N2214" s="1">
        <v>2010.0</v>
      </c>
      <c r="P2214" s="3">
        <v>45214.0</v>
      </c>
      <c r="Q2214" s="1" t="s">
        <v>32</v>
      </c>
      <c r="R2214" s="1" t="s">
        <v>9676</v>
      </c>
      <c r="S2214" s="1" t="s">
        <v>32</v>
      </c>
      <c r="W2214" s="1">
        <v>0.0</v>
      </c>
      <c r="X2214" s="1">
        <v>0.0</v>
      </c>
    </row>
    <row r="2215" spans="1:24" ht="15.75" customHeight="1">
      <c r="A2215" s="1">
        <v>2638701.0</v>
      </c>
      <c r="B2215" s="1" t="s">
        <v>9677</v>
      </c>
      <c r="C2215" s="1" t="s">
        <v>7986</v>
      </c>
      <c r="D2215" s="1" t="s">
        <v>9678</v>
      </c>
      <c r="F2215" s="1" t="str">
        <f>"0312427182"</f>
        <v>0312427182</v>
      </c>
      <c r="G2215" s="1" t="str">
        <f>"9780312427184"</f>
        <v>9780312427184</v>
      </c>
      <c r="H2215" s="1">
        <v>0.0</v>
      </c>
      <c r="I2215" s="1">
        <v>3.88</v>
      </c>
      <c r="J2215" s="1" t="s">
        <v>1006</v>
      </c>
      <c r="K2215" s="1" t="s">
        <v>44</v>
      </c>
      <c r="L2215" s="1">
        <v>272.0</v>
      </c>
      <c r="M2215" s="1">
        <v>2008.0</v>
      </c>
      <c r="N2215" s="1">
        <v>2007.0</v>
      </c>
      <c r="P2215" s="2">
        <v>41337.0</v>
      </c>
      <c r="Q2215" s="1" t="s">
        <v>1207</v>
      </c>
      <c r="R2215" s="1" t="s">
        <v>9679</v>
      </c>
      <c r="S2215" s="1" t="s">
        <v>32</v>
      </c>
      <c r="W2215" s="1">
        <v>0.0</v>
      </c>
      <c r="X2215" s="1">
        <v>1.0</v>
      </c>
    </row>
    <row r="2216" spans="1:24" ht="15.75" customHeight="1">
      <c r="A2216" s="1">
        <v>3.3154956E7</v>
      </c>
      <c r="B2216" s="1" t="s">
        <v>9680</v>
      </c>
      <c r="C2216" s="1" t="s">
        <v>7986</v>
      </c>
      <c r="D2216" s="1" t="s">
        <v>9678</v>
      </c>
      <c r="F2216" s="1" t="str">
        <f>"0241305578"</f>
        <v>0241305578</v>
      </c>
      <c r="G2216" s="1" t="str">
        <f>"9780241305577"</f>
        <v>9780241305577</v>
      </c>
      <c r="H2216" s="1">
        <v>0.0</v>
      </c>
      <c r="I2216" s="1">
        <v>3.81</v>
      </c>
      <c r="J2216" s="1" t="s">
        <v>1665</v>
      </c>
      <c r="K2216" s="1" t="s">
        <v>37</v>
      </c>
      <c r="L2216" s="1">
        <v>336.0</v>
      </c>
      <c r="M2216" s="1">
        <v>2017.0</v>
      </c>
      <c r="P2216" s="2">
        <v>43969.0</v>
      </c>
      <c r="Q2216" s="1" t="s">
        <v>32</v>
      </c>
      <c r="R2216" s="1" t="s">
        <v>9681</v>
      </c>
      <c r="S2216" s="1" t="s">
        <v>32</v>
      </c>
      <c r="W2216" s="1">
        <v>0.0</v>
      </c>
      <c r="X2216" s="1">
        <v>0.0</v>
      </c>
    </row>
    <row r="2217" spans="1:24" ht="15.75" customHeight="1">
      <c r="A2217" s="1">
        <v>5.6753473E7</v>
      </c>
      <c r="B2217" s="1" t="s">
        <v>9682</v>
      </c>
      <c r="C2217" s="1" t="s">
        <v>9683</v>
      </c>
      <c r="D2217" s="1" t="s">
        <v>9684</v>
      </c>
      <c r="F2217" s="1" t="str">
        <f>"1524748390"</f>
        <v>1524748390</v>
      </c>
      <c r="G2217" s="1" t="str">
        <f>"9781524748395"</f>
        <v>9781524748395</v>
      </c>
      <c r="H2217" s="1">
        <v>0.0</v>
      </c>
      <c r="I2217" s="1">
        <v>4.16</v>
      </c>
      <c r="J2217" s="1" t="s">
        <v>772</v>
      </c>
      <c r="K2217" s="1" t="s">
        <v>37</v>
      </c>
      <c r="L2217" s="1">
        <v>400.0</v>
      </c>
      <c r="M2217" s="1">
        <v>2022.0</v>
      </c>
      <c r="N2217" s="1">
        <v>2022.0</v>
      </c>
      <c r="P2217" s="2">
        <v>45143.0</v>
      </c>
      <c r="Q2217" s="1" t="s">
        <v>55</v>
      </c>
      <c r="R2217" s="1" t="s">
        <v>9685</v>
      </c>
      <c r="S2217" s="1" t="s">
        <v>32</v>
      </c>
      <c r="W2217" s="1">
        <v>0.0</v>
      </c>
      <c r="X2217" s="1">
        <v>0.0</v>
      </c>
    </row>
    <row r="2218" spans="1:24" ht="15.75" customHeight="1">
      <c r="A2218" s="1">
        <v>1.5865864E7</v>
      </c>
      <c r="B2218" s="1" t="s">
        <v>9686</v>
      </c>
      <c r="C2218" s="1" t="s">
        <v>9687</v>
      </c>
      <c r="D2218" s="1" t="s">
        <v>9688</v>
      </c>
      <c r="F2218" s="1" t="str">
        <f>"0979956293"</f>
        <v>0979956293</v>
      </c>
      <c r="G2218" s="1" t="str">
        <f>"9780979956294"</f>
        <v>9780979956294</v>
      </c>
      <c r="H2218" s="1">
        <v>0.0</v>
      </c>
      <c r="I2218" s="1">
        <v>4.08</v>
      </c>
      <c r="J2218" s="1" t="s">
        <v>9689</v>
      </c>
      <c r="K2218" s="1" t="s">
        <v>37</v>
      </c>
      <c r="L2218" s="1">
        <v>104.0</v>
      </c>
      <c r="M2218" s="1">
        <v>2012.0</v>
      </c>
      <c r="N2218" s="1">
        <v>1998.0</v>
      </c>
      <c r="P2218" s="3">
        <v>45291.0</v>
      </c>
      <c r="Q2218" s="1" t="s">
        <v>145</v>
      </c>
      <c r="R2218" s="1" t="s">
        <v>9690</v>
      </c>
      <c r="S2218" s="1" t="s">
        <v>32</v>
      </c>
      <c r="W2218" s="1">
        <v>0.0</v>
      </c>
      <c r="X2218" s="1">
        <v>0.0</v>
      </c>
    </row>
    <row r="2219" spans="1:24" ht="15.75" customHeight="1">
      <c r="A2219" s="1">
        <v>435338.0</v>
      </c>
      <c r="B2219" s="1" t="s">
        <v>9691</v>
      </c>
      <c r="C2219" s="1" t="s">
        <v>9537</v>
      </c>
      <c r="D2219" s="1" t="s">
        <v>9692</v>
      </c>
      <c r="E2219" s="1" t="s">
        <v>9693</v>
      </c>
      <c r="F2219" s="1" t="str">
        <f>"0521655641"</f>
        <v>0521655641</v>
      </c>
      <c r="G2219" s="1" t="str">
        <f>"9780521655644"</f>
        <v>9780521655644</v>
      </c>
      <c r="H2219" s="1">
        <v>0.0</v>
      </c>
      <c r="I2219" s="1">
        <v>3.93</v>
      </c>
      <c r="J2219" s="1" t="s">
        <v>388</v>
      </c>
      <c r="K2219" s="1" t="s">
        <v>44</v>
      </c>
      <c r="L2219" s="1">
        <v>122.0</v>
      </c>
      <c r="M2219" s="1">
        <v>2001.0</v>
      </c>
      <c r="N2219" s="1">
        <v>-440.0</v>
      </c>
      <c r="P2219" s="2">
        <v>43967.0</v>
      </c>
      <c r="Q2219" s="1" t="s">
        <v>3294</v>
      </c>
      <c r="R2219" s="1" t="s">
        <v>9694</v>
      </c>
      <c r="S2219" s="1" t="s">
        <v>32</v>
      </c>
      <c r="W2219" s="1">
        <v>0.0</v>
      </c>
      <c r="X2219" s="1">
        <v>0.0</v>
      </c>
    </row>
    <row r="2220" spans="1:24" ht="15.75" customHeight="1">
      <c r="A2220" s="1">
        <v>150254.0</v>
      </c>
      <c r="B2220" s="1" t="s">
        <v>3299</v>
      </c>
      <c r="C2220" s="1" t="s">
        <v>9537</v>
      </c>
      <c r="D2220" s="1" t="s">
        <v>9692</v>
      </c>
      <c r="E2220" s="1" t="s">
        <v>9695</v>
      </c>
      <c r="F2220" s="1" t="str">
        <f>"0195049608"</f>
        <v>0195049608</v>
      </c>
      <c r="G2220" s="1" t="str">
        <f>"9780195049602"</f>
        <v>9780195049602</v>
      </c>
      <c r="H2220" s="1">
        <v>0.0</v>
      </c>
      <c r="I2220" s="1">
        <v>3.8</v>
      </c>
      <c r="J2220" s="1" t="s">
        <v>181</v>
      </c>
      <c r="K2220" s="1" t="s">
        <v>44</v>
      </c>
      <c r="L2220" s="1">
        <v>138.0</v>
      </c>
      <c r="M2220" s="1">
        <v>2001.0</v>
      </c>
      <c r="N2220" s="1">
        <v>-410.0</v>
      </c>
      <c r="P2220" s="2">
        <v>45102.0</v>
      </c>
      <c r="Q2220" s="1" t="s">
        <v>855</v>
      </c>
      <c r="R2220" s="1" t="s">
        <v>9696</v>
      </c>
      <c r="S2220" s="1" t="s">
        <v>32</v>
      </c>
      <c r="W2220" s="1">
        <v>0.0</v>
      </c>
      <c r="X2220" s="1">
        <v>0.0</v>
      </c>
    </row>
    <row r="2221" spans="1:24" ht="15.75" customHeight="1">
      <c r="A2221" s="1">
        <v>1536.0</v>
      </c>
      <c r="B2221" s="1" t="s">
        <v>9697</v>
      </c>
      <c r="C2221" s="1" t="s">
        <v>9537</v>
      </c>
      <c r="D2221" s="1" t="s">
        <v>9692</v>
      </c>
      <c r="E2221" s="1" t="s">
        <v>9698</v>
      </c>
      <c r="F2221" s="1" t="str">
        <f>"0226307867"</f>
        <v>0226307867</v>
      </c>
      <c r="G2221" s="1" t="str">
        <f>"9780226307862"</f>
        <v>9780226307862</v>
      </c>
      <c r="H2221" s="1">
        <v>0.0</v>
      </c>
      <c r="I2221" s="1">
        <v>4.13</v>
      </c>
      <c r="J2221" s="1" t="s">
        <v>78</v>
      </c>
      <c r="K2221" s="1" t="s">
        <v>44</v>
      </c>
      <c r="L2221" s="1">
        <v>254.0</v>
      </c>
      <c r="M2221" s="1">
        <v>1969.0</v>
      </c>
      <c r="N2221" s="1">
        <v>-450.0</v>
      </c>
      <c r="P2221" s="2">
        <v>45113.0</v>
      </c>
      <c r="Q2221" s="1" t="s">
        <v>4539</v>
      </c>
      <c r="R2221" s="1" t="s">
        <v>9699</v>
      </c>
      <c r="S2221" s="1" t="s">
        <v>32</v>
      </c>
      <c r="W2221" s="1">
        <v>0.0</v>
      </c>
      <c r="X2221" s="1">
        <v>1.0</v>
      </c>
    </row>
    <row r="2222" spans="1:24" ht="15.75" customHeight="1">
      <c r="A2222" s="1">
        <v>437556.0</v>
      </c>
      <c r="B2222" s="1" t="s">
        <v>9700</v>
      </c>
      <c r="C2222" s="1" t="s">
        <v>9537</v>
      </c>
      <c r="D2222" s="1" t="s">
        <v>9692</v>
      </c>
      <c r="E2222" s="1" t="s">
        <v>9701</v>
      </c>
      <c r="F2222" s="1" t="str">
        <f>"0195070097"</f>
        <v>0195070097</v>
      </c>
      <c r="G2222" s="1" t="str">
        <f>"9780195070095"</f>
        <v>9780195070095</v>
      </c>
      <c r="H2222" s="1">
        <v>0.0</v>
      </c>
      <c r="I2222" s="1">
        <v>3.84</v>
      </c>
      <c r="J2222" s="1" t="s">
        <v>181</v>
      </c>
      <c r="K2222" s="1" t="s">
        <v>44</v>
      </c>
      <c r="L2222" s="1">
        <v>112.0</v>
      </c>
      <c r="M2222" s="1">
        <v>1991.0</v>
      </c>
      <c r="N2222" s="1">
        <v>-450.0</v>
      </c>
      <c r="P2222" s="2">
        <v>45120.0</v>
      </c>
      <c r="Q2222" s="1" t="s">
        <v>32</v>
      </c>
      <c r="R2222" s="1" t="s">
        <v>9702</v>
      </c>
      <c r="S2222" s="1" t="s">
        <v>32</v>
      </c>
      <c r="W2222" s="1">
        <v>0.0</v>
      </c>
      <c r="X2222" s="1">
        <v>0.0</v>
      </c>
    </row>
    <row r="2223" spans="1:24" ht="15.75" customHeight="1">
      <c r="A2223" s="1">
        <v>24965.0</v>
      </c>
      <c r="B2223" s="1" t="s">
        <v>9703</v>
      </c>
      <c r="C2223" s="1" t="s">
        <v>9704</v>
      </c>
      <c r="D2223" s="1" t="s">
        <v>9705</v>
      </c>
      <c r="E2223" s="1" t="s">
        <v>9706</v>
      </c>
      <c r="F2223" s="1" t="str">
        <f>"0143037579"</f>
        <v>0143037579</v>
      </c>
      <c r="G2223" s="1" t="str">
        <f>"9780143037576"</f>
        <v>9780143037576</v>
      </c>
      <c r="H2223" s="1">
        <v>0.0</v>
      </c>
      <c r="I2223" s="1">
        <v>4.0</v>
      </c>
      <c r="J2223" s="1" t="s">
        <v>309</v>
      </c>
      <c r="K2223" s="1" t="s">
        <v>44</v>
      </c>
      <c r="L2223" s="1">
        <v>152.0</v>
      </c>
      <c r="M2223" s="1">
        <v>2006.0</v>
      </c>
      <c r="N2223" s="1">
        <v>1843.0</v>
      </c>
      <c r="P2223" s="2">
        <v>41612.0</v>
      </c>
      <c r="Q2223" s="1" t="s">
        <v>32</v>
      </c>
      <c r="R2223" s="1" t="s">
        <v>9707</v>
      </c>
      <c r="S2223" s="1" t="s">
        <v>32</v>
      </c>
      <c r="W2223" s="1">
        <v>0.0</v>
      </c>
      <c r="X2223" s="1">
        <v>0.0</v>
      </c>
    </row>
    <row r="2224" spans="1:24" ht="15.75" customHeight="1">
      <c r="A2224" s="1">
        <v>6719017.0</v>
      </c>
      <c r="B2224" s="1" t="s">
        <v>9708</v>
      </c>
      <c r="C2224" s="1" t="s">
        <v>9709</v>
      </c>
      <c r="D2224" s="1" t="s">
        <v>9710</v>
      </c>
      <c r="F2224" s="1" t="str">
        <f>"0670021105"</f>
        <v>0670021105</v>
      </c>
      <c r="G2224" s="1" t="str">
        <f>"9780670021109"</f>
        <v>9780670021109</v>
      </c>
      <c r="H2224" s="1">
        <v>0.0</v>
      </c>
      <c r="I2224" s="1">
        <v>4.06</v>
      </c>
      <c r="J2224" s="1" t="s">
        <v>1424</v>
      </c>
      <c r="K2224" s="1" t="s">
        <v>37</v>
      </c>
      <c r="L2224" s="1">
        <v>388.0</v>
      </c>
      <c r="M2224" s="1">
        <v>2009.0</v>
      </c>
      <c r="N2224" s="1">
        <v>2007.0</v>
      </c>
      <c r="P2224" s="2">
        <v>45173.0</v>
      </c>
      <c r="Q2224" s="1" t="s">
        <v>32</v>
      </c>
      <c r="R2224" s="1" t="s">
        <v>9711</v>
      </c>
      <c r="S2224" s="1" t="s">
        <v>32</v>
      </c>
      <c r="W2224" s="1">
        <v>0.0</v>
      </c>
      <c r="X2224" s="1">
        <v>0.0</v>
      </c>
    </row>
    <row r="2225" spans="1:24" ht="15.75" customHeight="1">
      <c r="A2225" s="1">
        <v>770806.0</v>
      </c>
      <c r="B2225" s="1" t="s">
        <v>9712</v>
      </c>
      <c r="C2225" s="1" t="s">
        <v>9713</v>
      </c>
      <c r="D2225" s="1" t="s">
        <v>9714</v>
      </c>
      <c r="F2225" s="1" t="str">
        <f>"0500810036"</f>
        <v>0500810036</v>
      </c>
      <c r="G2225" s="1" t="str">
        <f>"9780500810033"</f>
        <v>9780500810033</v>
      </c>
      <c r="H2225" s="1">
        <v>0.0</v>
      </c>
      <c r="I2225" s="1">
        <v>3.53</v>
      </c>
      <c r="J2225" s="1" t="s">
        <v>192</v>
      </c>
      <c r="K2225" s="1" t="s">
        <v>44</v>
      </c>
      <c r="L2225" s="1">
        <v>128.0</v>
      </c>
      <c r="M2225" s="1">
        <v>1986.0</v>
      </c>
      <c r="N2225" s="1">
        <v>1973.0</v>
      </c>
      <c r="P2225" s="2">
        <v>44812.0</v>
      </c>
      <c r="Q2225" s="1" t="s">
        <v>32</v>
      </c>
      <c r="R2225" s="1" t="s">
        <v>9715</v>
      </c>
      <c r="S2225" s="1" t="s">
        <v>32</v>
      </c>
      <c r="W2225" s="1">
        <v>0.0</v>
      </c>
      <c r="X2225" s="1">
        <v>0.0</v>
      </c>
    </row>
    <row r="2226" spans="1:24" ht="15.75" customHeight="1">
      <c r="A2226" s="1">
        <v>1793776.0</v>
      </c>
      <c r="B2226" s="1" t="s">
        <v>9716</v>
      </c>
      <c r="C2226" s="1" t="s">
        <v>9713</v>
      </c>
      <c r="D2226" s="1" t="s">
        <v>9714</v>
      </c>
      <c r="F2226" s="1" t="str">
        <f>"0500279810"</f>
        <v>0500279810</v>
      </c>
      <c r="G2226" s="1" t="str">
        <f>"9780500279816"</f>
        <v>9780500279816</v>
      </c>
      <c r="H2226" s="1">
        <v>0.0</v>
      </c>
      <c r="I2226" s="1">
        <v>4.56</v>
      </c>
      <c r="J2226" s="1" t="s">
        <v>192</v>
      </c>
      <c r="K2226" s="1" t="s">
        <v>44</v>
      </c>
      <c r="M2226" s="1">
        <v>1998.0</v>
      </c>
      <c r="N2226" s="1">
        <v>1988.0</v>
      </c>
      <c r="P2226" s="2">
        <v>44809.0</v>
      </c>
      <c r="Q2226" s="1" t="s">
        <v>32</v>
      </c>
      <c r="R2226" s="1" t="s">
        <v>9717</v>
      </c>
      <c r="S2226" s="1" t="s">
        <v>32</v>
      </c>
      <c r="W2226" s="1">
        <v>0.0</v>
      </c>
      <c r="X2226" s="1">
        <v>0.0</v>
      </c>
    </row>
    <row r="2227" spans="1:24" ht="15.75" customHeight="1">
      <c r="A2227" s="1">
        <v>95558.0</v>
      </c>
      <c r="B2227" s="1" t="s">
        <v>9718</v>
      </c>
      <c r="C2227" s="1" t="s">
        <v>9719</v>
      </c>
      <c r="D2227" s="1" t="s">
        <v>9720</v>
      </c>
      <c r="E2227" s="1" t="s">
        <v>9721</v>
      </c>
      <c r="F2227" s="1" t="str">
        <f t="shared" si="165" ref="F2227:G2227">""</f>
        <v/>
      </c>
      <c r="G2227" s="1" t="str">
        <f t="shared" si="165"/>
        <v/>
      </c>
      <c r="H2227" s="1">
        <v>0.0</v>
      </c>
      <c r="I2227" s="1">
        <v>3.99</v>
      </c>
      <c r="J2227" s="1" t="s">
        <v>1572</v>
      </c>
      <c r="K2227" s="1" t="s">
        <v>44</v>
      </c>
      <c r="L2227" s="1">
        <v>204.0</v>
      </c>
      <c r="M2227" s="1">
        <v>2002.0</v>
      </c>
      <c r="N2227" s="1">
        <v>1961.0</v>
      </c>
      <c r="P2227" s="2">
        <v>45150.0</v>
      </c>
      <c r="Q2227" s="1" t="s">
        <v>32</v>
      </c>
      <c r="R2227" s="1" t="s">
        <v>9722</v>
      </c>
      <c r="S2227" s="1" t="s">
        <v>32</v>
      </c>
      <c r="W2227" s="1">
        <v>0.0</v>
      </c>
      <c r="X2227" s="1">
        <v>0.0</v>
      </c>
    </row>
    <row r="2228" spans="1:24" ht="15.75" customHeight="1">
      <c r="A2228" s="1">
        <v>1448484.0</v>
      </c>
      <c r="B2228" s="1" t="s">
        <v>9723</v>
      </c>
      <c r="C2228" s="1" t="s">
        <v>9724</v>
      </c>
      <c r="D2228" s="1" t="s">
        <v>9725</v>
      </c>
      <c r="F2228" s="1" t="str">
        <f>"0300046146"</f>
        <v>0300046146</v>
      </c>
      <c r="G2228" s="1" t="str">
        <f>"9780300046144"</f>
        <v>9780300046144</v>
      </c>
      <c r="H2228" s="1">
        <v>0.0</v>
      </c>
      <c r="I2228" s="1">
        <v>3.75</v>
      </c>
      <c r="J2228" s="1" t="s">
        <v>962</v>
      </c>
      <c r="K2228" s="1" t="s">
        <v>44</v>
      </c>
      <c r="M2228" s="1">
        <v>1990.0</v>
      </c>
      <c r="N2228" s="1">
        <v>1986.0</v>
      </c>
      <c r="P2228" s="2">
        <v>45167.0</v>
      </c>
      <c r="Q2228" s="1" t="s">
        <v>32</v>
      </c>
      <c r="R2228" s="1" t="s">
        <v>9726</v>
      </c>
      <c r="S2228" s="1" t="s">
        <v>32</v>
      </c>
      <c r="W2228" s="1">
        <v>0.0</v>
      </c>
      <c r="X2228" s="1">
        <v>0.0</v>
      </c>
    </row>
    <row r="2229" spans="1:24" ht="15.75" customHeight="1">
      <c r="A2229" s="1">
        <v>106169.0</v>
      </c>
      <c r="B2229" s="1" t="s">
        <v>9727</v>
      </c>
      <c r="C2229" s="1" t="s">
        <v>9728</v>
      </c>
      <c r="D2229" s="1" t="s">
        <v>9729</v>
      </c>
      <c r="E2229" s="1" t="s">
        <v>9730</v>
      </c>
      <c r="F2229" s="1" t="str">
        <f>"0674076087"</f>
        <v>0674076087</v>
      </c>
      <c r="G2229" s="1" t="str">
        <f>"9780674076082"</f>
        <v>9780674076082</v>
      </c>
      <c r="H2229" s="1">
        <v>0.0</v>
      </c>
      <c r="I2229" s="1">
        <v>4.02</v>
      </c>
      <c r="J2229" s="1" t="s">
        <v>2273</v>
      </c>
      <c r="K2229" s="1" t="s">
        <v>37</v>
      </c>
      <c r="L2229" s="1">
        <v>858.0</v>
      </c>
      <c r="M2229" s="1">
        <v>1999.0</v>
      </c>
      <c r="N2229" s="1">
        <v>1997.0</v>
      </c>
      <c r="P2229" s="3">
        <v>45271.0</v>
      </c>
      <c r="Q2229" s="1" t="s">
        <v>479</v>
      </c>
      <c r="R2229" s="1" t="s">
        <v>9731</v>
      </c>
      <c r="S2229" s="1" t="s">
        <v>32</v>
      </c>
      <c r="W2229" s="1">
        <v>0.0</v>
      </c>
      <c r="X2229" s="1">
        <v>0.0</v>
      </c>
    </row>
    <row r="2230" spans="1:24" ht="15.75" customHeight="1">
      <c r="A2230" s="1">
        <v>270008.0</v>
      </c>
      <c r="B2230" s="1" t="s">
        <v>9732</v>
      </c>
      <c r="C2230" s="1" t="s">
        <v>9733</v>
      </c>
      <c r="D2230" s="1" t="s">
        <v>9734</v>
      </c>
      <c r="F2230" s="1" t="str">
        <f>"067003407X"</f>
        <v>067003407X</v>
      </c>
      <c r="G2230" s="1" t="str">
        <f>"9780670034079"</f>
        <v>9780670034079</v>
      </c>
      <c r="H2230" s="1">
        <v>0.0</v>
      </c>
      <c r="I2230" s="1">
        <v>3.97</v>
      </c>
      <c r="J2230" s="1" t="s">
        <v>9735</v>
      </c>
      <c r="K2230" s="1" t="s">
        <v>37</v>
      </c>
      <c r="L2230" s="1">
        <v>448.0</v>
      </c>
      <c r="M2230" s="1">
        <v>2005.0</v>
      </c>
      <c r="N2230" s="1">
        <v>2005.0</v>
      </c>
      <c r="P2230" s="2">
        <v>43255.0</v>
      </c>
      <c r="Q2230" s="1" t="s">
        <v>138</v>
      </c>
      <c r="R2230" s="1" t="s">
        <v>9736</v>
      </c>
      <c r="S2230" s="1" t="s">
        <v>32</v>
      </c>
      <c r="W2230" s="1">
        <v>0.0</v>
      </c>
      <c r="X2230" s="1">
        <v>0.0</v>
      </c>
    </row>
    <row r="2231" spans="1:24" ht="15.75" customHeight="1">
      <c r="A2231" s="1">
        <v>102729.0</v>
      </c>
      <c r="B2231" s="1" t="s">
        <v>9737</v>
      </c>
      <c r="C2231" s="1" t="s">
        <v>9738</v>
      </c>
      <c r="D2231" s="1" t="s">
        <v>9739</v>
      </c>
      <c r="E2231" s="1" t="s">
        <v>9740</v>
      </c>
      <c r="F2231" s="1" t="str">
        <f>"067401930X"</f>
        <v>067401930X</v>
      </c>
      <c r="G2231" s="1" t="str">
        <f>"9780674019300"</f>
        <v>9780674019300</v>
      </c>
      <c r="H2231" s="1">
        <v>0.0</v>
      </c>
      <c r="I2231" s="1">
        <v>4.28</v>
      </c>
      <c r="J2231" s="1" t="s">
        <v>9741</v>
      </c>
      <c r="K2231" s="1" t="s">
        <v>44</v>
      </c>
      <c r="L2231" s="1">
        <v>374.0</v>
      </c>
      <c r="M2231" s="1">
        <v>2005.0</v>
      </c>
      <c r="N2231" s="1">
        <v>1982.0</v>
      </c>
      <c r="P2231" s="3">
        <v>45271.0</v>
      </c>
      <c r="Q2231" s="1" t="s">
        <v>479</v>
      </c>
      <c r="R2231" s="1" t="s">
        <v>9742</v>
      </c>
      <c r="S2231" s="1" t="s">
        <v>32</v>
      </c>
      <c r="W2231" s="1">
        <v>0.0</v>
      </c>
      <c r="X2231" s="1">
        <v>0.0</v>
      </c>
    </row>
    <row r="2232" spans="1:24" ht="15.75" customHeight="1">
      <c r="A2232" s="1">
        <v>4.4696835E7</v>
      </c>
      <c r="B2232" s="1" t="s">
        <v>9743</v>
      </c>
      <c r="C2232" s="1" t="s">
        <v>9744</v>
      </c>
      <c r="D2232" s="1" t="s">
        <v>9745</v>
      </c>
      <c r="F2232" s="1" t="str">
        <f>"0671027344"</f>
        <v>0671027344</v>
      </c>
      <c r="G2232" s="1" t="str">
        <f>"9780671027346"</f>
        <v>9780671027346</v>
      </c>
      <c r="H2232" s="1">
        <v>0.0</v>
      </c>
      <c r="I2232" s="1">
        <v>4.23</v>
      </c>
      <c r="J2232" s="1" t="s">
        <v>9746</v>
      </c>
      <c r="K2232" s="1" t="s">
        <v>44</v>
      </c>
      <c r="L2232" s="1">
        <v>213.0</v>
      </c>
      <c r="M2232" s="1">
        <v>2002.0</v>
      </c>
      <c r="N2232" s="1">
        <v>1999.0</v>
      </c>
      <c r="P2232" s="2">
        <v>44814.0</v>
      </c>
      <c r="Q2232" s="1" t="s">
        <v>502</v>
      </c>
      <c r="R2232" s="1" t="s">
        <v>9747</v>
      </c>
      <c r="S2232" s="1" t="s">
        <v>32</v>
      </c>
      <c r="W2232" s="1">
        <v>0.0</v>
      </c>
      <c r="X2232" s="1">
        <v>0.0</v>
      </c>
    </row>
    <row r="2233" spans="1:24" ht="15.75" customHeight="1">
      <c r="A2233" s="1">
        <v>22628.0</v>
      </c>
      <c r="B2233" s="1" t="s">
        <v>9743</v>
      </c>
      <c r="C2233" s="1" t="s">
        <v>9744</v>
      </c>
      <c r="D2233" s="1" t="s">
        <v>9745</v>
      </c>
      <c r="F2233" s="1" t="str">
        <f t="shared" si="166" ref="F2233:G2233">""</f>
        <v/>
      </c>
      <c r="G2233" s="1" t="str">
        <f t="shared" si="166"/>
        <v/>
      </c>
      <c r="H2233" s="1">
        <v>5.0</v>
      </c>
      <c r="I2233" s="1">
        <v>4.23</v>
      </c>
      <c r="J2233" s="1" t="s">
        <v>9746</v>
      </c>
      <c r="K2233" s="1" t="s">
        <v>44</v>
      </c>
      <c r="L2233" s="1">
        <v>213.0</v>
      </c>
      <c r="M2233" s="1">
        <v>1999.0</v>
      </c>
      <c r="N2233" s="1">
        <v>1999.0</v>
      </c>
      <c r="O2233" s="2">
        <v>40981.0</v>
      </c>
      <c r="P2233" s="3">
        <v>40894.0</v>
      </c>
      <c r="S2233" s="1" t="s">
        <v>271</v>
      </c>
      <c r="W2233" s="1">
        <v>1.0</v>
      </c>
      <c r="X2233" s="1">
        <v>0.0</v>
      </c>
    </row>
    <row r="2234" spans="1:24" ht="15.75" customHeight="1">
      <c r="A2234" s="1">
        <v>4.9660279E7</v>
      </c>
      <c r="B2234" s="1" t="s">
        <v>9748</v>
      </c>
      <c r="C2234" s="1" t="s">
        <v>9749</v>
      </c>
      <c r="D2234" s="1" t="s">
        <v>9750</v>
      </c>
      <c r="F2234" s="1" t="str">
        <f>"0826522750"</f>
        <v>0826522750</v>
      </c>
      <c r="G2234" s="1" t="str">
        <f>"9780826522757"</f>
        <v>9780826522757</v>
      </c>
      <c r="H2234" s="1">
        <v>0.0</v>
      </c>
      <c r="I2234" s="1">
        <v>3.7</v>
      </c>
      <c r="J2234" s="1" t="s">
        <v>9751</v>
      </c>
      <c r="K2234" s="1" t="s">
        <v>44</v>
      </c>
      <c r="L2234" s="1">
        <v>172.0</v>
      </c>
      <c r="M2234" s="1">
        <v>2020.0</v>
      </c>
      <c r="P2234" s="2">
        <v>43961.0</v>
      </c>
      <c r="Q2234" s="1" t="s">
        <v>32</v>
      </c>
      <c r="R2234" s="1" t="s">
        <v>9752</v>
      </c>
      <c r="S2234" s="1" t="s">
        <v>32</v>
      </c>
      <c r="W2234" s="1">
        <v>0.0</v>
      </c>
      <c r="X2234" s="1">
        <v>0.0</v>
      </c>
    </row>
    <row r="2235" spans="1:24" ht="15.75" customHeight="1">
      <c r="A2235" s="1">
        <v>45546.0</v>
      </c>
      <c r="B2235" s="1" t="s">
        <v>9753</v>
      </c>
      <c r="C2235" s="1" t="s">
        <v>9754</v>
      </c>
      <c r="D2235" s="1" t="s">
        <v>9755</v>
      </c>
      <c r="F2235" s="1" t="str">
        <f>"074347788X"</f>
        <v>074347788X</v>
      </c>
      <c r="G2235" s="1" t="str">
        <f>"9780743477888"</f>
        <v>9780743477888</v>
      </c>
      <c r="H2235" s="1">
        <v>0.0</v>
      </c>
      <c r="I2235" s="1">
        <v>4.22</v>
      </c>
      <c r="J2235" s="1" t="s">
        <v>622</v>
      </c>
      <c r="K2235" s="1" t="s">
        <v>44</v>
      </c>
      <c r="L2235" s="1">
        <v>592.0</v>
      </c>
      <c r="M2235" s="1">
        <v>2003.0</v>
      </c>
      <c r="N2235" s="1">
        <v>1996.0</v>
      </c>
      <c r="P2235" s="2">
        <v>45181.0</v>
      </c>
      <c r="Q2235" s="1" t="s">
        <v>249</v>
      </c>
      <c r="R2235" s="1" t="s">
        <v>9756</v>
      </c>
      <c r="S2235" s="1" t="s">
        <v>32</v>
      </c>
      <c r="W2235" s="1">
        <v>0.0</v>
      </c>
      <c r="X2235" s="1">
        <v>0.0</v>
      </c>
    </row>
    <row r="2236" spans="1:24" ht="15.75" customHeight="1">
      <c r="A2236" s="1">
        <v>339920.0</v>
      </c>
      <c r="B2236" s="1" t="s">
        <v>9757</v>
      </c>
      <c r="C2236" s="1" t="s">
        <v>9758</v>
      </c>
      <c r="D2236" s="1" t="s">
        <v>9759</v>
      </c>
      <c r="F2236" s="1" t="str">
        <f>"0393322262"</f>
        <v>0393322262</v>
      </c>
      <c r="G2236" s="1" t="str">
        <f>"9780393322262"</f>
        <v>9780393322262</v>
      </c>
      <c r="H2236" s="1">
        <v>0.0</v>
      </c>
      <c r="I2236" s="1">
        <v>3.64</v>
      </c>
      <c r="J2236" s="1" t="s">
        <v>248</v>
      </c>
      <c r="K2236" s="1" t="s">
        <v>44</v>
      </c>
      <c r="L2236" s="1">
        <v>366.0</v>
      </c>
      <c r="M2236" s="1">
        <v>2001.0</v>
      </c>
      <c r="N2236" s="1">
        <v>2000.0</v>
      </c>
      <c r="P2236" s="3">
        <v>45274.0</v>
      </c>
      <c r="Q2236" s="1" t="s">
        <v>479</v>
      </c>
      <c r="R2236" s="1" t="s">
        <v>9760</v>
      </c>
      <c r="S2236" s="1" t="s">
        <v>32</v>
      </c>
      <c r="W2236" s="1">
        <v>0.0</v>
      </c>
      <c r="X2236" s="1">
        <v>0.0</v>
      </c>
    </row>
    <row r="2237" spans="1:24" ht="15.75" customHeight="1">
      <c r="A2237" s="1">
        <v>1.0954979E7</v>
      </c>
      <c r="B2237" s="1" t="s">
        <v>9761</v>
      </c>
      <c r="C2237" s="1" t="s">
        <v>9762</v>
      </c>
      <c r="D2237" s="1" t="s">
        <v>9763</v>
      </c>
      <c r="F2237" s="1" t="str">
        <f>"0393064476"</f>
        <v>0393064476</v>
      </c>
      <c r="G2237" s="1" t="str">
        <f>"9780393064476"</f>
        <v>9780393064476</v>
      </c>
      <c r="H2237" s="1">
        <v>0.0</v>
      </c>
      <c r="I2237" s="1">
        <v>3.87</v>
      </c>
      <c r="J2237" s="1" t="s">
        <v>248</v>
      </c>
      <c r="K2237" s="1" t="s">
        <v>37</v>
      </c>
      <c r="L2237" s="1">
        <v>356.0</v>
      </c>
      <c r="M2237" s="1">
        <v>2011.0</v>
      </c>
      <c r="N2237" s="1">
        <v>2011.0</v>
      </c>
      <c r="P2237" s="2">
        <v>41053.0</v>
      </c>
      <c r="Q2237" s="1" t="s">
        <v>32</v>
      </c>
      <c r="R2237" s="1" t="s">
        <v>9764</v>
      </c>
      <c r="S2237" s="1" t="s">
        <v>32</v>
      </c>
      <c r="W2237" s="1">
        <v>0.0</v>
      </c>
      <c r="X2237" s="1">
        <v>0.0</v>
      </c>
    </row>
    <row r="2238" spans="1:24" ht="15.75" customHeight="1">
      <c r="A2238" s="1">
        <v>126321.0</v>
      </c>
      <c r="B2238" s="1" t="s">
        <v>9765</v>
      </c>
      <c r="C2238" s="1" t="s">
        <v>9766</v>
      </c>
      <c r="D2238" s="1" t="s">
        <v>9767</v>
      </c>
      <c r="F2238" s="1" t="str">
        <f>"0312360231"</f>
        <v>0312360231</v>
      </c>
      <c r="G2238" s="1" t="str">
        <f>"9780312360238"</f>
        <v>9780312360238</v>
      </c>
      <c r="H2238" s="1">
        <v>0.0</v>
      </c>
      <c r="I2238" s="1">
        <v>3.79</v>
      </c>
      <c r="J2238" s="1" t="s">
        <v>2484</v>
      </c>
      <c r="K2238" s="1" t="s">
        <v>37</v>
      </c>
      <c r="L2238" s="1">
        <v>384.0</v>
      </c>
      <c r="M2238" s="1">
        <v>2006.0</v>
      </c>
      <c r="N2238" s="1">
        <v>2006.0</v>
      </c>
      <c r="P2238" s="3">
        <v>45278.0</v>
      </c>
      <c r="Q2238" s="1" t="s">
        <v>479</v>
      </c>
      <c r="R2238" s="1" t="s">
        <v>9768</v>
      </c>
      <c r="S2238" s="1" t="s">
        <v>32</v>
      </c>
      <c r="W2238" s="1">
        <v>0.0</v>
      </c>
      <c r="X2238" s="1">
        <v>0.0</v>
      </c>
    </row>
    <row r="2239" spans="1:24" ht="15.75" customHeight="1">
      <c r="A2239" s="1">
        <v>3.2853566E7</v>
      </c>
      <c r="B2239" s="1" t="s">
        <v>9769</v>
      </c>
      <c r="C2239" s="1" t="s">
        <v>9770</v>
      </c>
      <c r="D2239" s="1" t="s">
        <v>9771</v>
      </c>
      <c r="F2239" s="1" t="str">
        <f t="shared" si="167" ref="F2239:G2239">""</f>
        <v/>
      </c>
      <c r="G2239" s="1" t="str">
        <f t="shared" si="167"/>
        <v/>
      </c>
      <c r="H2239" s="1">
        <v>0.0</v>
      </c>
      <c r="I2239" s="1">
        <v>4.21</v>
      </c>
      <c r="J2239" s="1" t="s">
        <v>9772</v>
      </c>
      <c r="K2239" s="1" t="s">
        <v>44</v>
      </c>
      <c r="L2239" s="1">
        <v>272.0</v>
      </c>
      <c r="M2239" s="1">
        <v>2011.0</v>
      </c>
      <c r="N2239" s="1">
        <v>1988.0</v>
      </c>
      <c r="P2239" s="2">
        <v>45123.0</v>
      </c>
      <c r="Q2239" s="1" t="s">
        <v>338</v>
      </c>
      <c r="R2239" s="1" t="s">
        <v>9773</v>
      </c>
      <c r="S2239" s="1" t="s">
        <v>32</v>
      </c>
      <c r="W2239" s="1">
        <v>0.0</v>
      </c>
      <c r="X2239" s="1">
        <v>0.0</v>
      </c>
    </row>
    <row r="2240" spans="1:24" ht="15.75" customHeight="1">
      <c r="A2240" s="1">
        <v>54218.0</v>
      </c>
      <c r="B2240" s="1" t="s">
        <v>9774</v>
      </c>
      <c r="C2240" s="1" t="s">
        <v>9775</v>
      </c>
      <c r="D2240" s="1" t="s">
        <v>9776</v>
      </c>
      <c r="F2240" s="1" t="str">
        <f>"0393314251"</f>
        <v>0393314251</v>
      </c>
      <c r="G2240" s="1" t="str">
        <f>"9780393314250"</f>
        <v>9780393314250</v>
      </c>
      <c r="H2240" s="1">
        <v>0.0</v>
      </c>
      <c r="I2240" s="1">
        <v>4.05</v>
      </c>
      <c r="J2240" s="1" t="s">
        <v>248</v>
      </c>
      <c r="K2240" s="1" t="s">
        <v>44</v>
      </c>
      <c r="L2240" s="1">
        <v>446.0</v>
      </c>
      <c r="M2240" s="1">
        <v>1996.0</v>
      </c>
      <c r="N2240" s="1">
        <v>1982.0</v>
      </c>
      <c r="P2240" s="2">
        <v>45115.0</v>
      </c>
      <c r="Q2240" s="1" t="s">
        <v>32</v>
      </c>
      <c r="R2240" s="1" t="s">
        <v>9777</v>
      </c>
      <c r="S2240" s="1" t="s">
        <v>32</v>
      </c>
      <c r="W2240" s="1">
        <v>0.0</v>
      </c>
      <c r="X2240" s="1">
        <v>0.0</v>
      </c>
    </row>
    <row r="2241" spans="1:24" ht="15.75" customHeight="1">
      <c r="A2241" s="1">
        <v>90540.0</v>
      </c>
      <c r="B2241" s="1" t="s">
        <v>9778</v>
      </c>
      <c r="C2241" s="1" t="s">
        <v>9740</v>
      </c>
      <c r="D2241" s="1" t="s">
        <v>9779</v>
      </c>
      <c r="F2241" s="1" t="str">
        <f>"0805082409"</f>
        <v>0805082409</v>
      </c>
      <c r="G2241" s="1" t="str">
        <f>"9780805082401"</f>
        <v>9780805082401</v>
      </c>
      <c r="H2241" s="1">
        <v>0.0</v>
      </c>
      <c r="I2241" s="1">
        <v>4.16</v>
      </c>
      <c r="J2241" s="1" t="s">
        <v>2372</v>
      </c>
      <c r="K2241" s="1" t="s">
        <v>44</v>
      </c>
      <c r="L2241" s="1">
        <v>384.0</v>
      </c>
      <c r="M2241" s="1">
        <v>2007.0</v>
      </c>
      <c r="N2241" s="1">
        <v>2006.0</v>
      </c>
      <c r="P2241" s="3">
        <v>45271.0</v>
      </c>
      <c r="Q2241" s="1" t="s">
        <v>479</v>
      </c>
      <c r="R2241" s="1" t="s">
        <v>9780</v>
      </c>
      <c r="S2241" s="1" t="s">
        <v>32</v>
      </c>
      <c r="W2241" s="1">
        <v>0.0</v>
      </c>
      <c r="X2241" s="1">
        <v>0.0</v>
      </c>
    </row>
    <row r="2242" spans="1:24" ht="15.75" customHeight="1">
      <c r="A2242" s="1">
        <v>46347.0</v>
      </c>
      <c r="B2242" s="1" t="s">
        <v>9781</v>
      </c>
      <c r="C2242" s="1" t="s">
        <v>9740</v>
      </c>
      <c r="D2242" s="1" t="s">
        <v>9779</v>
      </c>
      <c r="F2242" s="1" t="str">
        <f>"0471678783"</f>
        <v>0471678783</v>
      </c>
      <c r="G2242" s="1" t="str">
        <f>"9780471678786"</f>
        <v>9780471678786</v>
      </c>
      <c r="H2242" s="1">
        <v>0.0</v>
      </c>
      <c r="I2242" s="1">
        <v>4.28</v>
      </c>
      <c r="J2242" s="1" t="s">
        <v>9782</v>
      </c>
      <c r="K2242" s="1" t="s">
        <v>44</v>
      </c>
      <c r="L2242" s="1">
        <v>272.0</v>
      </c>
      <c r="M2242" s="1">
        <v>2004.0</v>
      </c>
      <c r="N2242" s="1">
        <v>2003.0</v>
      </c>
      <c r="P2242" s="3">
        <v>45271.0</v>
      </c>
      <c r="Q2242" s="1" t="s">
        <v>479</v>
      </c>
      <c r="R2242" s="1" t="s">
        <v>9783</v>
      </c>
      <c r="S2242" s="1" t="s">
        <v>32</v>
      </c>
      <c r="W2242" s="1">
        <v>0.0</v>
      </c>
      <c r="X2242" s="1">
        <v>0.0</v>
      </c>
    </row>
    <row r="2243" spans="1:24" ht="15.75" customHeight="1">
      <c r="A2243" s="1">
        <v>784542.0</v>
      </c>
      <c r="B2243" s="1" t="s">
        <v>9784</v>
      </c>
      <c r="C2243" s="1" t="s">
        <v>9785</v>
      </c>
      <c r="D2243" s="1" t="s">
        <v>9786</v>
      </c>
      <c r="E2243" s="1" t="s">
        <v>9787</v>
      </c>
      <c r="F2243" s="1" t="str">
        <f>"0073535672"</f>
        <v>0073535672</v>
      </c>
      <c r="G2243" s="1" t="str">
        <f>"9780073535678"</f>
        <v>9780073535678</v>
      </c>
      <c r="H2243" s="1">
        <v>0.0</v>
      </c>
      <c r="I2243" s="1">
        <v>4.05</v>
      </c>
      <c r="J2243" s="1" t="s">
        <v>9249</v>
      </c>
      <c r="K2243" s="1" t="s">
        <v>44</v>
      </c>
      <c r="L2243" s="1">
        <v>1152.0</v>
      </c>
      <c r="M2243" s="1">
        <v>2007.0</v>
      </c>
      <c r="N2243" s="1">
        <v>2000.0</v>
      </c>
      <c r="P2243" s="2">
        <v>45120.0</v>
      </c>
      <c r="Q2243" s="1" t="s">
        <v>725</v>
      </c>
      <c r="R2243" s="1" t="s">
        <v>9788</v>
      </c>
      <c r="S2243" s="1" t="s">
        <v>32</v>
      </c>
      <c r="W2243" s="1">
        <v>0.0</v>
      </c>
      <c r="X2243" s="1">
        <v>0.0</v>
      </c>
    </row>
    <row r="2244" spans="1:24" ht="15.75" customHeight="1">
      <c r="A2244" s="1">
        <v>1270229.0</v>
      </c>
      <c r="B2244" s="1" t="s">
        <v>9789</v>
      </c>
      <c r="C2244" s="1" t="s">
        <v>9790</v>
      </c>
      <c r="D2244" s="1" t="s">
        <v>9791</v>
      </c>
      <c r="F2244" s="1" t="str">
        <f>"0262640317"</f>
        <v>0262640317</v>
      </c>
      <c r="G2244" s="1" t="str">
        <f>"9780262640312"</f>
        <v>9780262640312</v>
      </c>
      <c r="H2244" s="1">
        <v>0.0</v>
      </c>
      <c r="I2244" s="1">
        <v>4.57</v>
      </c>
      <c r="J2244" s="1" t="s">
        <v>1353</v>
      </c>
      <c r="K2244" s="1" t="s">
        <v>44</v>
      </c>
      <c r="M2244" s="1">
        <v>1993.0</v>
      </c>
      <c r="N2244" s="1">
        <v>1989.0</v>
      </c>
      <c r="P2244" s="2">
        <v>45153.0</v>
      </c>
      <c r="Q2244" s="1" t="s">
        <v>32</v>
      </c>
      <c r="R2244" s="1" t="s">
        <v>9792</v>
      </c>
      <c r="S2244" s="1" t="s">
        <v>32</v>
      </c>
      <c r="W2244" s="1">
        <v>0.0</v>
      </c>
      <c r="X2244" s="1">
        <v>0.0</v>
      </c>
    </row>
    <row r="2245" spans="1:24" ht="15.75" customHeight="1">
      <c r="A2245" s="1">
        <v>1353737.0</v>
      </c>
      <c r="B2245" s="1" t="s">
        <v>9793</v>
      </c>
      <c r="C2245" s="1" t="s">
        <v>9794</v>
      </c>
      <c r="D2245" s="1" t="s">
        <v>9795</v>
      </c>
      <c r="F2245" s="1" t="str">
        <f>"0226551946"</f>
        <v>0226551946</v>
      </c>
      <c r="G2245" s="1" t="str">
        <f>"9780226551944"</f>
        <v>9780226551944</v>
      </c>
      <c r="H2245" s="1">
        <v>0.0</v>
      </c>
      <c r="I2245" s="1">
        <v>3.73</v>
      </c>
      <c r="J2245" s="1" t="s">
        <v>78</v>
      </c>
      <c r="K2245" s="1" t="s">
        <v>37</v>
      </c>
      <c r="L2245" s="1">
        <v>507.0</v>
      </c>
      <c r="M2245" s="1">
        <v>2000.0</v>
      </c>
      <c r="N2245" s="1">
        <v>2000.0</v>
      </c>
      <c r="P2245" s="2">
        <v>45170.0</v>
      </c>
      <c r="Q2245" s="1" t="s">
        <v>32</v>
      </c>
      <c r="R2245" s="1" t="s">
        <v>9796</v>
      </c>
      <c r="S2245" s="1" t="s">
        <v>32</v>
      </c>
      <c r="W2245" s="1">
        <v>0.0</v>
      </c>
      <c r="X2245" s="1">
        <v>0.0</v>
      </c>
    </row>
    <row r="2246" spans="1:24" ht="15.75" customHeight="1">
      <c r="A2246" s="1">
        <v>2.2955625E7</v>
      </c>
      <c r="B2246" s="1" t="s">
        <v>9797</v>
      </c>
      <c r="C2246" s="1" t="s">
        <v>9798</v>
      </c>
      <c r="D2246" s="1" t="s">
        <v>9799</v>
      </c>
      <c r="F2246" s="1" t="str">
        <f>"1782793429"</f>
        <v>1782793429</v>
      </c>
      <c r="G2246" s="1" t="str">
        <f>"9781782793427"</f>
        <v>9781782793427</v>
      </c>
      <c r="H2246" s="1">
        <v>0.0</v>
      </c>
      <c r="I2246" s="1">
        <v>3.3</v>
      </c>
      <c r="J2246" s="1" t="s">
        <v>777</v>
      </c>
      <c r="K2246" s="1" t="s">
        <v>44</v>
      </c>
      <c r="L2246" s="1">
        <v>213.0</v>
      </c>
      <c r="M2246" s="1">
        <v>2014.0</v>
      </c>
      <c r="N2246" s="1">
        <v>2014.0</v>
      </c>
      <c r="P2246" s="2">
        <v>43101.0</v>
      </c>
      <c r="Q2246" s="1" t="s">
        <v>138</v>
      </c>
      <c r="R2246" s="1" t="s">
        <v>9800</v>
      </c>
      <c r="S2246" s="1" t="s">
        <v>32</v>
      </c>
      <c r="W2246" s="1">
        <v>0.0</v>
      </c>
      <c r="X2246" s="1">
        <v>0.0</v>
      </c>
    </row>
    <row r="2247" spans="1:24" ht="15.75" customHeight="1">
      <c r="A2247" s="1">
        <v>144800.0</v>
      </c>
      <c r="B2247" s="1" t="s">
        <v>9801</v>
      </c>
      <c r="C2247" s="1" t="s">
        <v>9802</v>
      </c>
      <c r="D2247" s="1" t="s">
        <v>9803</v>
      </c>
      <c r="F2247" s="1" t="str">
        <f>"1841959111"</f>
        <v>1841959111</v>
      </c>
      <c r="G2247" s="1" t="str">
        <f>"9781841959115"</f>
        <v>9781841959115</v>
      </c>
      <c r="H2247" s="1">
        <v>0.0</v>
      </c>
      <c r="I2247" s="1">
        <v>3.83</v>
      </c>
      <c r="J2247" s="1" t="s">
        <v>6927</v>
      </c>
      <c r="K2247" s="1" t="s">
        <v>37</v>
      </c>
      <c r="L2247" s="1">
        <v>427.0</v>
      </c>
      <c r="M2247" s="1">
        <v>2007.0</v>
      </c>
      <c r="N2247" s="1">
        <v>2007.0</v>
      </c>
      <c r="P2247" s="2">
        <v>41663.0</v>
      </c>
      <c r="Q2247" s="1" t="s">
        <v>32</v>
      </c>
      <c r="R2247" s="1" t="s">
        <v>9804</v>
      </c>
      <c r="S2247" s="1" t="s">
        <v>32</v>
      </c>
      <c r="W2247" s="1">
        <v>0.0</v>
      </c>
      <c r="X2247" s="1">
        <v>0.0</v>
      </c>
    </row>
    <row r="2248" spans="1:24" ht="15.75" customHeight="1">
      <c r="A2248" s="1">
        <v>133456.0</v>
      </c>
      <c r="B2248" s="1" t="s">
        <v>9805</v>
      </c>
      <c r="C2248" s="1" t="s">
        <v>9806</v>
      </c>
      <c r="D2248" s="1" t="s">
        <v>9807</v>
      </c>
      <c r="F2248" s="1" t="str">
        <f>"0312860390"</f>
        <v>0312860390</v>
      </c>
      <c r="G2248" s="1" t="str">
        <f>"9780312860394"</f>
        <v>9780312860394</v>
      </c>
      <c r="H2248" s="1">
        <v>0.0</v>
      </c>
      <c r="I2248" s="1">
        <v>3.71</v>
      </c>
      <c r="J2248" s="1" t="s">
        <v>3708</v>
      </c>
      <c r="K2248" s="1" t="s">
        <v>44</v>
      </c>
      <c r="L2248" s="1">
        <v>224.0</v>
      </c>
      <c r="M2248" s="1">
        <v>1996.0</v>
      </c>
      <c r="N2248" s="1">
        <v>1987.0</v>
      </c>
      <c r="P2248" s="2">
        <v>42100.0</v>
      </c>
      <c r="Q2248" s="1" t="s">
        <v>502</v>
      </c>
      <c r="R2248" s="1" t="s">
        <v>9808</v>
      </c>
      <c r="S2248" s="1" t="s">
        <v>32</v>
      </c>
      <c r="W2248" s="1">
        <v>0.0</v>
      </c>
      <c r="X2248" s="1">
        <v>0.0</v>
      </c>
    </row>
    <row r="2249" spans="1:24" ht="15.75" customHeight="1">
      <c r="A2249" s="1">
        <v>1.1658328E7</v>
      </c>
      <c r="B2249" s="1" t="s">
        <v>9809</v>
      </c>
      <c r="C2249" s="1" t="s">
        <v>9810</v>
      </c>
      <c r="D2249" s="1" t="s">
        <v>9811</v>
      </c>
      <c r="F2249" s="1" t="str">
        <f>"1846682703"</f>
        <v>1846682703</v>
      </c>
      <c r="G2249" s="1" t="str">
        <f>"9781846682704"</f>
        <v>9781846682704</v>
      </c>
      <c r="H2249" s="1">
        <v>0.0</v>
      </c>
      <c r="I2249" s="1">
        <v>3.51</v>
      </c>
      <c r="J2249" s="1" t="s">
        <v>9812</v>
      </c>
      <c r="K2249" s="1" t="s">
        <v>37</v>
      </c>
      <c r="L2249" s="1">
        <v>256.0</v>
      </c>
      <c r="M2249" s="1">
        <v>2012.0</v>
      </c>
      <c r="N2249" s="1">
        <v>2011.0</v>
      </c>
      <c r="P2249" s="2">
        <v>41647.0</v>
      </c>
      <c r="Q2249" s="1" t="s">
        <v>32</v>
      </c>
      <c r="R2249" s="1" t="s">
        <v>9813</v>
      </c>
      <c r="S2249" s="1" t="s">
        <v>32</v>
      </c>
      <c r="W2249" s="1">
        <v>0.0</v>
      </c>
      <c r="X2249" s="1">
        <v>0.0</v>
      </c>
    </row>
    <row r="2250" spans="1:24" ht="15.75" customHeight="1">
      <c r="A2250" s="1">
        <v>223098.0</v>
      </c>
      <c r="B2250" s="1" t="s">
        <v>9814</v>
      </c>
      <c r="C2250" s="1" t="s">
        <v>9815</v>
      </c>
      <c r="D2250" s="1" t="s">
        <v>9816</v>
      </c>
      <c r="F2250" s="1" t="str">
        <f>"0812212991"</f>
        <v>0812212991</v>
      </c>
      <c r="G2250" s="1" t="str">
        <f>"9780812212990"</f>
        <v>9780812212990</v>
      </c>
      <c r="H2250" s="1">
        <v>0.0</v>
      </c>
      <c r="I2250" s="1">
        <v>4.09</v>
      </c>
      <c r="J2250" s="1" t="s">
        <v>2927</v>
      </c>
      <c r="K2250" s="1" t="s">
        <v>44</v>
      </c>
      <c r="L2250" s="1">
        <v>312.0</v>
      </c>
      <c r="M2250" s="1">
        <v>1990.0</v>
      </c>
      <c r="N2250" s="1">
        <v>1982.0</v>
      </c>
      <c r="P2250" s="2">
        <v>45189.0</v>
      </c>
      <c r="Q2250" s="1" t="s">
        <v>249</v>
      </c>
      <c r="R2250" s="1" t="s">
        <v>9817</v>
      </c>
      <c r="S2250" s="1" t="s">
        <v>32</v>
      </c>
      <c r="W2250" s="1">
        <v>0.0</v>
      </c>
      <c r="X2250" s="1">
        <v>0.0</v>
      </c>
    </row>
    <row r="2251" spans="1:24" ht="15.75" customHeight="1">
      <c r="A2251" s="1">
        <v>602649.0</v>
      </c>
      <c r="B2251" s="1" t="s">
        <v>9818</v>
      </c>
      <c r="C2251" s="1" t="s">
        <v>9819</v>
      </c>
      <c r="D2251" s="1" t="s">
        <v>9820</v>
      </c>
      <c r="F2251" s="1" t="str">
        <f>"1844571645"</f>
        <v>1844571645</v>
      </c>
      <c r="G2251" s="1" t="str">
        <f>"9781844571642"</f>
        <v>9781844571642</v>
      </c>
      <c r="H2251" s="1">
        <v>0.0</v>
      </c>
      <c r="I2251" s="1">
        <v>3.98</v>
      </c>
      <c r="J2251" s="1" t="s">
        <v>9821</v>
      </c>
      <c r="K2251" s="1" t="s">
        <v>44</v>
      </c>
      <c r="L2251" s="1">
        <v>272.0</v>
      </c>
      <c r="M2251" s="1">
        <v>2007.0</v>
      </c>
      <c r="N2251" s="1">
        <v>2007.0</v>
      </c>
      <c r="P2251" s="2">
        <v>43961.0</v>
      </c>
      <c r="Q2251" s="1" t="s">
        <v>32</v>
      </c>
      <c r="R2251" s="1" t="s">
        <v>9822</v>
      </c>
      <c r="S2251" s="1" t="s">
        <v>32</v>
      </c>
      <c r="W2251" s="1">
        <v>0.0</v>
      </c>
      <c r="X2251" s="1">
        <v>0.0</v>
      </c>
    </row>
    <row r="2252" spans="1:24" ht="15.75" customHeight="1">
      <c r="A2252" s="1">
        <v>1.0677213E7</v>
      </c>
      <c r="B2252" s="1" t="s">
        <v>9823</v>
      </c>
      <c r="C2252" s="1" t="s">
        <v>9824</v>
      </c>
      <c r="D2252" s="1" t="s">
        <v>9825</v>
      </c>
      <c r="E2252" s="1" t="s">
        <v>9826</v>
      </c>
      <c r="F2252" s="1" t="str">
        <f>"0375507485"</f>
        <v>0375507485</v>
      </c>
      <c r="G2252" s="1" t="str">
        <f>"9780375507489"</f>
        <v>9780375507489</v>
      </c>
      <c r="H2252" s="1">
        <v>0.0</v>
      </c>
      <c r="I2252" s="1">
        <v>4.17</v>
      </c>
      <c r="J2252" s="1" t="s">
        <v>1189</v>
      </c>
      <c r="K2252" s="1" t="s">
        <v>37</v>
      </c>
      <c r="L2252" s="1">
        <v>970.0</v>
      </c>
      <c r="M2252" s="1">
        <v>2011.0</v>
      </c>
      <c r="N2252" s="1">
        <v>2011.0</v>
      </c>
      <c r="O2252" s="2">
        <v>41864.0</v>
      </c>
      <c r="P2252" s="2">
        <v>41766.0</v>
      </c>
      <c r="Q2252" s="1" t="s">
        <v>2362</v>
      </c>
      <c r="R2252" s="1" t="s">
        <v>9827</v>
      </c>
      <c r="S2252" s="1" t="s">
        <v>271</v>
      </c>
      <c r="W2252" s="1">
        <v>1.0</v>
      </c>
      <c r="X2252" s="1">
        <v>1.0</v>
      </c>
    </row>
    <row r="2253" spans="1:24" ht="15.75" customHeight="1">
      <c r="A2253" s="1">
        <v>2.0821371E7</v>
      </c>
      <c r="B2253" s="1" t="s">
        <v>9828</v>
      </c>
      <c r="C2253" s="1" t="s">
        <v>9829</v>
      </c>
      <c r="D2253" s="1" t="s">
        <v>9830</v>
      </c>
      <c r="F2253" s="1" t="str">
        <f>"0670025852"</f>
        <v>0670025852</v>
      </c>
      <c r="G2253" s="1" t="str">
        <f>"9780670025855"</f>
        <v>9780670025855</v>
      </c>
      <c r="H2253" s="1">
        <v>0.0</v>
      </c>
      <c r="I2253" s="1">
        <v>4.04</v>
      </c>
      <c r="J2253" s="1" t="s">
        <v>1137</v>
      </c>
      <c r="K2253" s="1" t="s">
        <v>37</v>
      </c>
      <c r="L2253" s="1">
        <v>368.0</v>
      </c>
      <c r="M2253" s="1">
        <v>2014.0</v>
      </c>
      <c r="N2253" s="1">
        <v>2014.0</v>
      </c>
      <c r="P2253" s="2">
        <v>43925.0</v>
      </c>
      <c r="Q2253" s="1" t="s">
        <v>32</v>
      </c>
      <c r="R2253" s="1" t="s">
        <v>9831</v>
      </c>
      <c r="S2253" s="1" t="s">
        <v>32</v>
      </c>
      <c r="W2253" s="1">
        <v>0.0</v>
      </c>
      <c r="X2253" s="1">
        <v>0.0</v>
      </c>
    </row>
    <row r="2254" spans="1:24" ht="15.75" customHeight="1">
      <c r="A2254" s="1">
        <v>2.8439474E7</v>
      </c>
      <c r="B2254" s="1" t="s">
        <v>9832</v>
      </c>
      <c r="C2254" s="1" t="s">
        <v>9833</v>
      </c>
      <c r="D2254" s="1" t="s">
        <v>9834</v>
      </c>
      <c r="F2254" s="1" t="str">
        <f>"1784785717"</f>
        <v>1784785717</v>
      </c>
      <c r="G2254" s="1" t="str">
        <f>"9781784785710"</f>
        <v>9781784785710</v>
      </c>
      <c r="H2254" s="1">
        <v>0.0</v>
      </c>
      <c r="I2254" s="1">
        <v>4.07</v>
      </c>
      <c r="J2254" s="1" t="s">
        <v>367</v>
      </c>
      <c r="K2254" s="1" t="s">
        <v>420</v>
      </c>
      <c r="L2254" s="1">
        <v>448.0</v>
      </c>
      <c r="M2254" s="1">
        <v>2016.0</v>
      </c>
      <c r="N2254" s="1">
        <v>2016.0</v>
      </c>
      <c r="P2254" s="3">
        <v>43038.0</v>
      </c>
      <c r="Q2254" s="1" t="s">
        <v>32</v>
      </c>
      <c r="R2254" s="1" t="s">
        <v>9835</v>
      </c>
      <c r="S2254" s="1" t="s">
        <v>32</v>
      </c>
      <c r="W2254" s="1">
        <v>0.0</v>
      </c>
      <c r="X2254" s="1">
        <v>0.0</v>
      </c>
    </row>
    <row r="2255" spans="1:24" ht="15.75" customHeight="1">
      <c r="A2255" s="1">
        <v>4.0113187E7</v>
      </c>
      <c r="B2255" s="1" t="s">
        <v>9836</v>
      </c>
      <c r="C2255" s="1" t="s">
        <v>9837</v>
      </c>
      <c r="D2255" s="1" t="s">
        <v>9838</v>
      </c>
      <c r="E2255" s="1" t="s">
        <v>9839</v>
      </c>
      <c r="F2255" s="1" t="str">
        <f>"157281912X"</f>
        <v>157281912X</v>
      </c>
      <c r="G2255" s="1" t="str">
        <f>"9781572819122"</f>
        <v>9781572819122</v>
      </c>
      <c r="H2255" s="1">
        <v>0.0</v>
      </c>
      <c r="I2255" s="1">
        <v>4.38</v>
      </c>
      <c r="J2255" s="1" t="s">
        <v>9840</v>
      </c>
      <c r="K2255" s="1" t="s">
        <v>37</v>
      </c>
      <c r="L2255" s="1">
        <v>440.0</v>
      </c>
      <c r="M2255" s="1">
        <v>2018.0</v>
      </c>
      <c r="P2255" s="2">
        <v>45087.0</v>
      </c>
      <c r="Q2255" s="1" t="s">
        <v>109</v>
      </c>
      <c r="R2255" s="1" t="s">
        <v>9841</v>
      </c>
      <c r="S2255" s="1" t="s">
        <v>32</v>
      </c>
      <c r="W2255" s="1">
        <v>0.0</v>
      </c>
      <c r="X2255" s="1">
        <v>0.0</v>
      </c>
    </row>
    <row r="2256" spans="1:24" ht="15.75" customHeight="1">
      <c r="A2256" s="1">
        <v>1228573.0</v>
      </c>
      <c r="B2256" s="1" t="s">
        <v>9842</v>
      </c>
      <c r="C2256" s="1" t="s">
        <v>9837</v>
      </c>
      <c r="D2256" s="1" t="s">
        <v>9838</v>
      </c>
      <c r="E2256" s="1" t="s">
        <v>9843</v>
      </c>
      <c r="F2256" s="1" t="str">
        <f>"157281540X"</f>
        <v>157281540X</v>
      </c>
      <c r="G2256" s="1" t="str">
        <f>"9781572815407"</f>
        <v>9781572815407</v>
      </c>
      <c r="H2256" s="1">
        <v>0.0</v>
      </c>
      <c r="I2256" s="1">
        <v>4.32</v>
      </c>
      <c r="J2256" s="1" t="s">
        <v>9844</v>
      </c>
      <c r="K2256" s="1" t="s">
        <v>37</v>
      </c>
      <c r="M2256" s="1">
        <v>2006.0</v>
      </c>
      <c r="N2256" s="1">
        <v>2005.0</v>
      </c>
      <c r="P2256" s="3">
        <v>44908.0</v>
      </c>
      <c r="Q2256" s="1" t="s">
        <v>32</v>
      </c>
      <c r="R2256" s="1" t="s">
        <v>9845</v>
      </c>
      <c r="S2256" s="1" t="s">
        <v>32</v>
      </c>
      <c r="W2256" s="1">
        <v>0.0</v>
      </c>
      <c r="X2256" s="1">
        <v>0.0</v>
      </c>
    </row>
    <row r="2257" spans="1:24" ht="15.75" customHeight="1">
      <c r="A2257" s="1">
        <v>1222549.0</v>
      </c>
      <c r="B2257" s="1" t="s">
        <v>9846</v>
      </c>
      <c r="C2257" s="1" t="s">
        <v>9847</v>
      </c>
      <c r="D2257" s="1" t="s">
        <v>9848</v>
      </c>
      <c r="E2257" s="1" t="s">
        <v>9849</v>
      </c>
      <c r="F2257" s="1" t="str">
        <f>"0862327911"</f>
        <v>0862327911</v>
      </c>
      <c r="G2257" s="1" t="str">
        <f>"9780862327910"</f>
        <v>9780862327910</v>
      </c>
      <c r="H2257" s="1">
        <v>0.0</v>
      </c>
      <c r="I2257" s="1">
        <v>4.0</v>
      </c>
      <c r="J2257" s="1" t="s">
        <v>4781</v>
      </c>
      <c r="K2257" s="1" t="s">
        <v>44</v>
      </c>
      <c r="L2257" s="1">
        <v>160.0</v>
      </c>
      <c r="M2257" s="1">
        <v>1988.0</v>
      </c>
      <c r="N2257" s="1">
        <v>1988.0</v>
      </c>
      <c r="P2257" s="3">
        <v>45271.0</v>
      </c>
      <c r="Q2257" s="1" t="s">
        <v>479</v>
      </c>
      <c r="R2257" s="1" t="s">
        <v>9850</v>
      </c>
      <c r="S2257" s="1" t="s">
        <v>32</v>
      </c>
      <c r="W2257" s="1">
        <v>0.0</v>
      </c>
      <c r="X2257" s="1">
        <v>0.0</v>
      </c>
    </row>
    <row r="2258" spans="1:24" ht="15.75" customHeight="1">
      <c r="A2258" s="1">
        <v>2.5937937E7</v>
      </c>
      <c r="B2258" s="1" t="s">
        <v>9851</v>
      </c>
      <c r="C2258" s="1" t="s">
        <v>9852</v>
      </c>
      <c r="D2258" s="1" t="s">
        <v>9853</v>
      </c>
      <c r="E2258" s="1" t="s">
        <v>737</v>
      </c>
      <c r="F2258" s="1" t="str">
        <f>"1101902752"</f>
        <v>1101902752</v>
      </c>
      <c r="G2258" s="1" t="str">
        <f>"9781101902752"</f>
        <v>9781101902752</v>
      </c>
      <c r="H2258" s="1">
        <v>0.0</v>
      </c>
      <c r="I2258" s="1">
        <v>4.13</v>
      </c>
      <c r="J2258" s="1" t="s">
        <v>5356</v>
      </c>
      <c r="K2258" s="1" t="s">
        <v>37</v>
      </c>
      <c r="L2258" s="1">
        <v>305.0</v>
      </c>
      <c r="M2258" s="1">
        <v>2016.0</v>
      </c>
      <c r="N2258" s="1">
        <v>2016.0</v>
      </c>
      <c r="P2258" s="2">
        <v>45164.0</v>
      </c>
      <c r="Q2258" s="1" t="s">
        <v>32</v>
      </c>
      <c r="R2258" s="1" t="s">
        <v>9854</v>
      </c>
      <c r="S2258" s="1" t="s">
        <v>32</v>
      </c>
      <c r="W2258" s="1">
        <v>0.0</v>
      </c>
      <c r="X2258" s="1">
        <v>0.0</v>
      </c>
    </row>
    <row r="2259" spans="1:24" ht="15.75" customHeight="1">
      <c r="A2259" s="1">
        <v>4.6114267E7</v>
      </c>
      <c r="B2259" s="1" t="s">
        <v>9855</v>
      </c>
      <c r="C2259" s="1" t="s">
        <v>9856</v>
      </c>
      <c r="D2259" s="1" t="s">
        <v>9857</v>
      </c>
      <c r="F2259" s="1" t="str">
        <f>"1524760838"</f>
        <v>1524760838</v>
      </c>
      <c r="G2259" s="1" t="str">
        <f>"9781524760830"</f>
        <v>9781524760830</v>
      </c>
      <c r="H2259" s="1">
        <v>0.0</v>
      </c>
      <c r="I2259" s="1">
        <v>4.3</v>
      </c>
      <c r="J2259" s="1" t="s">
        <v>5356</v>
      </c>
      <c r="K2259" s="1" t="s">
        <v>44</v>
      </c>
      <c r="L2259" s="1">
        <v>464.0</v>
      </c>
      <c r="M2259" s="1">
        <v>2019.0</v>
      </c>
      <c r="N2259" s="1">
        <v>2018.0</v>
      </c>
      <c r="P2259" s="2">
        <v>45132.0</v>
      </c>
      <c r="Q2259" s="1" t="s">
        <v>115</v>
      </c>
      <c r="R2259" s="1" t="s">
        <v>9858</v>
      </c>
      <c r="S2259" s="1" t="s">
        <v>32</v>
      </c>
      <c r="W2259" s="1">
        <v>0.0</v>
      </c>
      <c r="X2259" s="1">
        <v>1.0</v>
      </c>
    </row>
    <row r="2260" spans="1:24" ht="15.75" customHeight="1">
      <c r="A2260" s="1">
        <v>496975.0</v>
      </c>
      <c r="B2260" s="1" t="s">
        <v>9859</v>
      </c>
      <c r="C2260" s="1" t="s">
        <v>9856</v>
      </c>
      <c r="D2260" s="1" t="s">
        <v>9857</v>
      </c>
      <c r="F2260" s="1" t="str">
        <f>"0300110243"</f>
        <v>0300110243</v>
      </c>
      <c r="G2260" s="1" t="str">
        <f>"9780300110241"</f>
        <v>9780300110241</v>
      </c>
      <c r="H2260" s="1">
        <v>0.0</v>
      </c>
      <c r="I2260" s="1">
        <v>4.2</v>
      </c>
      <c r="J2260" s="1" t="s">
        <v>962</v>
      </c>
      <c r="K2260" s="1" t="s">
        <v>37</v>
      </c>
      <c r="L2260" s="1">
        <v>391.0</v>
      </c>
      <c r="M2260" s="1">
        <v>2005.0</v>
      </c>
      <c r="N2260" s="1">
        <v>2005.0</v>
      </c>
      <c r="P2260" s="2">
        <v>44255.0</v>
      </c>
      <c r="Q2260" s="1" t="s">
        <v>32</v>
      </c>
      <c r="R2260" s="1" t="s">
        <v>9860</v>
      </c>
      <c r="S2260" s="1" t="s">
        <v>32</v>
      </c>
      <c r="W2260" s="1">
        <v>0.0</v>
      </c>
      <c r="X2260" s="1">
        <v>0.0</v>
      </c>
    </row>
    <row r="2261" spans="1:24" ht="15.75" customHeight="1">
      <c r="A2261" s="1">
        <v>762359.0</v>
      </c>
      <c r="B2261" s="1" t="s">
        <v>9861</v>
      </c>
      <c r="C2261" s="1" t="s">
        <v>9862</v>
      </c>
      <c r="D2261" s="1" t="s">
        <v>9863</v>
      </c>
      <c r="E2261" s="1" t="s">
        <v>9864</v>
      </c>
      <c r="F2261" s="1" t="str">
        <f>"0192832719"</f>
        <v>0192832719</v>
      </c>
      <c r="G2261" s="1" t="str">
        <f>"9780192832719"</f>
        <v>9780192832719</v>
      </c>
      <c r="H2261" s="1">
        <v>0.0</v>
      </c>
      <c r="I2261" s="1">
        <v>4.02</v>
      </c>
      <c r="J2261" s="1" t="s">
        <v>181</v>
      </c>
      <c r="K2261" s="1" t="s">
        <v>44</v>
      </c>
      <c r="L2261" s="1">
        <v>448.0</v>
      </c>
      <c r="M2261" s="1">
        <v>2001.0</v>
      </c>
      <c r="N2261" s="1">
        <v>121.0</v>
      </c>
      <c r="P2261" s="2">
        <v>45113.0</v>
      </c>
      <c r="Q2261" s="1" t="s">
        <v>4539</v>
      </c>
      <c r="R2261" s="1" t="s">
        <v>9865</v>
      </c>
      <c r="S2261" s="1" t="s">
        <v>32</v>
      </c>
      <c r="W2261" s="1">
        <v>0.0</v>
      </c>
      <c r="X2261" s="1">
        <v>1.0</v>
      </c>
    </row>
    <row r="2262" spans="1:24" ht="15.75" customHeight="1">
      <c r="A2262" s="1">
        <v>6657509.0</v>
      </c>
      <c r="B2262" s="1" t="s">
        <v>9866</v>
      </c>
      <c r="C2262" s="1" t="s">
        <v>9867</v>
      </c>
      <c r="D2262" s="1" t="s">
        <v>9868</v>
      </c>
      <c r="F2262" s="1" t="str">
        <f>"1846682657"</f>
        <v>1846682657</v>
      </c>
      <c r="G2262" s="1" t="str">
        <f>"9781846682650"</f>
        <v>9781846682650</v>
      </c>
      <c r="H2262" s="1">
        <v>0.0</v>
      </c>
      <c r="I2262" s="1">
        <v>3.65</v>
      </c>
      <c r="J2262" s="1" t="s">
        <v>9869</v>
      </c>
      <c r="K2262" s="1" t="s">
        <v>37</v>
      </c>
      <c r="L2262" s="1">
        <v>236.0</v>
      </c>
      <c r="M2262" s="1">
        <v>2009.0</v>
      </c>
      <c r="N2262" s="1">
        <v>2009.0</v>
      </c>
      <c r="P2262" s="2">
        <v>45166.0</v>
      </c>
      <c r="Q2262" s="1" t="s">
        <v>32</v>
      </c>
      <c r="R2262" s="1" t="s">
        <v>9870</v>
      </c>
      <c r="S2262" s="1" t="s">
        <v>32</v>
      </c>
      <c r="W2262" s="1">
        <v>0.0</v>
      </c>
      <c r="X2262" s="1">
        <v>0.0</v>
      </c>
    </row>
    <row r="2263" spans="1:24" ht="15.75" customHeight="1">
      <c r="A2263" s="1">
        <v>2.3492504E7</v>
      </c>
      <c r="B2263" s="1" t="s">
        <v>9871</v>
      </c>
      <c r="C2263" s="1" t="s">
        <v>9872</v>
      </c>
      <c r="D2263" s="1" t="s">
        <v>9873</v>
      </c>
      <c r="F2263" s="1" t="str">
        <f>"1501106783"</f>
        <v>1501106783</v>
      </c>
      <c r="G2263" s="1" t="str">
        <f>"9781501106781"</f>
        <v>9781501106781</v>
      </c>
      <c r="H2263" s="1">
        <v>0.0</v>
      </c>
      <c r="I2263" s="1">
        <v>3.77</v>
      </c>
      <c r="J2263" s="1" t="s">
        <v>4853</v>
      </c>
      <c r="K2263" s="1" t="s">
        <v>37</v>
      </c>
      <c r="L2263" s="1">
        <v>371.0</v>
      </c>
      <c r="M2263" s="1">
        <v>2015.0</v>
      </c>
      <c r="N2263" s="1">
        <v>2014.0</v>
      </c>
      <c r="P2263" s="2">
        <v>42345.0</v>
      </c>
      <c r="Q2263" s="1" t="s">
        <v>32</v>
      </c>
      <c r="R2263" s="1" t="s">
        <v>9874</v>
      </c>
      <c r="S2263" s="1" t="s">
        <v>32</v>
      </c>
      <c r="W2263" s="1">
        <v>0.0</v>
      </c>
      <c r="X2263" s="1">
        <v>0.0</v>
      </c>
    </row>
    <row r="2264" spans="1:24" ht="15.75" customHeight="1">
      <c r="A2264" s="1">
        <v>254497.0</v>
      </c>
      <c r="B2264" s="1" t="s">
        <v>9875</v>
      </c>
      <c r="C2264" s="1" t="s">
        <v>9876</v>
      </c>
      <c r="D2264" s="1" t="s">
        <v>9877</v>
      </c>
      <c r="F2264" s="1" t="str">
        <f>"0192805851"</f>
        <v>0192805851</v>
      </c>
      <c r="G2264" s="1" t="str">
        <f>"9780192805850"</f>
        <v>9780192805850</v>
      </c>
      <c r="H2264" s="1">
        <v>0.0</v>
      </c>
      <c r="I2264" s="1">
        <v>3.82</v>
      </c>
      <c r="J2264" s="1" t="s">
        <v>181</v>
      </c>
      <c r="K2264" s="1" t="s">
        <v>44</v>
      </c>
      <c r="L2264" s="1">
        <v>146.0</v>
      </c>
      <c r="M2264" s="1">
        <v>2005.0</v>
      </c>
      <c r="N2264" s="1">
        <v>2003.0</v>
      </c>
      <c r="P2264" s="2">
        <v>45167.0</v>
      </c>
      <c r="Q2264" s="1" t="s">
        <v>32</v>
      </c>
      <c r="R2264" s="1" t="s">
        <v>9878</v>
      </c>
      <c r="S2264" s="1" t="s">
        <v>32</v>
      </c>
      <c r="W2264" s="1">
        <v>0.0</v>
      </c>
      <c r="X2264" s="1">
        <v>0.0</v>
      </c>
    </row>
    <row r="2265" spans="1:24" ht="15.75" customHeight="1">
      <c r="A2265" s="1">
        <v>9160457.0</v>
      </c>
      <c r="B2265" s="1" t="s">
        <v>9879</v>
      </c>
      <c r="C2265" s="1" t="s">
        <v>9876</v>
      </c>
      <c r="D2265" s="1" t="s">
        <v>9877</v>
      </c>
      <c r="F2265" s="1" t="str">
        <f>"144410487X"</f>
        <v>144410487X</v>
      </c>
      <c r="G2265" s="1" t="str">
        <f>"9781444104875"</f>
        <v>9781444104875</v>
      </c>
      <c r="H2265" s="1">
        <v>0.0</v>
      </c>
      <c r="I2265" s="1">
        <v>4.16</v>
      </c>
      <c r="J2265" s="1" t="s">
        <v>9880</v>
      </c>
      <c r="K2265" s="1" t="s">
        <v>44</v>
      </c>
      <c r="L2265" s="1">
        <v>496.0</v>
      </c>
      <c r="M2265" s="1">
        <v>2007.0</v>
      </c>
      <c r="N2265" s="1">
        <v>2003.0</v>
      </c>
      <c r="P2265" s="2">
        <v>45167.0</v>
      </c>
      <c r="Q2265" s="1" t="s">
        <v>32</v>
      </c>
      <c r="R2265" s="1" t="s">
        <v>9881</v>
      </c>
      <c r="S2265" s="1" t="s">
        <v>32</v>
      </c>
      <c r="W2265" s="1">
        <v>0.0</v>
      </c>
      <c r="X2265" s="1">
        <v>0.0</v>
      </c>
    </row>
    <row r="2266" spans="1:24" ht="15.75" customHeight="1">
      <c r="A2266" s="1">
        <v>534092.0</v>
      </c>
      <c r="B2266" s="1" t="s">
        <v>9882</v>
      </c>
      <c r="C2266" s="1" t="s">
        <v>9883</v>
      </c>
      <c r="D2266" s="1" t="s">
        <v>9884</v>
      </c>
      <c r="E2266" s="1" t="s">
        <v>9885</v>
      </c>
      <c r="F2266" s="1" t="str">
        <f>"0060928972"</f>
        <v>0060928972</v>
      </c>
      <c r="G2266" s="1" t="str">
        <f>"9780060928971"</f>
        <v>9780060928971</v>
      </c>
      <c r="H2266" s="1">
        <v>0.0</v>
      </c>
      <c r="I2266" s="1">
        <v>4.1</v>
      </c>
      <c r="J2266" s="1" t="s">
        <v>9886</v>
      </c>
      <c r="K2266" s="1" t="s">
        <v>44</v>
      </c>
      <c r="L2266" s="1">
        <v>272.0</v>
      </c>
      <c r="M2266" s="1">
        <v>2019.0</v>
      </c>
      <c r="N2266" s="1">
        <v>1997.0</v>
      </c>
      <c r="P2266" s="2">
        <v>45173.0</v>
      </c>
      <c r="Q2266" s="1" t="s">
        <v>32</v>
      </c>
      <c r="R2266" s="1" t="s">
        <v>9887</v>
      </c>
      <c r="S2266" s="1" t="s">
        <v>32</v>
      </c>
      <c r="W2266" s="1">
        <v>0.0</v>
      </c>
      <c r="X2266" s="1">
        <v>0.0</v>
      </c>
    </row>
    <row r="2267" spans="1:24" ht="15.75" customHeight="1">
      <c r="A2267" s="1">
        <v>161812.0</v>
      </c>
      <c r="B2267" s="1" t="s">
        <v>9888</v>
      </c>
      <c r="C2267" s="1" t="s">
        <v>9889</v>
      </c>
      <c r="D2267" s="1" t="s">
        <v>9890</v>
      </c>
      <c r="F2267" s="1" t="str">
        <f>"0691117926"</f>
        <v>0691117926</v>
      </c>
      <c r="G2267" s="1" t="str">
        <f>"9780691117928"</f>
        <v>9780691117928</v>
      </c>
      <c r="H2267" s="1">
        <v>0.0</v>
      </c>
      <c r="I2267" s="1">
        <v>4.05</v>
      </c>
      <c r="J2267" s="1" t="s">
        <v>1011</v>
      </c>
      <c r="K2267" s="1" t="s">
        <v>44</v>
      </c>
      <c r="L2267" s="1">
        <v>384.0</v>
      </c>
      <c r="M2267" s="1">
        <v>2004.0</v>
      </c>
      <c r="N2267" s="1">
        <v>2002.0</v>
      </c>
      <c r="P2267" s="2">
        <v>45176.0</v>
      </c>
      <c r="Q2267" s="1" t="s">
        <v>32</v>
      </c>
      <c r="R2267" s="1" t="s">
        <v>9891</v>
      </c>
      <c r="S2267" s="1" t="s">
        <v>32</v>
      </c>
      <c r="W2267" s="1">
        <v>0.0</v>
      </c>
      <c r="X2267" s="1">
        <v>0.0</v>
      </c>
    </row>
    <row r="2268" spans="1:24" ht="15.75" customHeight="1">
      <c r="A2268" s="1">
        <v>3.9507318E7</v>
      </c>
      <c r="B2268" s="1" t="s">
        <v>9892</v>
      </c>
      <c r="C2268" s="1" t="s">
        <v>9893</v>
      </c>
      <c r="D2268" s="1" t="s">
        <v>9894</v>
      </c>
      <c r="F2268" s="1" t="str">
        <f>"1476740186"</f>
        <v>1476740186</v>
      </c>
      <c r="G2268" s="1" t="str">
        <f>"9781476740188"</f>
        <v>9781476740188</v>
      </c>
      <c r="H2268" s="1">
        <v>0.0</v>
      </c>
      <c r="I2268" s="1">
        <v>3.89</v>
      </c>
      <c r="J2268" s="1" t="s">
        <v>622</v>
      </c>
      <c r="K2268" s="1" t="s">
        <v>37</v>
      </c>
      <c r="L2268" s="1">
        <v>317.0</v>
      </c>
      <c r="M2268" s="1">
        <v>2018.0</v>
      </c>
      <c r="N2268" s="1">
        <v>2018.0</v>
      </c>
      <c r="P2268" s="2">
        <v>45143.0</v>
      </c>
      <c r="Q2268" s="1" t="s">
        <v>32</v>
      </c>
      <c r="R2268" s="1" t="s">
        <v>9895</v>
      </c>
      <c r="S2268" s="1" t="s">
        <v>32</v>
      </c>
      <c r="W2268" s="1">
        <v>0.0</v>
      </c>
      <c r="X2268" s="1">
        <v>0.0</v>
      </c>
    </row>
    <row r="2269" spans="1:24" ht="15.75" customHeight="1">
      <c r="A2269" s="1">
        <v>52375.0</v>
      </c>
      <c r="B2269" s="1" t="s">
        <v>9896</v>
      </c>
      <c r="C2269" s="1" t="s">
        <v>9897</v>
      </c>
      <c r="D2269" s="1" t="s">
        <v>9898</v>
      </c>
      <c r="F2269" s="1" t="str">
        <f>"0312420137"</f>
        <v>0312420137</v>
      </c>
      <c r="G2269" s="1" t="str">
        <f>"9780312420130"</f>
        <v>9780312420130</v>
      </c>
      <c r="H2269" s="1">
        <v>0.0</v>
      </c>
      <c r="I2269" s="1">
        <v>3.99</v>
      </c>
      <c r="J2269" s="1" t="s">
        <v>1006</v>
      </c>
      <c r="K2269" s="1" t="s">
        <v>44</v>
      </c>
      <c r="L2269" s="1">
        <v>183.0</v>
      </c>
      <c r="M2269" s="1">
        <v>2001.0</v>
      </c>
      <c r="N2269" s="1">
        <v>1989.0</v>
      </c>
      <c r="P2269" s="2">
        <v>45166.0</v>
      </c>
      <c r="Q2269" s="1" t="s">
        <v>479</v>
      </c>
      <c r="R2269" s="1" t="s">
        <v>9899</v>
      </c>
      <c r="S2269" s="1" t="s">
        <v>32</v>
      </c>
      <c r="W2269" s="1">
        <v>0.0</v>
      </c>
      <c r="X2269" s="1">
        <v>0.0</v>
      </c>
    </row>
    <row r="2270" spans="1:24" ht="15.75" customHeight="1">
      <c r="A2270" s="1">
        <v>52373.0</v>
      </c>
      <c r="B2270" s="1" t="s">
        <v>9900</v>
      </c>
      <c r="C2270" s="1" t="s">
        <v>9897</v>
      </c>
      <c r="D2270" s="1" t="s">
        <v>9898</v>
      </c>
      <c r="F2270" s="1" t="str">
        <f>"0141012374"</f>
        <v>0141012374</v>
      </c>
      <c r="G2270" s="1" t="str">
        <f>"9780141012377"</f>
        <v>9780141012377</v>
      </c>
      <c r="H2270" s="1">
        <v>0.0</v>
      </c>
      <c r="I2270" s="1">
        <v>4.09</v>
      </c>
      <c r="J2270" s="1" t="s">
        <v>9901</v>
      </c>
      <c r="K2270" s="1" t="s">
        <v>44</v>
      </c>
      <c r="L2270" s="1">
        <v>117.0</v>
      </c>
      <c r="M2270" s="1">
        <v>2004.0</v>
      </c>
      <c r="N2270" s="1">
        <v>2003.0</v>
      </c>
      <c r="P2270" s="2">
        <v>42822.0</v>
      </c>
      <c r="Q2270" s="1" t="s">
        <v>9902</v>
      </c>
      <c r="R2270" s="1" t="s">
        <v>9903</v>
      </c>
      <c r="S2270" s="1" t="s">
        <v>32</v>
      </c>
      <c r="W2270" s="1">
        <v>0.0</v>
      </c>
      <c r="X2270" s="1">
        <v>0.0</v>
      </c>
    </row>
    <row r="2271" spans="1:24" ht="15.75" customHeight="1">
      <c r="A2271" s="1">
        <v>1.2160851E7</v>
      </c>
      <c r="B2271" s="1" t="s">
        <v>9904</v>
      </c>
      <c r="C2271" s="1" t="s">
        <v>9897</v>
      </c>
      <c r="D2271" s="1" t="s">
        <v>9898</v>
      </c>
      <c r="E2271" s="1" t="s">
        <v>9905</v>
      </c>
      <c r="F2271" s="1" t="str">
        <f>"0374100764"</f>
        <v>0374100764</v>
      </c>
      <c r="G2271" s="1" t="str">
        <f>"9780374100766"</f>
        <v>9780374100766</v>
      </c>
      <c r="H2271" s="1">
        <v>0.0</v>
      </c>
      <c r="I2271" s="1">
        <v>4.07</v>
      </c>
      <c r="J2271" s="1" t="s">
        <v>438</v>
      </c>
      <c r="K2271" s="1" t="s">
        <v>37</v>
      </c>
      <c r="L2271" s="1">
        <v>523.0</v>
      </c>
      <c r="M2271" s="1">
        <v>2012.0</v>
      </c>
      <c r="N2271" s="1">
        <v>2012.0</v>
      </c>
      <c r="P2271" s="3">
        <v>43419.0</v>
      </c>
      <c r="Q2271" s="1" t="s">
        <v>788</v>
      </c>
      <c r="R2271" s="1" t="s">
        <v>9906</v>
      </c>
      <c r="S2271" s="1" t="s">
        <v>32</v>
      </c>
      <c r="W2271" s="1">
        <v>0.0</v>
      </c>
      <c r="X2271" s="1">
        <v>1.0</v>
      </c>
    </row>
    <row r="2272" spans="1:24" ht="15.75" customHeight="1">
      <c r="A2272" s="33">
        <v>52374.0</v>
      </c>
      <c r="B2272" s="33" t="s">
        <v>9907</v>
      </c>
      <c r="C2272" s="33" t="s">
        <v>9897</v>
      </c>
      <c r="D2272" s="33" t="s">
        <v>9898</v>
      </c>
      <c r="E2272" s="34"/>
      <c r="F2272" s="33" t="str">
        <f>"0312280866"</f>
        <v>0312280866</v>
      </c>
      <c r="G2272" s="33" t="str">
        <f>"9780312280864"</f>
        <v>9780312280864</v>
      </c>
      <c r="H2272" s="33">
        <v>0.0</v>
      </c>
      <c r="I2272" s="33">
        <v>4.15</v>
      </c>
      <c r="J2272" s="33" t="s">
        <v>1006</v>
      </c>
      <c r="K2272" s="33" t="s">
        <v>44</v>
      </c>
      <c r="L2272" s="33">
        <v>312.0</v>
      </c>
      <c r="M2272" s="33">
        <v>2001.0</v>
      </c>
      <c r="N2272" s="33">
        <v>1964.0</v>
      </c>
      <c r="O2272" s="34"/>
      <c r="P2272" s="35">
        <v>45173.0</v>
      </c>
      <c r="Q2272" s="36" t="s">
        <v>9081</v>
      </c>
      <c r="R2272" s="33" t="s">
        <v>9909</v>
      </c>
      <c r="S2272" s="33" t="s">
        <v>32</v>
      </c>
      <c r="T2272" s="34"/>
      <c r="U2272" s="34"/>
      <c r="V2272" s="34"/>
      <c r="W2272" s="33">
        <v>0.0</v>
      </c>
      <c r="X2272" s="33">
        <v>0.0</v>
      </c>
    </row>
    <row r="2273" spans="1:24" ht="15.75" customHeight="1">
      <c r="A2273" s="33">
        <v>52376.0</v>
      </c>
      <c r="B2273" s="33" t="s">
        <v>9910</v>
      </c>
      <c r="C2273" s="33" t="s">
        <v>9897</v>
      </c>
      <c r="D2273" s="33" t="s">
        <v>9898</v>
      </c>
      <c r="E2273" s="34"/>
      <c r="F2273" s="33" t="str">
        <f>"0312273207"</f>
        <v>0312273207</v>
      </c>
      <c r="G2273" s="33" t="str">
        <f>"9780312273200"</f>
        <v>9780312273200</v>
      </c>
      <c r="H2273" s="33">
        <v>0.0</v>
      </c>
      <c r="I2273" s="33">
        <v>3.34</v>
      </c>
      <c r="J2273" s="33" t="s">
        <v>9911</v>
      </c>
      <c r="K2273" s="33" t="s">
        <v>44</v>
      </c>
      <c r="L2273" s="33">
        <v>398.0</v>
      </c>
      <c r="M2273" s="33">
        <v>2001.0</v>
      </c>
      <c r="N2273" s="33">
        <v>2000.0</v>
      </c>
      <c r="O2273" s="34"/>
      <c r="P2273" s="35">
        <v>45154.0</v>
      </c>
      <c r="Q2273" s="36" t="s">
        <v>9081</v>
      </c>
      <c r="R2273" s="33" t="s">
        <v>9912</v>
      </c>
      <c r="S2273" s="33" t="s">
        <v>32</v>
      </c>
      <c r="T2273" s="34"/>
      <c r="U2273" s="34"/>
      <c r="V2273" s="34"/>
      <c r="W2273" s="33">
        <v>0.0</v>
      </c>
      <c r="X2273" s="33">
        <v>0.0</v>
      </c>
    </row>
    <row r="2274" spans="1:24" ht="15.75" customHeight="1">
      <c r="A2274" s="33">
        <v>52380.0</v>
      </c>
      <c r="B2274" s="33" t="s">
        <v>9913</v>
      </c>
      <c r="C2274" s="33" t="s">
        <v>9897</v>
      </c>
      <c r="D2274" s="33" t="s">
        <v>9898</v>
      </c>
      <c r="E2274" s="34"/>
      <c r="F2274" s="33" t="str">
        <f>""</f>
        <v/>
      </c>
      <c r="G2274" s="33" t="str">
        <f>"9780312420072"</f>
        <v>9780312420072</v>
      </c>
      <c r="H2274" s="33">
        <v>0.0</v>
      </c>
      <c r="I2274" s="33">
        <v>3.64</v>
      </c>
      <c r="J2274" s="33" t="s">
        <v>1006</v>
      </c>
      <c r="K2274" s="33" t="s">
        <v>44</v>
      </c>
      <c r="L2274" s="33">
        <v>432.0</v>
      </c>
      <c r="M2274" s="33">
        <v>2004.0</v>
      </c>
      <c r="N2274" s="33">
        <v>1992.0</v>
      </c>
      <c r="O2274" s="34"/>
      <c r="P2274" s="35">
        <v>45154.0</v>
      </c>
      <c r="Q2274" s="36" t="s">
        <v>9081</v>
      </c>
      <c r="R2274" s="33" t="s">
        <v>9914</v>
      </c>
      <c r="S2274" s="33" t="s">
        <v>32</v>
      </c>
      <c r="T2274" s="34"/>
      <c r="U2274" s="34"/>
      <c r="V2274" s="34"/>
      <c r="W2274" s="33">
        <v>0.0</v>
      </c>
      <c r="X2274" s="33">
        <v>0.0</v>
      </c>
    </row>
    <row r="2275" spans="1:24" ht="15.75" customHeight="1">
      <c r="A2275" s="1">
        <v>1.19029466E8</v>
      </c>
      <c r="B2275" s="1" t="s">
        <v>9915</v>
      </c>
      <c r="C2275" s="1" t="s">
        <v>9916</v>
      </c>
      <c r="D2275" s="1" t="s">
        <v>9917</v>
      </c>
      <c r="E2275" s="1" t="s">
        <v>9918</v>
      </c>
      <c r="F2275" s="1" t="str">
        <f>"1681376946"</f>
        <v>1681376946</v>
      </c>
      <c r="G2275" s="1" t="str">
        <f>"9781681376943"</f>
        <v>9781681376943</v>
      </c>
      <c r="H2275" s="1">
        <v>0.0</v>
      </c>
      <c r="I2275" s="1">
        <v>3.83</v>
      </c>
      <c r="J2275" s="1" t="s">
        <v>204</v>
      </c>
      <c r="K2275" s="1" t="s">
        <v>44</v>
      </c>
      <c r="L2275" s="1">
        <v>240.0</v>
      </c>
      <c r="M2275" s="1">
        <v>2023.0</v>
      </c>
      <c r="P2275" s="2">
        <v>45102.0</v>
      </c>
      <c r="Q2275" s="1" t="s">
        <v>818</v>
      </c>
      <c r="R2275" s="1" t="s">
        <v>9919</v>
      </c>
      <c r="S2275" s="1" t="s">
        <v>32</v>
      </c>
      <c r="W2275" s="1">
        <v>0.0</v>
      </c>
      <c r="X2275" s="1">
        <v>1.0</v>
      </c>
    </row>
    <row r="2276" spans="1:24" ht="15.75" customHeight="1">
      <c r="A2276" s="128">
        <v>1.19029471E8</v>
      </c>
      <c r="B2276" s="128" t="s">
        <v>9915</v>
      </c>
      <c r="C2276" s="128" t="s">
        <v>9916</v>
      </c>
      <c r="D2276" s="128" t="s">
        <v>9917</v>
      </c>
      <c r="E2276" s="128" t="s">
        <v>9918</v>
      </c>
      <c r="F2276" s="128" t="str">
        <f>"1681376954"</f>
        <v>1681376954</v>
      </c>
      <c r="G2276" s="128" t="str">
        <f>"9781681376950"</f>
        <v>9781681376950</v>
      </c>
      <c r="H2276" s="128">
        <v>0.0</v>
      </c>
      <c r="I2276" s="128">
        <v>3.83</v>
      </c>
      <c r="J2276" s="128" t="s">
        <v>204</v>
      </c>
      <c r="K2276" s="128" t="s">
        <v>29</v>
      </c>
      <c r="L2276" s="128">
        <v>241.0</v>
      </c>
      <c r="M2276" s="128">
        <v>2023.0</v>
      </c>
      <c r="N2276" s="129"/>
      <c r="O2276" s="129"/>
      <c r="P2276" s="130">
        <v>45113.0</v>
      </c>
      <c r="Q2276" s="131" t="s">
        <v>9908</v>
      </c>
      <c r="R2276" s="128" t="s">
        <v>9920</v>
      </c>
      <c r="S2276" s="128" t="s">
        <v>32</v>
      </c>
      <c r="T2276" s="129"/>
      <c r="U2276" s="129"/>
      <c r="V2276" s="129"/>
      <c r="W2276" s="128">
        <v>0.0</v>
      </c>
      <c r="X2276" s="128">
        <v>0.0</v>
      </c>
    </row>
    <row r="2277" spans="1:24" ht="15.75" customHeight="1">
      <c r="A2277" s="128">
        <v>5.3244193E7</v>
      </c>
      <c r="B2277" s="128" t="s">
        <v>9921</v>
      </c>
      <c r="C2277" s="128" t="s">
        <v>9916</v>
      </c>
      <c r="D2277" s="128" t="s">
        <v>9917</v>
      </c>
      <c r="E2277" s="128" t="s">
        <v>9905</v>
      </c>
      <c r="F2277" s="128" t="str">
        <f>""</f>
        <v/>
      </c>
      <c r="G2277" s="128" t="str">
        <f>"9781681374949"</f>
        <v>9781681374949</v>
      </c>
      <c r="H2277" s="128">
        <v>0.0</v>
      </c>
      <c r="I2277" s="128">
        <v>3.65</v>
      </c>
      <c r="J2277" s="128" t="s">
        <v>823</v>
      </c>
      <c r="K2277" s="128" t="s">
        <v>44</v>
      </c>
      <c r="L2277" s="128">
        <v>288.0</v>
      </c>
      <c r="M2277" s="128">
        <v>2020.0</v>
      </c>
      <c r="N2277" s="128">
        <v>1969.0</v>
      </c>
      <c r="O2277" s="129"/>
      <c r="P2277" s="130">
        <v>45102.0</v>
      </c>
      <c r="Q2277" s="131" t="s">
        <v>9908</v>
      </c>
      <c r="R2277" s="128" t="s">
        <v>9922</v>
      </c>
      <c r="S2277" s="128" t="s">
        <v>32</v>
      </c>
      <c r="T2277" s="129"/>
      <c r="U2277" s="129"/>
      <c r="V2277" s="129"/>
      <c r="W2277" s="128">
        <v>0.0</v>
      </c>
      <c r="X2277" s="128">
        <v>0.0</v>
      </c>
    </row>
    <row r="2278" spans="1:24" ht="15.75" customHeight="1">
      <c r="A2278" s="1">
        <v>98048.0</v>
      </c>
      <c r="B2278" s="1" t="s">
        <v>9923</v>
      </c>
      <c r="C2278" s="1" t="s">
        <v>9924</v>
      </c>
      <c r="D2278" s="1" t="s">
        <v>9925</v>
      </c>
      <c r="F2278" s="1" t="str">
        <f>"0142001821"</f>
        <v>0142001821</v>
      </c>
      <c r="G2278" s="1" t="str">
        <f>"9780142001820"</f>
        <v>9780142001820</v>
      </c>
      <c r="H2278" s="1">
        <v>0.0</v>
      </c>
      <c r="I2278" s="1">
        <v>3.9</v>
      </c>
      <c r="J2278" s="1" t="s">
        <v>309</v>
      </c>
      <c r="K2278" s="1" t="s">
        <v>44</v>
      </c>
      <c r="L2278" s="1">
        <v>315.0</v>
      </c>
      <c r="M2278" s="1">
        <v>2003.0</v>
      </c>
      <c r="N2278" s="1">
        <v>2001.0</v>
      </c>
      <c r="P2278" s="2">
        <v>44804.0</v>
      </c>
      <c r="Q2278" s="1" t="s">
        <v>502</v>
      </c>
      <c r="R2278" s="1" t="s">
        <v>9926</v>
      </c>
      <c r="S2278" s="1" t="s">
        <v>32</v>
      </c>
      <c r="W2278" s="1">
        <v>0.0</v>
      </c>
      <c r="X2278" s="1">
        <v>0.0</v>
      </c>
    </row>
    <row r="2279" spans="1:24" ht="15.75" customHeight="1">
      <c r="A2279" s="1">
        <v>5.0202953E7</v>
      </c>
      <c r="B2279" s="1" t="s">
        <v>9927</v>
      </c>
      <c r="C2279" s="1" t="s">
        <v>9928</v>
      </c>
      <c r="D2279" s="1" t="s">
        <v>9929</v>
      </c>
      <c r="F2279" s="1" t="str">
        <f>"163557563X"</f>
        <v>163557563X</v>
      </c>
      <c r="G2279" s="1" t="str">
        <f>"9781635575637"</f>
        <v>9781635575637</v>
      </c>
      <c r="H2279" s="1">
        <v>0.0</v>
      </c>
      <c r="I2279" s="1">
        <v>4.23</v>
      </c>
      <c r="J2279" s="1" t="s">
        <v>260</v>
      </c>
      <c r="K2279" s="1" t="s">
        <v>37</v>
      </c>
      <c r="L2279" s="1">
        <v>272.0</v>
      </c>
      <c r="M2279" s="1">
        <v>2020.0</v>
      </c>
      <c r="N2279" s="1">
        <v>2020.0</v>
      </c>
      <c r="P2279" s="2">
        <v>45134.0</v>
      </c>
      <c r="Q2279" s="1" t="s">
        <v>32</v>
      </c>
      <c r="R2279" s="1" t="s">
        <v>9930</v>
      </c>
      <c r="S2279" s="1" t="s">
        <v>32</v>
      </c>
      <c r="W2279" s="1">
        <v>0.0</v>
      </c>
      <c r="X2279" s="1">
        <v>0.0</v>
      </c>
    </row>
    <row r="2280" spans="1:24" ht="15.75" customHeight="1">
      <c r="A2280" s="1">
        <v>68783.0</v>
      </c>
      <c r="B2280" s="1" t="s">
        <v>9931</v>
      </c>
      <c r="C2280" s="1" t="s">
        <v>9932</v>
      </c>
      <c r="D2280" s="1" t="s">
        <v>9933</v>
      </c>
      <c r="F2280" s="1" t="str">
        <f>"0679746048"</f>
        <v>0679746048</v>
      </c>
      <c r="G2280" s="1" t="str">
        <f>"9780679746041"</f>
        <v>9780679746041</v>
      </c>
      <c r="H2280" s="1">
        <v>0.0</v>
      </c>
      <c r="I2280" s="1">
        <v>3.93</v>
      </c>
      <c r="J2280" s="1" t="s">
        <v>69</v>
      </c>
      <c r="K2280" s="1" t="s">
        <v>44</v>
      </c>
      <c r="L2280" s="1">
        <v>169.0</v>
      </c>
      <c r="M2280" s="1">
        <v>1994.0</v>
      </c>
      <c r="N2280" s="1">
        <v>1993.0</v>
      </c>
      <c r="P2280" s="2">
        <v>40915.0</v>
      </c>
      <c r="Q2280" s="1" t="s">
        <v>502</v>
      </c>
      <c r="R2280" s="1" t="s">
        <v>9934</v>
      </c>
      <c r="S2280" s="1" t="s">
        <v>32</v>
      </c>
      <c r="W2280" s="1">
        <v>0.0</v>
      </c>
      <c r="X2280" s="1">
        <v>0.0</v>
      </c>
    </row>
    <row r="2281" spans="1:24" ht="15.75" customHeight="1">
      <c r="A2281" s="1">
        <v>1.354718E7</v>
      </c>
      <c r="B2281" s="1" t="s">
        <v>9935</v>
      </c>
      <c r="C2281" s="1" t="s">
        <v>9936</v>
      </c>
      <c r="D2281" s="1" t="s">
        <v>9937</v>
      </c>
      <c r="F2281" s="1" t="str">
        <f>"145162137X"</f>
        <v>145162137X</v>
      </c>
      <c r="G2281" s="1" t="str">
        <f>"9781451621372"</f>
        <v>9781451621372</v>
      </c>
      <c r="H2281" s="1">
        <v>0.0</v>
      </c>
      <c r="I2281" s="1">
        <v>4.08</v>
      </c>
      <c r="J2281" s="1" t="s">
        <v>535</v>
      </c>
      <c r="K2281" s="1" t="s">
        <v>37</v>
      </c>
      <c r="L2281" s="1">
        <v>250.0</v>
      </c>
      <c r="M2281" s="1">
        <v>2012.0</v>
      </c>
      <c r="N2281" s="1">
        <v>2012.0</v>
      </c>
      <c r="P2281" s="3">
        <v>41231.0</v>
      </c>
      <c r="Q2281" s="1" t="s">
        <v>32</v>
      </c>
      <c r="R2281" s="1" t="s">
        <v>9938</v>
      </c>
      <c r="S2281" s="1" t="s">
        <v>32</v>
      </c>
      <c r="W2281" s="1">
        <v>0.0</v>
      </c>
      <c r="X2281" s="1">
        <v>0.0</v>
      </c>
    </row>
    <row r="2282" spans="1:24" ht="15.75" customHeight="1">
      <c r="A2282" s="1">
        <v>1.5997779E7</v>
      </c>
      <c r="B2282" s="1" t="s">
        <v>9939</v>
      </c>
      <c r="C2282" s="1" t="s">
        <v>9940</v>
      </c>
      <c r="D2282" s="1" t="s">
        <v>9941</v>
      </c>
      <c r="F2282" s="1" t="str">
        <f t="shared" si="168" ref="F2282:G2282">""</f>
        <v/>
      </c>
      <c r="G2282" s="1" t="str">
        <f t="shared" si="168"/>
        <v/>
      </c>
      <c r="H2282" s="1">
        <v>0.0</v>
      </c>
      <c r="I2282" s="1">
        <v>3.94</v>
      </c>
      <c r="J2282" s="1" t="s">
        <v>9942</v>
      </c>
      <c r="K2282" s="1" t="s">
        <v>29</v>
      </c>
      <c r="L2282" s="1">
        <v>233.0</v>
      </c>
      <c r="M2282" s="1">
        <v>2015.0</v>
      </c>
      <c r="N2282" s="1">
        <v>2012.0</v>
      </c>
      <c r="P2282" s="2">
        <v>45146.0</v>
      </c>
      <c r="Q2282" s="1" t="s">
        <v>32</v>
      </c>
      <c r="R2282" s="1" t="s">
        <v>9943</v>
      </c>
      <c r="S2282" s="1" t="s">
        <v>32</v>
      </c>
      <c r="W2282" s="1">
        <v>0.0</v>
      </c>
      <c r="X2282" s="1">
        <v>0.0</v>
      </c>
    </row>
    <row r="2283" spans="1:24" ht="15.75" customHeight="1">
      <c r="A2283" s="1">
        <v>7701560.0</v>
      </c>
      <c r="B2283" s="1" t="s">
        <v>9944</v>
      </c>
      <c r="C2283" s="1" t="s">
        <v>9945</v>
      </c>
      <c r="D2283" s="1" t="s">
        <v>9946</v>
      </c>
      <c r="F2283" s="1" t="str">
        <f>"0982237634"</f>
        <v>0982237634</v>
      </c>
      <c r="G2283" s="1" t="str">
        <f>"9780982237632"</f>
        <v>9780982237632</v>
      </c>
      <c r="H2283" s="1">
        <v>0.0</v>
      </c>
      <c r="I2283" s="1">
        <v>4.17</v>
      </c>
      <c r="J2283" s="1" t="s">
        <v>9947</v>
      </c>
      <c r="K2283" s="1" t="s">
        <v>44</v>
      </c>
      <c r="L2283" s="1">
        <v>104.0</v>
      </c>
      <c r="M2283" s="1">
        <v>2010.0</v>
      </c>
      <c r="N2283" s="1">
        <v>2010.0</v>
      </c>
      <c r="P2283" s="2">
        <v>44980.0</v>
      </c>
      <c r="Q2283" s="1" t="s">
        <v>32</v>
      </c>
      <c r="R2283" s="1" t="s">
        <v>9948</v>
      </c>
      <c r="S2283" s="1" t="s">
        <v>32</v>
      </c>
      <c r="W2283" s="1">
        <v>0.0</v>
      </c>
      <c r="X2283" s="1">
        <v>0.0</v>
      </c>
    </row>
    <row r="2284" spans="1:24" ht="15.75" customHeight="1">
      <c r="A2284" s="1">
        <v>1.5759676E7</v>
      </c>
      <c r="B2284" s="1" t="s">
        <v>9949</v>
      </c>
      <c r="C2284" s="1" t="s">
        <v>9950</v>
      </c>
      <c r="D2284" s="1" t="s">
        <v>9951</v>
      </c>
      <c r="F2284" s="1" t="str">
        <f>"0984469354"</f>
        <v>0984469354</v>
      </c>
      <c r="G2284" s="1" t="str">
        <f>"9780984469352"</f>
        <v>9780984469352</v>
      </c>
      <c r="H2284" s="1">
        <v>0.0</v>
      </c>
      <c r="I2284" s="1">
        <v>3.84</v>
      </c>
      <c r="J2284" s="1" t="s">
        <v>9952</v>
      </c>
      <c r="K2284" s="1" t="s">
        <v>44</v>
      </c>
      <c r="L2284" s="1">
        <v>160.0</v>
      </c>
      <c r="M2284" s="1">
        <v>2012.0</v>
      </c>
      <c r="N2284" s="1">
        <v>2012.0</v>
      </c>
      <c r="P2284" s="2">
        <v>42346.0</v>
      </c>
      <c r="Q2284" s="1" t="s">
        <v>32</v>
      </c>
      <c r="R2284" s="1" t="s">
        <v>9953</v>
      </c>
      <c r="S2284" s="1" t="s">
        <v>32</v>
      </c>
      <c r="W2284" s="1">
        <v>0.0</v>
      </c>
      <c r="X2284" s="1">
        <v>0.0</v>
      </c>
    </row>
    <row r="2285" spans="1:24" ht="15.75" customHeight="1">
      <c r="A2285" s="1">
        <v>7.7461454E7</v>
      </c>
      <c r="B2285" s="1" t="s">
        <v>9954</v>
      </c>
      <c r="C2285" s="1" t="s">
        <v>9955</v>
      </c>
      <c r="D2285" s="1" t="s">
        <v>9956</v>
      </c>
      <c r="F2285" s="1" t="str">
        <f>"4062617625"</f>
        <v>4062617625</v>
      </c>
      <c r="G2285" s="1" t="str">
        <f>"9784062617628"</f>
        <v>9784062617628</v>
      </c>
      <c r="H2285" s="1">
        <v>0.0</v>
      </c>
      <c r="I2285" s="1">
        <v>0.0</v>
      </c>
      <c r="J2285" s="1" t="s">
        <v>9957</v>
      </c>
      <c r="K2285" s="1" t="s">
        <v>9958</v>
      </c>
      <c r="P2285" s="2">
        <v>45137.0</v>
      </c>
      <c r="Q2285" s="1" t="s">
        <v>115</v>
      </c>
      <c r="R2285" s="1" t="s">
        <v>9959</v>
      </c>
      <c r="S2285" s="1" t="s">
        <v>32</v>
      </c>
      <c r="W2285" s="1">
        <v>0.0</v>
      </c>
      <c r="X2285" s="1">
        <v>1.0</v>
      </c>
    </row>
    <row r="2286" spans="1:24" ht="15.75" customHeight="1">
      <c r="A2286" s="1">
        <v>1.9254342E7</v>
      </c>
      <c r="B2286" s="1" t="s">
        <v>9960</v>
      </c>
      <c r="C2286" s="1" t="s">
        <v>9961</v>
      </c>
      <c r="D2286" s="1" t="s">
        <v>9962</v>
      </c>
      <c r="E2286" s="1" t="s">
        <v>9963</v>
      </c>
      <c r="F2286" s="1" t="str">
        <f t="shared" si="169" ref="F2286:G2286">""</f>
        <v/>
      </c>
      <c r="G2286" s="1" t="str">
        <f t="shared" si="169"/>
        <v/>
      </c>
      <c r="H2286" s="1">
        <v>0.0</v>
      </c>
      <c r="I2286" s="1">
        <v>4.25</v>
      </c>
      <c r="J2286" s="1" t="s">
        <v>287</v>
      </c>
      <c r="K2286" s="1" t="s">
        <v>29</v>
      </c>
      <c r="L2286" s="1">
        <v>394.0</v>
      </c>
      <c r="M2286" s="1">
        <v>2013.0</v>
      </c>
      <c r="N2286" s="1">
        <v>1982.0</v>
      </c>
      <c r="P2286" s="2">
        <v>45113.0</v>
      </c>
      <c r="Q2286" s="1" t="s">
        <v>55</v>
      </c>
      <c r="R2286" s="1" t="s">
        <v>9964</v>
      </c>
      <c r="S2286" s="1" t="s">
        <v>32</v>
      </c>
      <c r="W2286" s="1">
        <v>0.0</v>
      </c>
      <c r="X2286" s="1">
        <v>0.0</v>
      </c>
    </row>
    <row r="2287" spans="1:24" ht="15.75" customHeight="1">
      <c r="A2287" s="1">
        <v>11632.0</v>
      </c>
      <c r="B2287" s="1" t="s">
        <v>9960</v>
      </c>
      <c r="C2287" s="1" t="s">
        <v>9961</v>
      </c>
      <c r="D2287" s="1" t="s">
        <v>9962</v>
      </c>
      <c r="E2287" s="1" t="s">
        <v>9963</v>
      </c>
      <c r="F2287" s="1" t="str">
        <f>"0385493916"</f>
        <v>0385493916</v>
      </c>
      <c r="G2287" s="1" t="str">
        <f>"9780385493918"</f>
        <v>9780385493918</v>
      </c>
      <c r="H2287" s="1">
        <v>0.0</v>
      </c>
      <c r="I2287" s="1">
        <v>4.25</v>
      </c>
      <c r="J2287" s="1" t="s">
        <v>287</v>
      </c>
      <c r="K2287" s="1" t="s">
        <v>44</v>
      </c>
      <c r="L2287" s="1">
        <v>400.0</v>
      </c>
      <c r="M2287" s="1">
        <v>1998.0</v>
      </c>
      <c r="N2287" s="1">
        <v>1982.0</v>
      </c>
      <c r="P2287" s="2">
        <v>40930.0</v>
      </c>
      <c r="Q2287" s="1" t="s">
        <v>2362</v>
      </c>
      <c r="R2287" s="1" t="s">
        <v>9965</v>
      </c>
      <c r="S2287" s="1" t="s">
        <v>271</v>
      </c>
      <c r="W2287" s="1">
        <v>1.0</v>
      </c>
      <c r="X2287" s="1">
        <v>1.0</v>
      </c>
    </row>
    <row r="2288" spans="1:24" ht="15.75" customHeight="1">
      <c r="A2288" s="1">
        <v>5.6616095E7</v>
      </c>
      <c r="B2288" s="1" t="s">
        <v>9966</v>
      </c>
      <c r="C2288" s="1" t="s">
        <v>9961</v>
      </c>
      <c r="D2288" s="1" t="s">
        <v>9962</v>
      </c>
      <c r="E2288" s="1" t="s">
        <v>9967</v>
      </c>
      <c r="F2288" s="1" t="str">
        <f>"0060837020"</f>
        <v>0060837020</v>
      </c>
      <c r="G2288" s="1" t="str">
        <f>"9780060837020"</f>
        <v>9780060837020</v>
      </c>
      <c r="H2288" s="1">
        <v>4.0</v>
      </c>
      <c r="I2288" s="1">
        <v>4.05</v>
      </c>
      <c r="J2288" s="1" t="s">
        <v>917</v>
      </c>
      <c r="K2288" s="1" t="s">
        <v>44</v>
      </c>
      <c r="L2288" s="1">
        <v>288.0</v>
      </c>
      <c r="M2288" s="1">
        <v>2006.0</v>
      </c>
      <c r="N2288" s="1">
        <v>1963.0</v>
      </c>
      <c r="O2288" s="3">
        <v>40872.0</v>
      </c>
      <c r="P2288" s="3">
        <v>40865.0</v>
      </c>
      <c r="Q2288" s="1" t="s">
        <v>3374</v>
      </c>
      <c r="R2288" s="1" t="s">
        <v>9968</v>
      </c>
      <c r="S2288" s="1" t="s">
        <v>271</v>
      </c>
      <c r="W2288" s="1">
        <v>1.0</v>
      </c>
      <c r="X2288" s="1">
        <v>1.0</v>
      </c>
    </row>
    <row r="2289" spans="1:24" ht="15.75" customHeight="1">
      <c r="A2289" s="1">
        <v>367016.0</v>
      </c>
      <c r="B2289" s="1" t="s">
        <v>9969</v>
      </c>
      <c r="C2289" s="1" t="s">
        <v>9970</v>
      </c>
      <c r="D2289" s="1" t="s">
        <v>9971</v>
      </c>
      <c r="F2289" s="1" t="str">
        <f>"0316166286"</f>
        <v>0316166286</v>
      </c>
      <c r="G2289" s="1" t="str">
        <f>"9780316166287"</f>
        <v>9780316166287</v>
      </c>
      <c r="H2289" s="1">
        <v>0.0</v>
      </c>
      <c r="I2289" s="1">
        <v>3.78</v>
      </c>
      <c r="J2289" s="1" t="s">
        <v>2445</v>
      </c>
      <c r="K2289" s="1" t="s">
        <v>44</v>
      </c>
      <c r="L2289" s="1">
        <v>367.0</v>
      </c>
      <c r="M2289" s="1">
        <v>2007.0</v>
      </c>
      <c r="N2289" s="1">
        <v>2006.0</v>
      </c>
      <c r="P2289" s="3">
        <v>45278.0</v>
      </c>
      <c r="Q2289" s="1" t="s">
        <v>479</v>
      </c>
      <c r="R2289" s="1" t="s">
        <v>9972</v>
      </c>
      <c r="S2289" s="1" t="s">
        <v>32</v>
      </c>
      <c r="W2289" s="1">
        <v>0.0</v>
      </c>
      <c r="X2289" s="1">
        <v>0.0</v>
      </c>
    </row>
    <row r="2290" spans="1:24" ht="15.75" customHeight="1">
      <c r="A2290" s="1">
        <v>43545.0</v>
      </c>
      <c r="B2290" s="1" t="s">
        <v>9973</v>
      </c>
      <c r="C2290" s="1" t="s">
        <v>9974</v>
      </c>
      <c r="D2290" s="1" t="s">
        <v>9975</v>
      </c>
      <c r="F2290" s="1" t="str">
        <f>"0441627404"</f>
        <v>0441627404</v>
      </c>
      <c r="G2290" s="1" t="str">
        <f>"9780441627400"</f>
        <v>9780441627400</v>
      </c>
      <c r="H2290" s="1">
        <v>0.0</v>
      </c>
      <c r="I2290" s="1">
        <v>4.07</v>
      </c>
      <c r="J2290" s="1" t="s">
        <v>4155</v>
      </c>
      <c r="K2290" s="1" t="s">
        <v>1225</v>
      </c>
      <c r="L2290" s="1">
        <v>639.0</v>
      </c>
      <c r="M2290" s="1">
        <v>1987.0</v>
      </c>
      <c r="N2290" s="1">
        <v>1958.0</v>
      </c>
      <c r="P2290" s="2">
        <v>45175.0</v>
      </c>
      <c r="Q2290" s="1" t="s">
        <v>32</v>
      </c>
      <c r="R2290" s="1" t="s">
        <v>9976</v>
      </c>
      <c r="S2290" s="1" t="s">
        <v>32</v>
      </c>
      <c r="W2290" s="1">
        <v>0.0</v>
      </c>
      <c r="X2290" s="1">
        <v>0.0</v>
      </c>
    </row>
    <row r="2291" spans="1:24" ht="15.75" customHeight="1">
      <c r="A2291" s="1">
        <v>525551.0</v>
      </c>
      <c r="B2291" s="1" t="s">
        <v>9977</v>
      </c>
      <c r="C2291" s="1" t="s">
        <v>9978</v>
      </c>
      <c r="D2291" s="1" t="s">
        <v>9979</v>
      </c>
      <c r="F2291" s="1" t="str">
        <f>"0679744932"</f>
        <v>0679744932</v>
      </c>
      <c r="G2291" s="1" t="str">
        <f>"9780679744931"</f>
        <v>9780679744931</v>
      </c>
      <c r="H2291" s="1">
        <v>0.0</v>
      </c>
      <c r="I2291" s="1">
        <v>4.12</v>
      </c>
      <c r="J2291" s="1" t="s">
        <v>69</v>
      </c>
      <c r="K2291" s="1" t="s">
        <v>44</v>
      </c>
      <c r="L2291" s="1">
        <v>352.0</v>
      </c>
      <c r="M2291" s="1">
        <v>2001.0</v>
      </c>
      <c r="N2291" s="1">
        <v>2000.0</v>
      </c>
      <c r="P2291" s="2">
        <v>45175.0</v>
      </c>
      <c r="Q2291" s="1" t="s">
        <v>249</v>
      </c>
      <c r="R2291" s="1" t="s">
        <v>9980</v>
      </c>
      <c r="S2291" s="1" t="s">
        <v>32</v>
      </c>
      <c r="W2291" s="1">
        <v>0.0</v>
      </c>
      <c r="X2291" s="1">
        <v>0.0</v>
      </c>
    </row>
    <row r="2292" spans="1:24" ht="15.75" customHeight="1">
      <c r="A2292" s="1">
        <v>5.5062198E7</v>
      </c>
      <c r="B2292" s="1" t="s">
        <v>9981</v>
      </c>
      <c r="C2292" s="1" t="s">
        <v>9982</v>
      </c>
      <c r="D2292" s="1" t="s">
        <v>9983</v>
      </c>
      <c r="F2292" s="1" t="str">
        <f t="shared" si="170" ref="F2292:G2292">""</f>
        <v/>
      </c>
      <c r="G2292" s="1" t="str">
        <f t="shared" si="170"/>
        <v/>
      </c>
      <c r="H2292" s="1">
        <v>0.0</v>
      </c>
      <c r="I2292" s="1">
        <v>0.0</v>
      </c>
      <c r="J2292" s="1" t="s">
        <v>9984</v>
      </c>
      <c r="K2292" s="1" t="s">
        <v>37</v>
      </c>
      <c r="M2292" s="1">
        <v>1951.0</v>
      </c>
      <c r="N2292" s="1">
        <v>1951.0</v>
      </c>
      <c r="P2292" s="2">
        <v>45145.0</v>
      </c>
      <c r="Q2292" s="1" t="s">
        <v>32</v>
      </c>
      <c r="R2292" s="1" t="s">
        <v>9985</v>
      </c>
      <c r="S2292" s="1" t="s">
        <v>32</v>
      </c>
      <c r="W2292" s="1">
        <v>0.0</v>
      </c>
      <c r="X2292" s="1">
        <v>0.0</v>
      </c>
    </row>
    <row r="2293" spans="1:24" ht="15.75" customHeight="1">
      <c r="A2293" s="1">
        <v>7951815.0</v>
      </c>
      <c r="B2293" s="1" t="s">
        <v>9986</v>
      </c>
      <c r="C2293" s="1" t="s">
        <v>9987</v>
      </c>
      <c r="D2293" s="1" t="s">
        <v>9988</v>
      </c>
      <c r="F2293" s="1" t="str">
        <f>"0143118218"</f>
        <v>0143118218</v>
      </c>
      <c r="G2293" s="1" t="str">
        <f>"9780143118213"</f>
        <v>9780143118213</v>
      </c>
      <c r="H2293" s="1">
        <v>0.0</v>
      </c>
      <c r="I2293" s="1">
        <v>4.26</v>
      </c>
      <c r="J2293" s="1" t="s">
        <v>309</v>
      </c>
      <c r="K2293" s="1" t="s">
        <v>44</v>
      </c>
      <c r="L2293" s="1">
        <v>290.0</v>
      </c>
      <c r="M2293" s="1">
        <v>2010.0</v>
      </c>
      <c r="N2293" s="1">
        <v>2009.0</v>
      </c>
      <c r="P2293" s="2">
        <v>45113.0</v>
      </c>
      <c r="Q2293" s="1" t="s">
        <v>788</v>
      </c>
      <c r="R2293" s="1" t="s">
        <v>9989</v>
      </c>
      <c r="S2293" s="1" t="s">
        <v>32</v>
      </c>
      <c r="W2293" s="1">
        <v>0.0</v>
      </c>
      <c r="X2293" s="1">
        <v>1.0</v>
      </c>
    </row>
    <row r="2294" spans="1:24" ht="15.75" customHeight="1">
      <c r="A2294" s="1">
        <v>119226.0</v>
      </c>
      <c r="B2294" s="1" t="s">
        <v>9990</v>
      </c>
      <c r="C2294" s="1" t="s">
        <v>9991</v>
      </c>
      <c r="D2294" s="1" t="s">
        <v>9992</v>
      </c>
      <c r="F2294" s="1" t="str">
        <f>"0571105483"</f>
        <v>0571105483</v>
      </c>
      <c r="G2294" s="1" t="str">
        <f>"9780571105489"</f>
        <v>9780571105489</v>
      </c>
      <c r="H2294" s="1">
        <v>0.0</v>
      </c>
      <c r="I2294" s="1">
        <v>4.29</v>
      </c>
      <c r="J2294" s="1" t="s">
        <v>454</v>
      </c>
      <c r="K2294" s="1" t="s">
        <v>44</v>
      </c>
      <c r="L2294" s="1">
        <v>238.0</v>
      </c>
      <c r="M2294" s="1">
        <v>2002.0</v>
      </c>
      <c r="N2294" s="1">
        <v>1963.0</v>
      </c>
      <c r="P2294" s="2">
        <v>45113.0</v>
      </c>
      <c r="Q2294" s="1" t="s">
        <v>449</v>
      </c>
      <c r="R2294" s="1" t="s">
        <v>9993</v>
      </c>
      <c r="S2294" s="1" t="s">
        <v>32</v>
      </c>
      <c r="W2294" s="1">
        <v>0.0</v>
      </c>
      <c r="X2294" s="1">
        <v>1.0</v>
      </c>
    </row>
    <row r="2295" spans="1:24" ht="15.75" customHeight="1">
      <c r="A2295" s="1">
        <v>2.5489625E7</v>
      </c>
      <c r="B2295" s="1" t="s">
        <v>9994</v>
      </c>
      <c r="C2295" s="1" t="s">
        <v>9995</v>
      </c>
      <c r="D2295" s="1" t="s">
        <v>9996</v>
      </c>
      <c r="F2295" s="1" t="str">
        <f t="shared" si="171" ref="F2295:G2295">""</f>
        <v/>
      </c>
      <c r="G2295" s="1" t="str">
        <f t="shared" si="171"/>
        <v/>
      </c>
      <c r="H2295" s="1">
        <v>0.0</v>
      </c>
      <c r="I2295" s="1">
        <v>4.4</v>
      </c>
      <c r="J2295" s="1" t="s">
        <v>9997</v>
      </c>
      <c r="K2295" s="1" t="s">
        <v>37</v>
      </c>
      <c r="L2295" s="1">
        <v>152.0</v>
      </c>
      <c r="M2295" s="1">
        <v>2015.0</v>
      </c>
      <c r="N2295" s="1">
        <v>2015.0</v>
      </c>
      <c r="P2295" s="2">
        <v>45123.0</v>
      </c>
      <c r="Q2295" s="1" t="s">
        <v>32</v>
      </c>
      <c r="R2295" s="1" t="s">
        <v>9998</v>
      </c>
      <c r="S2295" s="1" t="s">
        <v>32</v>
      </c>
      <c r="W2295" s="1">
        <v>0.0</v>
      </c>
      <c r="X2295" s="1">
        <v>0.0</v>
      </c>
    </row>
    <row r="2296" spans="1:24" ht="15.75" customHeight="1">
      <c r="A2296" s="1">
        <v>144510.0</v>
      </c>
      <c r="B2296" s="1" t="s">
        <v>9999</v>
      </c>
      <c r="C2296" s="1" t="s">
        <v>10000</v>
      </c>
      <c r="D2296" s="1" t="s">
        <v>10001</v>
      </c>
      <c r="E2296" s="1" t="s">
        <v>10002</v>
      </c>
      <c r="F2296" s="1" t="str">
        <f>"0812966996"</f>
        <v>0812966996</v>
      </c>
      <c r="G2296" s="1" t="str">
        <f>"9780812966992"</f>
        <v>9780812966992</v>
      </c>
      <c r="H2296" s="1">
        <v>0.0</v>
      </c>
      <c r="I2296" s="1">
        <v>4.04</v>
      </c>
      <c r="J2296" s="1" t="s">
        <v>3611</v>
      </c>
      <c r="K2296" s="1" t="s">
        <v>44</v>
      </c>
      <c r="L2296" s="1">
        <v>640.0</v>
      </c>
      <c r="M2296" s="1">
        <v>2003.0</v>
      </c>
      <c r="N2296" s="1">
        <v>1852.0</v>
      </c>
      <c r="P2296" s="2">
        <v>45108.0</v>
      </c>
      <c r="Q2296" s="1" t="s">
        <v>4418</v>
      </c>
      <c r="R2296" s="1" t="s">
        <v>10003</v>
      </c>
      <c r="S2296" s="1" t="s">
        <v>32</v>
      </c>
      <c r="W2296" s="1">
        <v>0.0</v>
      </c>
      <c r="X2296" s="1">
        <v>0.0</v>
      </c>
    </row>
    <row r="2297" spans="1:24" ht="15.75" customHeight="1">
      <c r="A2297" s="1">
        <v>1.2031532E7</v>
      </c>
      <c r="B2297" s="1" t="s">
        <v>10004</v>
      </c>
      <c r="C2297" s="1" t="s">
        <v>10005</v>
      </c>
      <c r="D2297" s="1" t="s">
        <v>10006</v>
      </c>
      <c r="F2297" s="1" t="str">
        <f>"1905802498"</f>
        <v>1905802498</v>
      </c>
      <c r="G2297" s="1" t="str">
        <f>"9781905802494"</f>
        <v>9781905802494</v>
      </c>
      <c r="H2297" s="1">
        <v>0.0</v>
      </c>
      <c r="I2297" s="1">
        <v>4.13</v>
      </c>
      <c r="J2297" s="1" t="s">
        <v>10007</v>
      </c>
      <c r="K2297" s="1" t="s">
        <v>37</v>
      </c>
      <c r="L2297" s="1">
        <v>448.0</v>
      </c>
      <c r="M2297" s="1">
        <v>2011.0</v>
      </c>
      <c r="N2297" s="1">
        <v>2011.0</v>
      </c>
      <c r="P2297" s="3">
        <v>41601.0</v>
      </c>
      <c r="Q2297" s="1" t="s">
        <v>32</v>
      </c>
      <c r="R2297" s="1" t="s">
        <v>10008</v>
      </c>
      <c r="S2297" s="1" t="s">
        <v>32</v>
      </c>
      <c r="W2297" s="1">
        <v>0.0</v>
      </c>
      <c r="X2297" s="1">
        <v>0.0</v>
      </c>
    </row>
    <row r="2298" spans="1:24" ht="15.75" customHeight="1">
      <c r="A2298" s="1">
        <v>1.6041828E7</v>
      </c>
      <c r="B2298" s="1" t="s">
        <v>10009</v>
      </c>
      <c r="C2298" s="1" t="s">
        <v>10010</v>
      </c>
      <c r="D2298" s="1" t="s">
        <v>10011</v>
      </c>
      <c r="F2298" s="1" t="str">
        <f>"0307950174"</f>
        <v>0307950174</v>
      </c>
      <c r="G2298" s="1" t="str">
        <f>"9780307950178"</f>
        <v>9780307950178</v>
      </c>
      <c r="H2298" s="1">
        <v>0.0</v>
      </c>
      <c r="I2298" s="1">
        <v>3.33</v>
      </c>
      <c r="J2298" s="1" t="s">
        <v>239</v>
      </c>
      <c r="K2298" s="1" t="s">
        <v>44</v>
      </c>
      <c r="L2298" s="1">
        <v>248.0</v>
      </c>
      <c r="M2298" s="1">
        <v>2013.0</v>
      </c>
      <c r="N2298" s="1">
        <v>2013.0</v>
      </c>
      <c r="P2298" s="2">
        <v>41515.0</v>
      </c>
      <c r="Q2298" s="1" t="s">
        <v>32</v>
      </c>
      <c r="R2298" s="1" t="s">
        <v>10012</v>
      </c>
      <c r="S2298" s="1" t="s">
        <v>32</v>
      </c>
      <c r="W2298" s="1">
        <v>0.0</v>
      </c>
      <c r="X2298" s="1">
        <v>0.0</v>
      </c>
    </row>
    <row r="2299" spans="1:24" ht="15.75" customHeight="1">
      <c r="A2299" s="1">
        <v>310722.0</v>
      </c>
      <c r="B2299" s="1" t="s">
        <v>10013</v>
      </c>
      <c r="C2299" s="1" t="s">
        <v>10014</v>
      </c>
      <c r="D2299" s="1" t="s">
        <v>10015</v>
      </c>
      <c r="E2299" s="1" t="s">
        <v>10016</v>
      </c>
      <c r="F2299" s="1" t="str">
        <f>"1590171969"</f>
        <v>1590171969</v>
      </c>
      <c r="G2299" s="1" t="str">
        <f>"9781590171967"</f>
        <v>9781590171967</v>
      </c>
      <c r="H2299" s="1">
        <v>0.0</v>
      </c>
      <c r="I2299" s="1">
        <v>3.81</v>
      </c>
      <c r="J2299" s="1" t="s">
        <v>10017</v>
      </c>
      <c r="K2299" s="1" t="s">
        <v>44</v>
      </c>
      <c r="L2299" s="1">
        <v>299.0</v>
      </c>
      <c r="M2299" s="1">
        <v>2007.0</v>
      </c>
      <c r="N2299" s="1">
        <v>2000.0</v>
      </c>
      <c r="P2299" s="2">
        <v>44459.0</v>
      </c>
      <c r="Q2299" s="1" t="s">
        <v>32</v>
      </c>
      <c r="R2299" s="1" t="s">
        <v>10018</v>
      </c>
      <c r="S2299" s="1" t="s">
        <v>32</v>
      </c>
      <c r="W2299" s="1">
        <v>0.0</v>
      </c>
      <c r="X2299" s="1">
        <v>0.0</v>
      </c>
    </row>
    <row r="2300" spans="1:24" ht="15.75" customHeight="1">
      <c r="A2300" s="1">
        <v>370937.0</v>
      </c>
      <c r="B2300" s="1" t="s">
        <v>10019</v>
      </c>
      <c r="C2300" s="1" t="s">
        <v>10020</v>
      </c>
      <c r="D2300" s="1" t="s">
        <v>10021</v>
      </c>
      <c r="F2300" s="1" t="str">
        <f>"0198661320"</f>
        <v>0198661320</v>
      </c>
      <c r="G2300" s="1" t="str">
        <f>"9780198661320"</f>
        <v>9780198661320</v>
      </c>
      <c r="H2300" s="1">
        <v>0.0</v>
      </c>
      <c r="I2300" s="1">
        <v>4.16</v>
      </c>
      <c r="J2300" s="1" t="s">
        <v>181</v>
      </c>
      <c r="K2300" s="1" t="s">
        <v>44</v>
      </c>
      <c r="L2300" s="1">
        <v>1040.0</v>
      </c>
      <c r="M2300" s="1">
        <v>1995.0</v>
      </c>
      <c r="N2300" s="1">
        <v>1995.0</v>
      </c>
      <c r="P2300" s="2">
        <v>45126.0</v>
      </c>
      <c r="Q2300" s="1" t="s">
        <v>45</v>
      </c>
      <c r="R2300" s="1" t="s">
        <v>10022</v>
      </c>
      <c r="S2300" s="1" t="s">
        <v>32</v>
      </c>
      <c r="W2300" s="1">
        <v>0.0</v>
      </c>
      <c r="X2300" s="1">
        <v>0.0</v>
      </c>
    </row>
    <row r="2301" spans="1:24" ht="15.75" customHeight="1">
      <c r="A2301" s="1">
        <v>133951.0</v>
      </c>
      <c r="B2301" s="1" t="s">
        <v>10023</v>
      </c>
      <c r="C2301" s="1" t="s">
        <v>9963</v>
      </c>
      <c r="D2301" s="1" t="s">
        <v>10024</v>
      </c>
      <c r="E2301" s="1" t="s">
        <v>7970</v>
      </c>
      <c r="F2301" s="1" t="str">
        <f>"0374525870"</f>
        <v>0374525870</v>
      </c>
      <c r="G2301" s="1" t="str">
        <f>"9780374525873"</f>
        <v>9780374525873</v>
      </c>
      <c r="H2301" s="1">
        <v>0.0</v>
      </c>
      <c r="I2301" s="1">
        <v>4.25</v>
      </c>
      <c r="J2301" s="1" t="s">
        <v>438</v>
      </c>
      <c r="K2301" s="1" t="s">
        <v>44</v>
      </c>
      <c r="L2301" s="1">
        <v>257.0</v>
      </c>
      <c r="M2301" s="1">
        <v>1999.0</v>
      </c>
      <c r="N2301" s="1">
        <v>1997.0</v>
      </c>
      <c r="P2301" s="2">
        <v>45109.0</v>
      </c>
      <c r="Q2301" s="1" t="s">
        <v>935</v>
      </c>
      <c r="R2301" s="1" t="s">
        <v>10025</v>
      </c>
      <c r="S2301" s="1" t="s">
        <v>32</v>
      </c>
      <c r="W2301" s="1">
        <v>0.0</v>
      </c>
      <c r="X2301" s="1">
        <v>0.0</v>
      </c>
    </row>
    <row r="2302" spans="1:24" ht="15.75" customHeight="1">
      <c r="A2302" s="1">
        <v>1259626.0</v>
      </c>
      <c r="B2302" s="1" t="s">
        <v>10026</v>
      </c>
      <c r="C2302" s="1" t="s">
        <v>9963</v>
      </c>
      <c r="D2302" s="1" t="s">
        <v>10024</v>
      </c>
      <c r="E2302" s="1" t="s">
        <v>10027</v>
      </c>
      <c r="F2302" s="1" t="str">
        <f>"0374260680"</f>
        <v>0374260680</v>
      </c>
      <c r="G2302" s="1" t="str">
        <f>"9780374260682"</f>
        <v>9780374260682</v>
      </c>
      <c r="H2302" s="1">
        <v>0.0</v>
      </c>
      <c r="I2302" s="1">
        <v>4.0</v>
      </c>
      <c r="J2302" s="1" t="s">
        <v>438</v>
      </c>
      <c r="K2302" s="1" t="s">
        <v>37</v>
      </c>
      <c r="L2302" s="1">
        <v>256.0</v>
      </c>
      <c r="M2302" s="1">
        <v>2007.0</v>
      </c>
      <c r="N2302" s="1">
        <v>2006.0</v>
      </c>
      <c r="P2302" s="2">
        <v>45111.0</v>
      </c>
      <c r="Q2302" s="1" t="s">
        <v>421</v>
      </c>
      <c r="R2302" s="1" t="s">
        <v>10028</v>
      </c>
      <c r="S2302" s="1" t="s">
        <v>32</v>
      </c>
      <c r="W2302" s="1">
        <v>0.0</v>
      </c>
      <c r="X2302" s="1">
        <v>0.0</v>
      </c>
    </row>
    <row r="2303" spans="1:24" ht="15.75" customHeight="1">
      <c r="A2303" s="1">
        <v>5.4810887E7</v>
      </c>
      <c r="B2303" s="1" t="s">
        <v>10029</v>
      </c>
      <c r="C2303" s="1" t="s">
        <v>10030</v>
      </c>
      <c r="D2303" s="1" t="s">
        <v>10031</v>
      </c>
      <c r="E2303" s="1" t="s">
        <v>10032</v>
      </c>
      <c r="F2303" s="1" t="str">
        <f>"1681375397"</f>
        <v>1681375397</v>
      </c>
      <c r="G2303" s="1" t="str">
        <f>"9781681375397"</f>
        <v>9781681375397</v>
      </c>
      <c r="H2303" s="1">
        <v>0.0</v>
      </c>
      <c r="I2303" s="1">
        <v>4.08</v>
      </c>
      <c r="J2303" s="1" t="s">
        <v>204</v>
      </c>
      <c r="K2303" s="1" t="s">
        <v>44</v>
      </c>
      <c r="L2303" s="1">
        <v>304.0</v>
      </c>
      <c r="M2303" s="1">
        <v>2021.0</v>
      </c>
      <c r="N2303" s="1">
        <v>2021.0</v>
      </c>
      <c r="P2303" s="2">
        <v>45169.0</v>
      </c>
      <c r="Q2303" s="1" t="s">
        <v>32</v>
      </c>
      <c r="R2303" s="1" t="s">
        <v>10033</v>
      </c>
      <c r="S2303" s="1" t="s">
        <v>32</v>
      </c>
      <c r="W2303" s="1">
        <v>0.0</v>
      </c>
      <c r="X2303" s="1">
        <v>0.0</v>
      </c>
    </row>
    <row r="2304" spans="1:24" ht="15.75" customHeight="1">
      <c r="A2304" s="1">
        <v>2.5743316E7</v>
      </c>
      <c r="B2304" s="1" t="s">
        <v>10034</v>
      </c>
      <c r="C2304" s="1" t="s">
        <v>10035</v>
      </c>
      <c r="D2304" s="1" t="s">
        <v>10036</v>
      </c>
      <c r="F2304" s="1" t="str">
        <f t="shared" si="172" ref="F2304:G2304">""</f>
        <v/>
      </c>
      <c r="G2304" s="1" t="str">
        <f t="shared" si="172"/>
        <v/>
      </c>
      <c r="H2304" s="1">
        <v>0.0</v>
      </c>
      <c r="I2304" s="1">
        <v>4.06</v>
      </c>
      <c r="J2304" s="1" t="s">
        <v>1189</v>
      </c>
      <c r="L2304" s="1">
        <v>416.0</v>
      </c>
      <c r="M2304" s="1">
        <v>2016.0</v>
      </c>
      <c r="N2304" s="1">
        <v>2016.0</v>
      </c>
      <c r="P2304" s="2">
        <v>43919.0</v>
      </c>
      <c r="Q2304" s="1" t="s">
        <v>32</v>
      </c>
      <c r="R2304" s="1" t="s">
        <v>10037</v>
      </c>
      <c r="S2304" s="1" t="s">
        <v>32</v>
      </c>
      <c r="W2304" s="1">
        <v>0.0</v>
      </c>
      <c r="X2304" s="1">
        <v>0.0</v>
      </c>
    </row>
    <row r="2305" spans="1:24" ht="15.75" customHeight="1">
      <c r="A2305" s="1">
        <v>51208.0</v>
      </c>
      <c r="B2305" s="1" t="s">
        <v>10038</v>
      </c>
      <c r="C2305" s="1" t="s">
        <v>10039</v>
      </c>
      <c r="D2305" s="1" t="s">
        <v>10040</v>
      </c>
      <c r="F2305" s="1" t="str">
        <f>"0451163168"</f>
        <v>0451163168</v>
      </c>
      <c r="G2305" s="1" t="str">
        <f>"9780451163165"</f>
        <v>9780451163165</v>
      </c>
      <c r="H2305" s="1">
        <v>4.0</v>
      </c>
      <c r="I2305" s="1">
        <v>3.98</v>
      </c>
      <c r="J2305" s="1" t="s">
        <v>4120</v>
      </c>
      <c r="K2305" s="1" t="s">
        <v>1225</v>
      </c>
      <c r="L2305" s="1">
        <v>142.0</v>
      </c>
      <c r="M2305" s="1">
        <v>1974.0</v>
      </c>
      <c r="N2305" s="1">
        <v>1947.0</v>
      </c>
      <c r="O2305" s="2">
        <v>41407.0</v>
      </c>
      <c r="P2305" s="2">
        <v>41396.0</v>
      </c>
      <c r="Q2305" s="1" t="s">
        <v>5102</v>
      </c>
      <c r="R2305" s="1" t="s">
        <v>10041</v>
      </c>
      <c r="S2305" s="1" t="s">
        <v>271</v>
      </c>
      <c r="W2305" s="1">
        <v>1.0</v>
      </c>
      <c r="X2305" s="1">
        <v>1.0</v>
      </c>
    </row>
    <row r="2306" spans="1:24" ht="15.75" customHeight="1">
      <c r="A2306" s="1">
        <v>2.9335881E7</v>
      </c>
      <c r="B2306" s="1" t="s">
        <v>10042</v>
      </c>
      <c r="C2306" s="1" t="s">
        <v>10039</v>
      </c>
      <c r="D2306" s="1" t="s">
        <v>10040</v>
      </c>
      <c r="E2306" s="1" t="s">
        <v>10043</v>
      </c>
      <c r="F2306" s="1" t="str">
        <f t="shared" si="173" ref="F2306:G2306">""</f>
        <v/>
      </c>
      <c r="G2306" s="1" t="str">
        <f t="shared" si="173"/>
        <v/>
      </c>
      <c r="H2306" s="1">
        <v>0.0</v>
      </c>
      <c r="I2306" s="1">
        <v>4.29</v>
      </c>
      <c r="J2306" s="1" t="s">
        <v>419</v>
      </c>
      <c r="K2306" s="1" t="s">
        <v>29</v>
      </c>
      <c r="L2306" s="1">
        <v>200.0</v>
      </c>
      <c r="M2306" s="1">
        <v>2012.0</v>
      </c>
      <c r="N2306" s="1">
        <v>2012.0</v>
      </c>
      <c r="P2306" s="2">
        <v>45140.0</v>
      </c>
      <c r="Q2306" s="1" t="s">
        <v>32</v>
      </c>
      <c r="R2306" s="1" t="s">
        <v>10044</v>
      </c>
      <c r="S2306" s="1" t="s">
        <v>32</v>
      </c>
      <c r="W2306" s="1">
        <v>0.0</v>
      </c>
      <c r="X2306" s="1">
        <v>0.0</v>
      </c>
    </row>
    <row r="2307" spans="1:24" ht="15.75" customHeight="1">
      <c r="A2307" s="1">
        <v>731697.0</v>
      </c>
      <c r="B2307" s="1" t="s">
        <v>10045</v>
      </c>
      <c r="C2307" s="1" t="s">
        <v>10046</v>
      </c>
      <c r="D2307" s="1" t="s">
        <v>10047</v>
      </c>
      <c r="F2307" s="1" t="str">
        <f>"0140440739"</f>
        <v>0140440739</v>
      </c>
      <c r="G2307" s="1" t="str">
        <f>"9780140440737"</f>
        <v>9780140440737</v>
      </c>
      <c r="H2307" s="1">
        <v>0.0</v>
      </c>
      <c r="I2307" s="1">
        <v>4.14</v>
      </c>
      <c r="J2307" s="1" t="s">
        <v>1023</v>
      </c>
      <c r="K2307" s="1" t="s">
        <v>44</v>
      </c>
      <c r="L2307" s="1">
        <v>320.0</v>
      </c>
      <c r="M2307" s="1">
        <v>1988.0</v>
      </c>
      <c r="N2307" s="1">
        <v>1565.0</v>
      </c>
      <c r="P2307" s="2">
        <v>44790.0</v>
      </c>
      <c r="Q2307" s="1" t="s">
        <v>109</v>
      </c>
      <c r="R2307" s="1" t="s">
        <v>10048</v>
      </c>
      <c r="S2307" s="1" t="s">
        <v>32</v>
      </c>
      <c r="W2307" s="1">
        <v>0.0</v>
      </c>
      <c r="X2307" s="1">
        <v>0.0</v>
      </c>
    </row>
    <row r="2308" spans="1:24" ht="15.75" customHeight="1">
      <c r="A2308" s="1">
        <v>406639.0</v>
      </c>
      <c r="B2308" s="1" t="s">
        <v>10049</v>
      </c>
      <c r="C2308" s="1" t="s">
        <v>10046</v>
      </c>
      <c r="D2308" s="1" t="s">
        <v>10047</v>
      </c>
      <c r="F2308" s="1" t="str">
        <f>"0385036434"</f>
        <v>0385036434</v>
      </c>
      <c r="G2308" s="1" t="str">
        <f>"9780385036436"</f>
        <v>9780385036436</v>
      </c>
      <c r="H2308" s="1">
        <v>0.0</v>
      </c>
      <c r="I2308" s="1">
        <v>4.15</v>
      </c>
      <c r="J2308" s="1" t="s">
        <v>10050</v>
      </c>
      <c r="K2308" s="1" t="s">
        <v>44</v>
      </c>
      <c r="L2308" s="1">
        <v>235.0</v>
      </c>
      <c r="M2308" s="1">
        <v>1972.0</v>
      </c>
      <c r="N2308" s="1">
        <v>1588.0</v>
      </c>
      <c r="P2308" s="2">
        <v>45169.0</v>
      </c>
      <c r="Q2308" s="1" t="s">
        <v>32</v>
      </c>
      <c r="R2308" s="1" t="s">
        <v>10051</v>
      </c>
      <c r="S2308" s="1" t="s">
        <v>32</v>
      </c>
      <c r="W2308" s="1">
        <v>0.0</v>
      </c>
      <c r="X2308" s="1">
        <v>0.0</v>
      </c>
    </row>
    <row r="2309" spans="1:24" ht="15.75" customHeight="1">
      <c r="A2309" s="1">
        <v>2.5628253E7</v>
      </c>
      <c r="B2309" s="1" t="s">
        <v>10052</v>
      </c>
      <c r="C2309" s="1" t="s">
        <v>10053</v>
      </c>
      <c r="D2309" s="1" t="s">
        <v>10054</v>
      </c>
      <c r="F2309" s="1" t="str">
        <f>"0813937353"</f>
        <v>0813937353</v>
      </c>
      <c r="G2309" s="1" t="str">
        <f>"9780813937359"</f>
        <v>9780813937359</v>
      </c>
      <c r="H2309" s="1">
        <v>0.0</v>
      </c>
      <c r="I2309" s="1">
        <v>3.62</v>
      </c>
      <c r="J2309" s="1" t="s">
        <v>10055</v>
      </c>
      <c r="K2309" s="1" t="s">
        <v>29</v>
      </c>
      <c r="L2309" s="1">
        <v>176.0</v>
      </c>
      <c r="M2309" s="1">
        <v>2015.0</v>
      </c>
      <c r="N2309" s="1">
        <v>2015.0</v>
      </c>
      <c r="P2309" s="2">
        <v>45161.0</v>
      </c>
      <c r="Q2309" s="1" t="s">
        <v>32</v>
      </c>
      <c r="R2309" s="1" t="s">
        <v>10056</v>
      </c>
      <c r="S2309" s="1" t="s">
        <v>32</v>
      </c>
      <c r="W2309" s="1">
        <v>0.0</v>
      </c>
      <c r="X2309" s="1">
        <v>0.0</v>
      </c>
    </row>
    <row r="2310" spans="1:24" ht="15.75" customHeight="1">
      <c r="A2310" s="1">
        <v>1.6073298E7</v>
      </c>
      <c r="B2310" s="1" t="s">
        <v>10057</v>
      </c>
      <c r="C2310" s="1" t="s">
        <v>10053</v>
      </c>
      <c r="D2310" s="1" t="s">
        <v>10054</v>
      </c>
      <c r="F2310" s="1" t="str">
        <f>"0300190964"</f>
        <v>0300190964</v>
      </c>
      <c r="G2310" s="1" t="str">
        <f>"9780300190960"</f>
        <v>9780300190960</v>
      </c>
      <c r="H2310" s="1">
        <v>0.0</v>
      </c>
      <c r="I2310" s="1">
        <v>3.68</v>
      </c>
      <c r="J2310" s="1" t="s">
        <v>962</v>
      </c>
      <c r="K2310" s="1" t="s">
        <v>37</v>
      </c>
      <c r="L2310" s="1">
        <v>232.0</v>
      </c>
      <c r="M2310" s="1">
        <v>2013.0</v>
      </c>
      <c r="N2310" s="1">
        <v>2013.0</v>
      </c>
      <c r="P2310" s="2">
        <v>45123.0</v>
      </c>
      <c r="Q2310" s="1" t="s">
        <v>32</v>
      </c>
      <c r="R2310" s="1" t="s">
        <v>10058</v>
      </c>
      <c r="S2310" s="1" t="s">
        <v>32</v>
      </c>
      <c r="W2310" s="1">
        <v>0.0</v>
      </c>
      <c r="X2310" s="1">
        <v>0.0</v>
      </c>
    </row>
    <row r="2311" spans="1:24" ht="15.75" customHeight="1">
      <c r="A2311" s="1">
        <v>582043.0</v>
      </c>
      <c r="B2311" s="1" t="s">
        <v>10059</v>
      </c>
      <c r="C2311" s="1" t="s">
        <v>10060</v>
      </c>
      <c r="D2311" s="1" t="s">
        <v>10061</v>
      </c>
      <c r="F2311" s="1" t="str">
        <f>"0521496799"</f>
        <v>0521496799</v>
      </c>
      <c r="G2311" s="1" t="str">
        <f>"9780521496797"</f>
        <v>9780521496797</v>
      </c>
      <c r="H2311" s="1">
        <v>0.0</v>
      </c>
      <c r="I2311" s="1">
        <v>4.33</v>
      </c>
      <c r="J2311" s="1" t="s">
        <v>388</v>
      </c>
      <c r="K2311" s="1" t="s">
        <v>37</v>
      </c>
      <c r="L2311" s="1">
        <v>800.0</v>
      </c>
      <c r="M2311" s="1">
        <v>2000.0</v>
      </c>
      <c r="N2311" s="1">
        <v>2000.0</v>
      </c>
      <c r="P2311" s="2">
        <v>44473.0</v>
      </c>
      <c r="Q2311" s="1" t="s">
        <v>109</v>
      </c>
      <c r="R2311" s="1" t="s">
        <v>10062</v>
      </c>
      <c r="S2311" s="1" t="s">
        <v>32</v>
      </c>
      <c r="W2311" s="1">
        <v>0.0</v>
      </c>
      <c r="X2311" s="1">
        <v>0.0</v>
      </c>
    </row>
    <row r="2312" spans="1:24" ht="15.75" customHeight="1">
      <c r="A2312" s="1">
        <v>1547578.0</v>
      </c>
      <c r="B2312" s="1" t="s">
        <v>10063</v>
      </c>
      <c r="C2312" s="1" t="s">
        <v>10064</v>
      </c>
      <c r="D2312" s="1" t="s">
        <v>10065</v>
      </c>
      <c r="F2312" s="1" t="str">
        <f>"068807877X"</f>
        <v>068807877X</v>
      </c>
      <c r="G2312" s="1" t="str">
        <f>"9780688078775"</f>
        <v>9780688078775</v>
      </c>
      <c r="H2312" s="1">
        <v>0.0</v>
      </c>
      <c r="I2312" s="1">
        <v>4.0</v>
      </c>
      <c r="J2312" s="1" t="s">
        <v>10066</v>
      </c>
      <c r="K2312" s="1" t="s">
        <v>44</v>
      </c>
      <c r="L2312" s="1">
        <v>835.0</v>
      </c>
      <c r="M2312" s="1">
        <v>1974.0</v>
      </c>
      <c r="N2312" s="1">
        <v>1974.0</v>
      </c>
      <c r="P2312" s="2">
        <v>45173.0</v>
      </c>
      <c r="Q2312" s="1" t="s">
        <v>32</v>
      </c>
      <c r="R2312" s="1" t="s">
        <v>10067</v>
      </c>
      <c r="S2312" s="1" t="s">
        <v>32</v>
      </c>
      <c r="W2312" s="1">
        <v>0.0</v>
      </c>
      <c r="X2312" s="1">
        <v>0.0</v>
      </c>
    </row>
    <row r="2313" spans="1:24" ht="15.75" customHeight="1">
      <c r="A2313" s="1">
        <v>2.881479E7</v>
      </c>
      <c r="B2313" s="1" t="s">
        <v>10068</v>
      </c>
      <c r="C2313" s="1" t="s">
        <v>10064</v>
      </c>
      <c r="D2313" s="1" t="s">
        <v>10065</v>
      </c>
      <c r="E2313" s="1" t="s">
        <v>10069</v>
      </c>
      <c r="F2313" s="1" t="str">
        <f>"0679644830"</f>
        <v>0679644830</v>
      </c>
      <c r="G2313" s="1" t="str">
        <f>"9780679644835"</f>
        <v>9780679644835</v>
      </c>
      <c r="H2313" s="1">
        <v>0.0</v>
      </c>
      <c r="I2313" s="1">
        <v>4.03</v>
      </c>
      <c r="J2313" s="1" t="s">
        <v>1189</v>
      </c>
      <c r="K2313" s="1" t="s">
        <v>37</v>
      </c>
      <c r="L2313" s="1">
        <v>720.0</v>
      </c>
      <c r="M2313" s="1">
        <v>2016.0</v>
      </c>
      <c r="N2313" s="1">
        <v>2016.0</v>
      </c>
      <c r="P2313" s="2">
        <v>45173.0</v>
      </c>
      <c r="Q2313" s="1" t="s">
        <v>32</v>
      </c>
      <c r="R2313" s="1" t="s">
        <v>10070</v>
      </c>
      <c r="S2313" s="1" t="s">
        <v>32</v>
      </c>
      <c r="W2313" s="1">
        <v>0.0</v>
      </c>
      <c r="X2313" s="1">
        <v>0.0</v>
      </c>
    </row>
    <row r="2314" spans="1:24" ht="15.75" customHeight="1">
      <c r="A2314" s="1">
        <v>2.4388341E7</v>
      </c>
      <c r="B2314" s="1" t="s">
        <v>10071</v>
      </c>
      <c r="C2314" s="1" t="s">
        <v>10064</v>
      </c>
      <c r="D2314" s="1" t="s">
        <v>10065</v>
      </c>
      <c r="E2314" s="1" t="s">
        <v>10072</v>
      </c>
      <c r="F2314" s="1" t="str">
        <f>"0679644814"</f>
        <v>0679644814</v>
      </c>
      <c r="G2314" s="1" t="str">
        <f>"9780679644811"</f>
        <v>9780679644811</v>
      </c>
      <c r="H2314" s="1">
        <v>0.0</v>
      </c>
      <c r="I2314" s="1">
        <v>4.13</v>
      </c>
      <c r="J2314" s="1" t="s">
        <v>1189</v>
      </c>
      <c r="K2314" s="1" t="s">
        <v>37</v>
      </c>
      <c r="L2314" s="1">
        <v>784.0</v>
      </c>
      <c r="M2314" s="1">
        <v>2015.0</v>
      </c>
      <c r="N2314" s="1">
        <v>2015.0</v>
      </c>
      <c r="P2314" s="2">
        <v>45173.0</v>
      </c>
      <c r="Q2314" s="1" t="s">
        <v>32</v>
      </c>
      <c r="R2314" s="1" t="s">
        <v>10073</v>
      </c>
      <c r="S2314" s="1" t="s">
        <v>32</v>
      </c>
      <c r="W2314" s="1">
        <v>0.0</v>
      </c>
      <c r="X2314" s="1">
        <v>0.0</v>
      </c>
    </row>
    <row r="2315" spans="1:24" ht="15.75" customHeight="1">
      <c r="A2315" s="1">
        <v>1.8310234E7</v>
      </c>
      <c r="B2315" s="1" t="s">
        <v>10074</v>
      </c>
      <c r="C2315" s="1" t="s">
        <v>10064</v>
      </c>
      <c r="D2315" s="1" t="s">
        <v>10065</v>
      </c>
      <c r="E2315" s="1" t="s">
        <v>10075</v>
      </c>
      <c r="F2315" s="1" t="str">
        <f>"0679644792"</f>
        <v>0679644792</v>
      </c>
      <c r="G2315" s="1" t="str">
        <f>"9780679644798"</f>
        <v>9780679644798</v>
      </c>
      <c r="H2315" s="1">
        <v>0.0</v>
      </c>
      <c r="I2315" s="1">
        <v>4.26</v>
      </c>
      <c r="J2315" s="1" t="s">
        <v>1189</v>
      </c>
      <c r="K2315" s="1" t="s">
        <v>37</v>
      </c>
      <c r="L2315" s="1">
        <v>696.0</v>
      </c>
      <c r="M2315" s="1">
        <v>2014.0</v>
      </c>
      <c r="N2315" s="1">
        <v>2014.0</v>
      </c>
      <c r="P2315" s="2">
        <v>45173.0</v>
      </c>
      <c r="Q2315" s="1" t="s">
        <v>32</v>
      </c>
      <c r="R2315" s="1" t="s">
        <v>10076</v>
      </c>
      <c r="S2315" s="1" t="s">
        <v>32</v>
      </c>
      <c r="W2315" s="1">
        <v>0.0</v>
      </c>
      <c r="X2315" s="1">
        <v>0.0</v>
      </c>
    </row>
    <row r="2316" spans="1:24" ht="15.75" customHeight="1">
      <c r="A2316" s="1">
        <v>201385.0</v>
      </c>
      <c r="B2316" s="1" t="s">
        <v>10077</v>
      </c>
      <c r="C2316" s="1" t="s">
        <v>10078</v>
      </c>
      <c r="D2316" s="1" t="s">
        <v>10079</v>
      </c>
      <c r="E2316" s="1" t="s">
        <v>10080</v>
      </c>
      <c r="F2316" s="1" t="str">
        <f>"0415253802"</f>
        <v>0415253802</v>
      </c>
      <c r="G2316" s="1" t="str">
        <f>"9780415253802"</f>
        <v>9780415253802</v>
      </c>
      <c r="H2316" s="1">
        <v>0.0</v>
      </c>
      <c r="I2316" s="1">
        <v>4.04</v>
      </c>
      <c r="J2316" s="1" t="s">
        <v>280</v>
      </c>
      <c r="K2316" s="1" t="s">
        <v>44</v>
      </c>
      <c r="L2316" s="1">
        <v>224.0</v>
      </c>
      <c r="M2316" s="1">
        <v>2001.0</v>
      </c>
      <c r="N2316" s="1">
        <v>1944.0</v>
      </c>
      <c r="P2316" s="2">
        <v>43107.0</v>
      </c>
      <c r="Q2316" s="1" t="s">
        <v>32</v>
      </c>
      <c r="R2316" s="1" t="s">
        <v>10081</v>
      </c>
      <c r="S2316" s="1" t="s">
        <v>32</v>
      </c>
      <c r="W2316" s="1">
        <v>0.0</v>
      </c>
      <c r="X2316" s="1">
        <v>0.0</v>
      </c>
    </row>
    <row r="2317" spans="1:24" ht="15.75" customHeight="1">
      <c r="A2317" s="1">
        <v>1274222.0</v>
      </c>
      <c r="B2317" s="1" t="s">
        <v>10082</v>
      </c>
      <c r="C2317" s="1" t="s">
        <v>10083</v>
      </c>
      <c r="D2317" s="1" t="s">
        <v>10084</v>
      </c>
      <c r="F2317" s="1" t="str">
        <f>"1890482935"</f>
        <v>1890482935</v>
      </c>
      <c r="G2317" s="1" t="str">
        <f>"9781890482930"</f>
        <v>9781890482930</v>
      </c>
      <c r="H2317" s="1">
        <v>0.0</v>
      </c>
      <c r="I2317" s="1">
        <v>3.83</v>
      </c>
      <c r="J2317" s="1" t="s">
        <v>132</v>
      </c>
      <c r="K2317" s="1" t="s">
        <v>44</v>
      </c>
      <c r="L2317" s="1">
        <v>288.0</v>
      </c>
      <c r="M2317" s="1">
        <v>1997.0</v>
      </c>
      <c r="N2317" s="1">
        <v>1997.0</v>
      </c>
      <c r="P2317" s="2">
        <v>45120.0</v>
      </c>
      <c r="Q2317" s="1" t="s">
        <v>725</v>
      </c>
      <c r="R2317" s="1" t="s">
        <v>10085</v>
      </c>
      <c r="S2317" s="1" t="s">
        <v>32</v>
      </c>
      <c r="W2317" s="1">
        <v>0.0</v>
      </c>
      <c r="X2317" s="1">
        <v>0.0</v>
      </c>
    </row>
    <row r="2318" spans="1:24" ht="15.75" customHeight="1">
      <c r="A2318" s="1">
        <v>2330424.0</v>
      </c>
      <c r="B2318" s="1" t="s">
        <v>10086</v>
      </c>
      <c r="C2318" s="1" t="s">
        <v>10087</v>
      </c>
      <c r="D2318" s="1" t="s">
        <v>10088</v>
      </c>
      <c r="F2318" s="1" t="str">
        <f>"0374126216"</f>
        <v>0374126216</v>
      </c>
      <c r="G2318" s="1" t="str">
        <f>"9780374126216"</f>
        <v>9780374126216</v>
      </c>
      <c r="H2318" s="1">
        <v>0.0</v>
      </c>
      <c r="I2318" s="1">
        <v>4.25</v>
      </c>
      <c r="J2318" s="1" t="s">
        <v>3437</v>
      </c>
      <c r="K2318" s="1" t="s">
        <v>37</v>
      </c>
      <c r="L2318" s="1">
        <v>495.0</v>
      </c>
      <c r="M2318" s="1">
        <v>1994.0</v>
      </c>
      <c r="N2318" s="1">
        <v>1993.0</v>
      </c>
      <c r="P2318" s="3">
        <v>44118.0</v>
      </c>
      <c r="Q2318" s="1" t="s">
        <v>421</v>
      </c>
      <c r="R2318" s="1" t="s">
        <v>10089</v>
      </c>
      <c r="S2318" s="1" t="s">
        <v>32</v>
      </c>
      <c r="W2318" s="1">
        <v>0.0</v>
      </c>
      <c r="X2318" s="1">
        <v>0.0</v>
      </c>
    </row>
    <row r="2319" spans="1:24" ht="15.75" customHeight="1">
      <c r="A2319" s="1">
        <v>53012.0</v>
      </c>
      <c r="B2319" s="1" t="s">
        <v>10090</v>
      </c>
      <c r="C2319" s="1" t="s">
        <v>10087</v>
      </c>
      <c r="D2319" s="1" t="s">
        <v>10088</v>
      </c>
      <c r="F2319" s="1" t="str">
        <f>"0374527717"</f>
        <v>0374527717</v>
      </c>
      <c r="G2319" s="1" t="str">
        <f>"9780374527716"</f>
        <v>9780374527716</v>
      </c>
      <c r="H2319" s="1">
        <v>0.0</v>
      </c>
      <c r="I2319" s="1">
        <v>3.91</v>
      </c>
      <c r="J2319" s="1" t="s">
        <v>438</v>
      </c>
      <c r="K2319" s="1" t="s">
        <v>44</v>
      </c>
      <c r="L2319" s="1">
        <v>112.0</v>
      </c>
      <c r="M2319" s="1">
        <v>2001.0</v>
      </c>
      <c r="N2319" s="1">
        <v>2000.0</v>
      </c>
      <c r="P2319" s="2">
        <v>45143.0</v>
      </c>
      <c r="Q2319" s="1" t="s">
        <v>449</v>
      </c>
      <c r="R2319" s="1" t="s">
        <v>10091</v>
      </c>
      <c r="S2319" s="1" t="s">
        <v>32</v>
      </c>
      <c r="W2319" s="1">
        <v>1.0</v>
      </c>
      <c r="X2319" s="1">
        <v>1.0</v>
      </c>
    </row>
    <row r="2320" spans="1:24" ht="15.75" customHeight="1">
      <c r="A2320" s="1">
        <v>53159.0</v>
      </c>
      <c r="B2320" s="1" t="s">
        <v>10092</v>
      </c>
      <c r="C2320" s="1" t="s">
        <v>10087</v>
      </c>
      <c r="D2320" s="1" t="s">
        <v>10088</v>
      </c>
      <c r="F2320" s="1" t="str">
        <f>"0374523819"</f>
        <v>0374523819</v>
      </c>
      <c r="G2320" s="1" t="str">
        <f>"9780374523817"</f>
        <v>9780374523817</v>
      </c>
      <c r="H2320" s="1">
        <v>4.0</v>
      </c>
      <c r="I2320" s="1">
        <v>4.09</v>
      </c>
      <c r="J2320" s="1" t="s">
        <v>438</v>
      </c>
      <c r="K2320" s="1" t="s">
        <v>44</v>
      </c>
      <c r="L2320" s="1">
        <v>96.0</v>
      </c>
      <c r="M2320" s="1">
        <v>1993.0</v>
      </c>
      <c r="N2320" s="1">
        <v>1992.0</v>
      </c>
      <c r="O2320" s="2">
        <v>43967.0</v>
      </c>
      <c r="P2320" s="2">
        <v>43180.0</v>
      </c>
      <c r="Q2320" s="1" t="s">
        <v>9374</v>
      </c>
      <c r="R2320" s="1" t="s">
        <v>10093</v>
      </c>
      <c r="S2320" s="1" t="s">
        <v>271</v>
      </c>
      <c r="W2320" s="1">
        <v>1.0</v>
      </c>
      <c r="X2320" s="1">
        <v>1.0</v>
      </c>
    </row>
    <row r="2321" spans="1:24" ht="15.75" customHeight="1">
      <c r="A2321" s="1">
        <v>2.5424028E7</v>
      </c>
      <c r="B2321" s="1" t="s">
        <v>10094</v>
      </c>
      <c r="C2321" s="1" t="s">
        <v>10095</v>
      </c>
      <c r="D2321" s="1" t="s">
        <v>10096</v>
      </c>
      <c r="F2321" s="1" t="str">
        <f>"0571317014"</f>
        <v>0571317014</v>
      </c>
      <c r="G2321" s="1" t="str">
        <f>"9780571317011"</f>
        <v>9780571317011</v>
      </c>
      <c r="H2321" s="1">
        <v>0.0</v>
      </c>
      <c r="I2321" s="1">
        <v>3.75</v>
      </c>
      <c r="J2321" s="1" t="s">
        <v>454</v>
      </c>
      <c r="K2321" s="1" t="s">
        <v>37</v>
      </c>
      <c r="L2321" s="1">
        <v>278.0</v>
      </c>
      <c r="M2321" s="1">
        <v>2015.0</v>
      </c>
      <c r="N2321" s="1">
        <v>2015.0</v>
      </c>
      <c r="P2321" s="2">
        <v>43968.0</v>
      </c>
      <c r="Q2321" s="1" t="s">
        <v>32</v>
      </c>
      <c r="R2321" s="1" t="s">
        <v>10097</v>
      </c>
      <c r="S2321" s="1" t="s">
        <v>32</v>
      </c>
      <c r="W2321" s="1">
        <v>0.0</v>
      </c>
      <c r="X2321" s="1">
        <v>0.0</v>
      </c>
    </row>
    <row r="2322" spans="1:24" ht="15.75" customHeight="1">
      <c r="A2322" s="1">
        <v>2.5666062E7</v>
      </c>
      <c r="B2322" s="1" t="s">
        <v>10098</v>
      </c>
      <c r="C2322" s="1" t="s">
        <v>10099</v>
      </c>
      <c r="D2322" s="1" t="s">
        <v>10100</v>
      </c>
      <c r="F2322" s="1" t="str">
        <f>"1627795391"</f>
        <v>1627795391</v>
      </c>
      <c r="G2322" s="1" t="str">
        <f>"9781627795395"</f>
        <v>9781627795395</v>
      </c>
      <c r="H2322" s="1">
        <v>0.0</v>
      </c>
      <c r="I2322" s="1">
        <v>4.18</v>
      </c>
      <c r="J2322" s="1" t="s">
        <v>1200</v>
      </c>
      <c r="K2322" s="1" t="s">
        <v>37</v>
      </c>
      <c r="L2322" s="1">
        <v>320.0</v>
      </c>
      <c r="M2322" s="1">
        <v>2016.0</v>
      </c>
      <c r="N2322" s="1">
        <v>2016.0</v>
      </c>
      <c r="P2322" s="3">
        <v>45243.0</v>
      </c>
      <c r="Q2322" s="1" t="s">
        <v>55</v>
      </c>
      <c r="R2322" s="1" t="s">
        <v>10101</v>
      </c>
      <c r="S2322" s="1" t="s">
        <v>32</v>
      </c>
      <c r="W2322" s="1">
        <v>0.0</v>
      </c>
      <c r="X2322" s="1">
        <v>0.0</v>
      </c>
    </row>
    <row r="2323" spans="1:24" ht="15.75" customHeight="1">
      <c r="A2323" s="1">
        <v>5.181548E7</v>
      </c>
      <c r="B2323" s="1" t="s">
        <v>10102</v>
      </c>
      <c r="C2323" s="1" t="s">
        <v>10103</v>
      </c>
      <c r="D2323" s="1" t="s">
        <v>10104</v>
      </c>
      <c r="F2323" s="1" t="str">
        <f>"0312924585"</f>
        <v>0312924585</v>
      </c>
      <c r="G2323" s="1" t="str">
        <f>"9780312924584"</f>
        <v>9780312924584</v>
      </c>
      <c r="H2323" s="1">
        <v>0.0</v>
      </c>
      <c r="I2323" s="1">
        <v>4.24</v>
      </c>
      <c r="J2323" s="1" t="s">
        <v>10105</v>
      </c>
      <c r="K2323" s="1" t="s">
        <v>1225</v>
      </c>
      <c r="L2323" s="1">
        <v>367.0</v>
      </c>
      <c r="M2323" s="1">
        <v>1989.0</v>
      </c>
      <c r="N2323" s="1">
        <v>1988.0</v>
      </c>
      <c r="P2323" s="2">
        <v>45113.0</v>
      </c>
      <c r="Q2323" s="1" t="s">
        <v>818</v>
      </c>
      <c r="R2323" s="1" t="s">
        <v>10106</v>
      </c>
      <c r="S2323" s="1" t="s">
        <v>32</v>
      </c>
      <c r="W2323" s="1">
        <v>0.0</v>
      </c>
      <c r="X2323" s="1">
        <v>1.0</v>
      </c>
    </row>
    <row r="2324" spans="1:24" ht="15.75" customHeight="1">
      <c r="A2324" s="1">
        <v>7206194.0</v>
      </c>
      <c r="B2324" s="1" t="s">
        <v>10107</v>
      </c>
      <c r="C2324" s="1" t="s">
        <v>10108</v>
      </c>
      <c r="D2324" s="1" t="s">
        <v>10109</v>
      </c>
      <c r="E2324" s="1" t="s">
        <v>10110</v>
      </c>
      <c r="F2324" s="1" t="str">
        <f>"0892541601"</f>
        <v>0892541601</v>
      </c>
      <c r="G2324" s="1" t="str">
        <f>"9780892541607"</f>
        <v>9780892541607</v>
      </c>
      <c r="H2324" s="1">
        <v>0.0</v>
      </c>
      <c r="I2324" s="1">
        <v>3.88</v>
      </c>
      <c r="J2324" s="1" t="s">
        <v>10111</v>
      </c>
      <c r="K2324" s="1" t="s">
        <v>44</v>
      </c>
      <c r="L2324" s="1">
        <v>352.0</v>
      </c>
      <c r="M2324" s="1">
        <v>2010.0</v>
      </c>
      <c r="N2324" s="1">
        <v>1979.0</v>
      </c>
      <c r="P2324" s="3">
        <v>44484.0</v>
      </c>
      <c r="Q2324" s="1" t="s">
        <v>725</v>
      </c>
      <c r="R2324" s="1" t="s">
        <v>10112</v>
      </c>
      <c r="S2324" s="1" t="s">
        <v>32</v>
      </c>
      <c r="W2324" s="1">
        <v>0.0</v>
      </c>
      <c r="X2324" s="1">
        <v>0.0</v>
      </c>
    </row>
    <row r="2325" spans="1:24" ht="15.75" customHeight="1">
      <c r="A2325" s="1">
        <v>92573.0</v>
      </c>
      <c r="B2325" s="1" t="s">
        <v>10113</v>
      </c>
      <c r="C2325" s="1" t="s">
        <v>10114</v>
      </c>
      <c r="D2325" s="1" t="s">
        <v>10115</v>
      </c>
      <c r="E2325" s="1" t="s">
        <v>10116</v>
      </c>
      <c r="F2325" s="1" t="str">
        <f>"009944254X"</f>
        <v>009944254X</v>
      </c>
      <c r="G2325" s="1" t="str">
        <f>"9780099442547"</f>
        <v>9780099442547</v>
      </c>
      <c r="H2325" s="1">
        <v>0.0</v>
      </c>
      <c r="I2325" s="1">
        <v>4.26</v>
      </c>
      <c r="J2325" s="1" t="s">
        <v>69</v>
      </c>
      <c r="K2325" s="1" t="s">
        <v>44</v>
      </c>
      <c r="L2325" s="1">
        <v>253.0</v>
      </c>
      <c r="M2325" s="1">
        <v>2003.0</v>
      </c>
      <c r="N2325" s="1">
        <v>1975.0</v>
      </c>
      <c r="P2325" s="3">
        <v>45291.0</v>
      </c>
      <c r="Q2325" s="1" t="s">
        <v>145</v>
      </c>
      <c r="R2325" s="1" t="s">
        <v>10117</v>
      </c>
      <c r="S2325" s="1" t="s">
        <v>32</v>
      </c>
      <c r="W2325" s="1">
        <v>0.0</v>
      </c>
      <c r="X2325" s="1">
        <v>0.0</v>
      </c>
    </row>
    <row r="2326" spans="1:24" ht="15.75" customHeight="1">
      <c r="A2326" s="1">
        <v>92570.0</v>
      </c>
      <c r="B2326" s="1" t="s">
        <v>10118</v>
      </c>
      <c r="C2326" s="1" t="s">
        <v>10114</v>
      </c>
      <c r="D2326" s="1" t="s">
        <v>10115</v>
      </c>
      <c r="E2326" s="1" t="s">
        <v>10119</v>
      </c>
      <c r="F2326" s="1" t="str">
        <f>"1400077540"</f>
        <v>1400077540</v>
      </c>
      <c r="G2326" s="1" t="str">
        <f>"9781400077540"</f>
        <v>9781400077540</v>
      </c>
      <c r="H2326" s="1">
        <v>0.0</v>
      </c>
      <c r="I2326" s="1">
        <v>4.04</v>
      </c>
      <c r="J2326" s="1" t="s">
        <v>69</v>
      </c>
      <c r="K2326" s="1" t="s">
        <v>44</v>
      </c>
      <c r="L2326" s="1">
        <v>208.0</v>
      </c>
      <c r="M2326" s="1">
        <v>2006.0</v>
      </c>
      <c r="N2326" s="1">
        <v>1983.0</v>
      </c>
      <c r="P2326" s="2">
        <v>44204.0</v>
      </c>
      <c r="Q2326" s="1" t="s">
        <v>32</v>
      </c>
      <c r="R2326" s="1" t="s">
        <v>10120</v>
      </c>
      <c r="S2326" s="1" t="s">
        <v>32</v>
      </c>
      <c r="W2326" s="1">
        <v>0.0</v>
      </c>
      <c r="X2326" s="1">
        <v>0.0</v>
      </c>
    </row>
    <row r="2327" spans="1:24" ht="15.75" customHeight="1">
      <c r="A2327" s="1">
        <v>588147.0</v>
      </c>
      <c r="B2327" s="1" t="s">
        <v>10121</v>
      </c>
      <c r="C2327" s="1" t="s">
        <v>10122</v>
      </c>
      <c r="D2327" s="1" t="s">
        <v>10123</v>
      </c>
      <c r="E2327" s="1" t="s">
        <v>351</v>
      </c>
      <c r="F2327" s="1" t="str">
        <f>"0375751475"</f>
        <v>0375751475</v>
      </c>
      <c r="G2327" s="1" t="str">
        <f>"9780375751479"</f>
        <v>9780375751479</v>
      </c>
      <c r="H2327" s="1">
        <v>0.0</v>
      </c>
      <c r="I2327" s="1">
        <v>4.14</v>
      </c>
      <c r="J2327" s="1" t="s">
        <v>3611</v>
      </c>
      <c r="K2327" s="1" t="s">
        <v>44</v>
      </c>
      <c r="L2327" s="1">
        <v>862.0</v>
      </c>
      <c r="M2327" s="1">
        <v>1998.0</v>
      </c>
      <c r="N2327" s="1">
        <v>1855.0</v>
      </c>
      <c r="P2327" s="2">
        <v>45080.0</v>
      </c>
      <c r="Q2327" s="1" t="s">
        <v>935</v>
      </c>
      <c r="R2327" s="1" t="s">
        <v>10124</v>
      </c>
      <c r="S2327" s="1" t="s">
        <v>32</v>
      </c>
      <c r="W2327" s="1">
        <v>0.0</v>
      </c>
      <c r="X2327" s="1">
        <v>0.0</v>
      </c>
    </row>
    <row r="2328" spans="1:24" ht="15.75" customHeight="1">
      <c r="A2328" s="1">
        <v>39933.0</v>
      </c>
      <c r="B2328" s="1" t="s">
        <v>10125</v>
      </c>
      <c r="C2328" s="1" t="s">
        <v>10126</v>
      </c>
      <c r="D2328" s="1" t="s">
        <v>10127</v>
      </c>
      <c r="F2328" s="1" t="str">
        <f>"006000942X"</f>
        <v>006000942X</v>
      </c>
      <c r="G2328" s="1" t="str">
        <f>"9780060009427"</f>
        <v>9780060009427</v>
      </c>
      <c r="H2328" s="1">
        <v>0.0</v>
      </c>
      <c r="I2328" s="1">
        <v>3.61</v>
      </c>
      <c r="J2328" s="1" t="s">
        <v>917</v>
      </c>
      <c r="K2328" s="1" t="s">
        <v>44</v>
      </c>
      <c r="L2328" s="1">
        <v>314.0</v>
      </c>
      <c r="M2328" s="1">
        <v>2003.0</v>
      </c>
      <c r="N2328" s="1">
        <v>2003.0</v>
      </c>
      <c r="P2328" s="2">
        <v>45157.0</v>
      </c>
      <c r="Q2328" s="1" t="s">
        <v>32</v>
      </c>
      <c r="R2328" s="1" t="s">
        <v>10128</v>
      </c>
      <c r="S2328" s="1" t="s">
        <v>32</v>
      </c>
      <c r="W2328" s="1">
        <v>0.0</v>
      </c>
      <c r="X2328" s="1">
        <v>0.0</v>
      </c>
    </row>
    <row r="2329" spans="1:24" ht="15.75" customHeight="1">
      <c r="A2329" s="1">
        <v>52998.0</v>
      </c>
      <c r="B2329" s="1" t="s">
        <v>10129</v>
      </c>
      <c r="C2329" s="1" t="s">
        <v>10130</v>
      </c>
      <c r="D2329" s="1" t="s">
        <v>10131</v>
      </c>
      <c r="E2329" s="1" t="s">
        <v>10132</v>
      </c>
      <c r="F2329" s="1" t="str">
        <f>"0192836730"</f>
        <v>0192836730</v>
      </c>
      <c r="G2329" s="1" t="str">
        <f>"9780192836731"</f>
        <v>9780192836731</v>
      </c>
      <c r="H2329" s="1">
        <v>0.0</v>
      </c>
      <c r="I2329" s="1">
        <v>3.62</v>
      </c>
      <c r="J2329" s="1" t="s">
        <v>181</v>
      </c>
      <c r="K2329" s="1" t="s">
        <v>44</v>
      </c>
      <c r="L2329" s="1">
        <v>320.0</v>
      </c>
      <c r="M2329" s="1">
        <v>2000.0</v>
      </c>
      <c r="N2329" s="1">
        <v>1834.0</v>
      </c>
      <c r="P2329" s="2">
        <v>45182.0</v>
      </c>
      <c r="Q2329" s="1" t="s">
        <v>249</v>
      </c>
      <c r="R2329" s="1" t="s">
        <v>10133</v>
      </c>
      <c r="S2329" s="1" t="s">
        <v>32</v>
      </c>
      <c r="W2329" s="1">
        <v>0.0</v>
      </c>
      <c r="X2329" s="1">
        <v>0.0</v>
      </c>
    </row>
    <row r="2330" spans="1:24" ht="15.75" customHeight="1">
      <c r="A2330" s="1">
        <v>86342.0</v>
      </c>
      <c r="B2330" s="1" t="s">
        <v>10134</v>
      </c>
      <c r="C2330" s="1" t="s">
        <v>10135</v>
      </c>
      <c r="D2330" s="1" t="s">
        <v>10136</v>
      </c>
      <c r="F2330" s="1" t="str">
        <f>"159420103X"</f>
        <v>159420103X</v>
      </c>
      <c r="G2330" s="1" t="str">
        <f>"9781594201035"</f>
        <v>9781594201035</v>
      </c>
      <c r="H2330" s="1">
        <v>0.0</v>
      </c>
      <c r="I2330" s="1">
        <v>4.08</v>
      </c>
      <c r="J2330" s="1" t="s">
        <v>10137</v>
      </c>
      <c r="K2330" s="1" t="s">
        <v>37</v>
      </c>
      <c r="L2330" s="1">
        <v>482.0</v>
      </c>
      <c r="M2330" s="1">
        <v>2006.0</v>
      </c>
      <c r="N2330" s="1">
        <v>2006.0</v>
      </c>
      <c r="P2330" s="3">
        <v>45278.0</v>
      </c>
      <c r="Q2330" s="1" t="s">
        <v>479</v>
      </c>
      <c r="R2330" s="1" t="s">
        <v>10138</v>
      </c>
      <c r="S2330" s="1" t="s">
        <v>32</v>
      </c>
      <c r="W2330" s="1">
        <v>0.0</v>
      </c>
      <c r="X2330" s="1">
        <v>0.0</v>
      </c>
    </row>
    <row r="2331" spans="1:24" ht="15.75" customHeight="1">
      <c r="A2331" s="21">
        <v>32261.0</v>
      </c>
      <c r="B2331" s="21" t="s">
        <v>10139</v>
      </c>
      <c r="C2331" s="21" t="s">
        <v>10140</v>
      </c>
      <c r="D2331" s="21" t="s">
        <v>10141</v>
      </c>
      <c r="E2331" s="21" t="s">
        <v>10142</v>
      </c>
      <c r="F2331" s="21" t="str">
        <f t="shared" si="174" ref="F2331:G2331">""</f>
        <v/>
      </c>
      <c r="G2331" s="21" t="str">
        <f t="shared" si="174"/>
        <v/>
      </c>
      <c r="H2331" s="21">
        <v>0.0</v>
      </c>
      <c r="I2331" s="21">
        <v>3.83</v>
      </c>
      <c r="J2331" s="21" t="s">
        <v>1023</v>
      </c>
      <c r="K2331" s="21" t="s">
        <v>44</v>
      </c>
      <c r="L2331" s="21">
        <v>518.0</v>
      </c>
      <c r="M2331" s="21">
        <v>2003.0</v>
      </c>
      <c r="N2331" s="21">
        <v>1891.0</v>
      </c>
      <c r="O2331" s="22"/>
      <c r="P2331" s="23">
        <v>44904.0</v>
      </c>
      <c r="Q2331" s="24" t="s">
        <v>353</v>
      </c>
      <c r="R2331" s="21" t="s">
        <v>10143</v>
      </c>
      <c r="S2331" s="21" t="s">
        <v>32</v>
      </c>
      <c r="T2331" s="22"/>
      <c r="U2331" s="22"/>
      <c r="V2331" s="22"/>
      <c r="W2331" s="21">
        <v>0.0</v>
      </c>
      <c r="X2331" s="21">
        <v>0.0</v>
      </c>
    </row>
    <row r="2332" spans="1:24" ht="15.75" customHeight="1">
      <c r="A2332" s="21">
        <v>1.0083326E7</v>
      </c>
      <c r="B2332" s="21" t="s">
        <v>10144</v>
      </c>
      <c r="C2332" s="21" t="s">
        <v>10140</v>
      </c>
      <c r="D2332" s="21" t="s">
        <v>10141</v>
      </c>
      <c r="E2332" s="21" t="s">
        <v>10145</v>
      </c>
      <c r="F2332" s="21" t="str">
        <f>"8488730128"</f>
        <v>8488730128</v>
      </c>
      <c r="G2332" s="21" t="str">
        <f>"9788488730121"</f>
        <v>9788488730121</v>
      </c>
      <c r="H2332" s="21">
        <v>0.0</v>
      </c>
      <c r="I2332" s="21">
        <v>3.83</v>
      </c>
      <c r="J2332" s="21" t="s">
        <v>10146</v>
      </c>
      <c r="K2332" s="21" t="s">
        <v>44</v>
      </c>
      <c r="L2332" s="21">
        <v>533.0</v>
      </c>
      <c r="M2332" s="21">
        <v>1997.0</v>
      </c>
      <c r="N2332" s="21">
        <v>1895.0</v>
      </c>
      <c r="O2332" s="22"/>
      <c r="P2332" s="23">
        <v>43969.0</v>
      </c>
      <c r="Q2332" s="24" t="s">
        <v>353</v>
      </c>
      <c r="R2332" s="21" t="s">
        <v>10147</v>
      </c>
      <c r="S2332" s="21" t="s">
        <v>32</v>
      </c>
      <c r="T2332" s="22"/>
      <c r="U2332" s="22"/>
      <c r="V2332" s="22"/>
      <c r="W2332" s="21">
        <v>0.0</v>
      </c>
      <c r="X2332" s="21">
        <v>0.0</v>
      </c>
    </row>
    <row r="2333" spans="1:24" ht="15.75" customHeight="1">
      <c r="A2333" s="1">
        <v>1.6057072E7</v>
      </c>
      <c r="B2333" s="1" t="s">
        <v>10148</v>
      </c>
      <c r="C2333" s="1" t="s">
        <v>10149</v>
      </c>
      <c r="D2333" s="1" t="s">
        <v>10150</v>
      </c>
      <c r="F2333" s="1" t="str">
        <f>"193674757X"</f>
        <v>193674757X</v>
      </c>
      <c r="G2333" s="1" t="str">
        <f>"9781936747573"</f>
        <v>9781936747573</v>
      </c>
      <c r="H2333" s="1">
        <v>0.0</v>
      </c>
      <c r="I2333" s="1">
        <v>4.14</v>
      </c>
      <c r="J2333" s="1" t="s">
        <v>5018</v>
      </c>
      <c r="K2333" s="1" t="s">
        <v>44</v>
      </c>
      <c r="L2333" s="1">
        <v>192.0</v>
      </c>
      <c r="M2333" s="1">
        <v>2013.0</v>
      </c>
      <c r="N2333" s="1">
        <v>2013.0</v>
      </c>
      <c r="P2333" s="2">
        <v>44814.0</v>
      </c>
      <c r="Q2333" s="1" t="s">
        <v>115</v>
      </c>
      <c r="R2333" s="1" t="s">
        <v>10151</v>
      </c>
      <c r="S2333" s="1" t="s">
        <v>32</v>
      </c>
      <c r="W2333" s="1">
        <v>0.0</v>
      </c>
      <c r="X2333" s="1">
        <v>0.0</v>
      </c>
    </row>
    <row r="2334" spans="1:24" ht="15.75" customHeight="1">
      <c r="A2334" s="1">
        <v>2.0626006E7</v>
      </c>
      <c r="B2334" s="1" t="s">
        <v>10152</v>
      </c>
      <c r="C2334" s="1" t="s">
        <v>10153</v>
      </c>
      <c r="D2334" s="1" t="s">
        <v>10154</v>
      </c>
      <c r="F2334" s="1" t="str">
        <f t="shared" si="175" ref="F2334:G2334">""</f>
        <v/>
      </c>
      <c r="G2334" s="1" t="str">
        <f t="shared" si="175"/>
        <v/>
      </c>
      <c r="H2334" s="1">
        <v>0.0</v>
      </c>
      <c r="I2334" s="1">
        <v>3.71</v>
      </c>
      <c r="J2334" s="1" t="s">
        <v>1023</v>
      </c>
      <c r="K2334" s="1" t="s">
        <v>44</v>
      </c>
      <c r="L2334" s="1">
        <v>728.0</v>
      </c>
      <c r="M2334" s="1">
        <v>1985.0</v>
      </c>
      <c r="N2334" s="1">
        <v>1651.0</v>
      </c>
      <c r="P2334" s="2">
        <v>45113.0</v>
      </c>
      <c r="Q2334" s="1" t="s">
        <v>1207</v>
      </c>
      <c r="R2334" s="1" t="s">
        <v>10155</v>
      </c>
      <c r="S2334" s="1" t="s">
        <v>32</v>
      </c>
      <c r="W2334" s="1">
        <v>0.0</v>
      </c>
      <c r="X2334" s="1">
        <v>1.0</v>
      </c>
    </row>
    <row r="2335" spans="1:24" ht="15.75" customHeight="1">
      <c r="A2335" s="1">
        <v>268302.0</v>
      </c>
      <c r="B2335" s="1" t="s">
        <v>10156</v>
      </c>
      <c r="C2335" s="1" t="s">
        <v>10157</v>
      </c>
      <c r="D2335" s="1" t="s">
        <v>10158</v>
      </c>
      <c r="F2335" s="1" t="str">
        <f t="shared" si="176" ref="F2335:G2335">""</f>
        <v/>
      </c>
      <c r="G2335" s="1" t="str">
        <f t="shared" si="176"/>
        <v/>
      </c>
      <c r="H2335" s="1">
        <v>0.0</v>
      </c>
      <c r="I2335" s="1">
        <v>4.34</v>
      </c>
      <c r="J2335" s="1" t="s">
        <v>7764</v>
      </c>
      <c r="K2335" s="1" t="s">
        <v>44</v>
      </c>
      <c r="L2335" s="1">
        <v>429.0</v>
      </c>
      <c r="M2335" s="1">
        <v>1996.0</v>
      </c>
      <c r="N2335" s="1">
        <v>1982.0</v>
      </c>
      <c r="P2335" s="2">
        <v>45111.0</v>
      </c>
      <c r="Q2335" s="1" t="s">
        <v>261</v>
      </c>
      <c r="R2335" s="1" t="s">
        <v>10159</v>
      </c>
      <c r="S2335" s="1" t="s">
        <v>32</v>
      </c>
      <c r="W2335" s="1">
        <v>0.0</v>
      </c>
      <c r="X2335" s="1">
        <v>0.0</v>
      </c>
    </row>
    <row r="2336" spans="1:24" ht="15.75" customHeight="1">
      <c r="A2336" s="1">
        <v>750761.0</v>
      </c>
      <c r="B2336" s="1" t="s">
        <v>10160</v>
      </c>
      <c r="C2336" s="1" t="s">
        <v>10161</v>
      </c>
      <c r="D2336" s="1" t="s">
        <v>10162</v>
      </c>
      <c r="F2336" s="1" t="str">
        <f>"0385499345"</f>
        <v>0385499345</v>
      </c>
      <c r="G2336" s="1" t="str">
        <f>"9780385499347"</f>
        <v>9780385499347</v>
      </c>
      <c r="H2336" s="1">
        <v>0.0</v>
      </c>
      <c r="I2336" s="1">
        <v>3.6</v>
      </c>
      <c r="J2336" s="1" t="s">
        <v>287</v>
      </c>
      <c r="K2336" s="1" t="s">
        <v>44</v>
      </c>
      <c r="L2336" s="1">
        <v>490.0</v>
      </c>
      <c r="M2336" s="1">
        <v>2000.0</v>
      </c>
      <c r="N2336" s="1">
        <v>1997.0</v>
      </c>
      <c r="P2336" s="3">
        <v>45274.0</v>
      </c>
      <c r="Q2336" s="1" t="s">
        <v>479</v>
      </c>
      <c r="R2336" s="1" t="s">
        <v>10163</v>
      </c>
      <c r="S2336" s="1" t="s">
        <v>32</v>
      </c>
      <c r="W2336" s="1">
        <v>0.0</v>
      </c>
      <c r="X2336" s="1">
        <v>0.0</v>
      </c>
    </row>
    <row r="2337" spans="1:24" ht="15.75" customHeight="1">
      <c r="A2337" s="1">
        <v>8524528.0</v>
      </c>
      <c r="B2337" s="1" t="s">
        <v>10164</v>
      </c>
      <c r="C2337" s="1" t="s">
        <v>10165</v>
      </c>
      <c r="D2337" s="1" t="s">
        <v>10166</v>
      </c>
      <c r="E2337" s="1" t="s">
        <v>10167</v>
      </c>
      <c r="F2337" s="1" t="str">
        <f>"098242969X"</f>
        <v>098242969X</v>
      </c>
      <c r="G2337" s="1" t="str">
        <f>"9780982429693"</f>
        <v>9780982429693</v>
      </c>
      <c r="H2337" s="1">
        <v>0.0</v>
      </c>
      <c r="I2337" s="1">
        <v>4.05</v>
      </c>
      <c r="J2337" s="1" t="s">
        <v>10168</v>
      </c>
      <c r="K2337" s="1" t="s">
        <v>37</v>
      </c>
      <c r="L2337" s="1">
        <v>240.0</v>
      </c>
      <c r="M2337" s="1">
        <v>2010.0</v>
      </c>
      <c r="N2337" s="1">
        <v>2011.0</v>
      </c>
      <c r="P2337" s="2">
        <v>45163.0</v>
      </c>
      <c r="Q2337" s="1" t="s">
        <v>32</v>
      </c>
      <c r="R2337" s="1" t="s">
        <v>10169</v>
      </c>
      <c r="S2337" s="1" t="s">
        <v>32</v>
      </c>
      <c r="W2337" s="1">
        <v>0.0</v>
      </c>
      <c r="X2337" s="1">
        <v>0.0</v>
      </c>
    </row>
    <row r="2338" spans="1:24" ht="15.75" customHeight="1">
      <c r="A2338" s="1">
        <v>88076.0</v>
      </c>
      <c r="B2338" s="1" t="s">
        <v>10170</v>
      </c>
      <c r="C2338" s="1" t="s">
        <v>10171</v>
      </c>
      <c r="D2338" s="1" t="s">
        <v>10172</v>
      </c>
      <c r="E2338" s="1" t="s">
        <v>10173</v>
      </c>
      <c r="F2338" s="1" t="str">
        <f>"1400040019"</f>
        <v>1400040019</v>
      </c>
      <c r="G2338" s="1" t="str">
        <f>"9781400040018"</f>
        <v>9781400040018</v>
      </c>
      <c r="H2338" s="1">
        <v>0.0</v>
      </c>
      <c r="I2338" s="1">
        <v>4.43</v>
      </c>
      <c r="J2338" s="1" t="s">
        <v>10174</v>
      </c>
      <c r="K2338" s="1" t="s">
        <v>37</v>
      </c>
      <c r="L2338" s="1">
        <v>1492.0</v>
      </c>
      <c r="M2338" s="1">
        <v>2005.0</v>
      </c>
      <c r="N2338" s="1">
        <v>1943.0</v>
      </c>
      <c r="P2338" s="2">
        <v>44932.0</v>
      </c>
      <c r="Q2338" s="1" t="s">
        <v>502</v>
      </c>
      <c r="R2338" s="1" t="s">
        <v>10175</v>
      </c>
      <c r="S2338" s="1" t="s">
        <v>32</v>
      </c>
      <c r="W2338" s="1">
        <v>0.0</v>
      </c>
      <c r="X2338" s="1">
        <v>0.0</v>
      </c>
    </row>
    <row r="2339" spans="1:24" ht="15.75" customHeight="1">
      <c r="A2339" s="90">
        <v>80890.0</v>
      </c>
      <c r="B2339" s="90" t="s">
        <v>10176</v>
      </c>
      <c r="C2339" s="90" t="s">
        <v>10171</v>
      </c>
      <c r="D2339" s="90" t="s">
        <v>10172</v>
      </c>
      <c r="E2339" s="90" t="s">
        <v>10177</v>
      </c>
      <c r="F2339" s="90" t="str">
        <f>"0679417370"</f>
        <v>0679417370</v>
      </c>
      <c r="G2339" s="90" t="str">
        <f>"9780679417378"</f>
        <v>9780679417378</v>
      </c>
      <c r="H2339" s="90">
        <v>0.0</v>
      </c>
      <c r="I2339" s="90">
        <v>4.19</v>
      </c>
      <c r="J2339" s="90" t="s">
        <v>9403</v>
      </c>
      <c r="K2339" s="90" t="s">
        <v>37</v>
      </c>
      <c r="L2339" s="90">
        <v>731.0</v>
      </c>
      <c r="M2339" s="90">
        <v>1994.0</v>
      </c>
      <c r="N2339" s="90">
        <v>1901.0</v>
      </c>
      <c r="O2339" s="91"/>
      <c r="P2339" s="92">
        <v>44256.0</v>
      </c>
      <c r="Q2339" s="93" t="s">
        <v>7589</v>
      </c>
      <c r="R2339" s="90" t="s">
        <v>10178</v>
      </c>
      <c r="S2339" s="90" t="s">
        <v>32</v>
      </c>
      <c r="T2339" s="91"/>
      <c r="U2339" s="91"/>
      <c r="V2339" s="91"/>
      <c r="W2339" s="90">
        <v>0.0</v>
      </c>
      <c r="X2339" s="90">
        <v>0.0</v>
      </c>
    </row>
    <row r="2340" spans="1:24" ht="15.75" customHeight="1">
      <c r="A2340" s="90">
        <v>88077.0</v>
      </c>
      <c r="B2340" s="90" t="s">
        <v>10179</v>
      </c>
      <c r="C2340" s="90" t="s">
        <v>10171</v>
      </c>
      <c r="D2340" s="90" t="s">
        <v>10172</v>
      </c>
      <c r="E2340" s="90" t="s">
        <v>10173</v>
      </c>
      <c r="F2340" s="90" t="str">
        <f>"0679772871"</f>
        <v>0679772871</v>
      </c>
      <c r="G2340" s="90" t="str">
        <f>"9780593688137"</f>
        <v>9780593688137</v>
      </c>
      <c r="H2340" s="90">
        <v>0.0</v>
      </c>
      <c r="I2340" s="90">
        <v>4.13</v>
      </c>
      <c r="J2340" s="90" t="s">
        <v>69</v>
      </c>
      <c r="K2340" s="90" t="s">
        <v>44</v>
      </c>
      <c r="L2340" s="90">
        <v>706.0</v>
      </c>
      <c r="M2340" s="90">
        <v>1996.0</v>
      </c>
      <c r="N2340" s="90">
        <v>1924.0</v>
      </c>
      <c r="O2340" s="91"/>
      <c r="P2340" s="92">
        <v>42609.0</v>
      </c>
      <c r="Q2340" s="93" t="s">
        <v>7589</v>
      </c>
      <c r="R2340" s="90" t="s">
        <v>10180</v>
      </c>
      <c r="S2340" s="90" t="s">
        <v>32</v>
      </c>
      <c r="T2340" s="91"/>
      <c r="U2340" s="91"/>
      <c r="V2340" s="91"/>
      <c r="W2340" s="90">
        <v>0.0</v>
      </c>
      <c r="X2340" s="90">
        <v>0.0</v>
      </c>
    </row>
    <row r="2341" spans="1:24" ht="15.75" customHeight="1">
      <c r="A2341" s="13">
        <v>257867.0</v>
      </c>
      <c r="B2341" s="13" t="s">
        <v>10181</v>
      </c>
      <c r="C2341" s="13" t="s">
        <v>10182</v>
      </c>
      <c r="D2341" s="13" t="s">
        <v>10183</v>
      </c>
      <c r="E2341" s="14"/>
      <c r="F2341" s="13" t="str">
        <f>"0195056442"</f>
        <v>0195056442</v>
      </c>
      <c r="G2341" s="13" t="str">
        <f>"9780195056440"</f>
        <v>9780195056440</v>
      </c>
      <c r="H2341" s="13">
        <v>0.0</v>
      </c>
      <c r="I2341" s="13">
        <v>3.98</v>
      </c>
      <c r="J2341" s="13" t="s">
        <v>181</v>
      </c>
      <c r="K2341" s="13" t="s">
        <v>44</v>
      </c>
      <c r="L2341" s="13">
        <v>256.0</v>
      </c>
      <c r="M2341" s="13">
        <v>1989.0</v>
      </c>
      <c r="N2341" s="13">
        <v>1986.0</v>
      </c>
      <c r="O2341" s="14"/>
      <c r="P2341" s="55">
        <v>44484.0</v>
      </c>
      <c r="Q2341" s="16" t="s">
        <v>871</v>
      </c>
      <c r="R2341" s="13" t="s">
        <v>10184</v>
      </c>
      <c r="S2341" s="13" t="s">
        <v>32</v>
      </c>
      <c r="T2341" s="14"/>
      <c r="U2341" s="14"/>
      <c r="V2341" s="14"/>
      <c r="W2341" s="13">
        <v>0.0</v>
      </c>
      <c r="X2341" s="13">
        <v>0.0</v>
      </c>
    </row>
    <row r="2342" spans="1:24" ht="15.75" customHeight="1">
      <c r="A2342" s="13">
        <v>100021.0</v>
      </c>
      <c r="B2342" s="13" t="s">
        <v>10185</v>
      </c>
      <c r="C2342" s="13" t="s">
        <v>10182</v>
      </c>
      <c r="D2342" s="13" t="s">
        <v>10183</v>
      </c>
      <c r="E2342" s="14"/>
      <c r="F2342" s="13" t="str">
        <f>"0195052161"</f>
        <v>0195052161</v>
      </c>
      <c r="G2342" s="13" t="str">
        <f>"9780195052169"</f>
        <v>9780195052169</v>
      </c>
      <c r="H2342" s="13">
        <v>0.0</v>
      </c>
      <c r="I2342" s="13">
        <v>3.63</v>
      </c>
      <c r="J2342" s="13" t="s">
        <v>181</v>
      </c>
      <c r="K2342" s="13" t="s">
        <v>44</v>
      </c>
      <c r="L2342" s="13">
        <v>112.0</v>
      </c>
      <c r="M2342" s="13">
        <v>1987.0</v>
      </c>
      <c r="N2342" s="13">
        <v>1987.0</v>
      </c>
      <c r="O2342" s="14"/>
      <c r="P2342" s="15">
        <v>42786.0</v>
      </c>
      <c r="Q2342" s="16" t="s">
        <v>871</v>
      </c>
      <c r="R2342" s="13" t="s">
        <v>10186</v>
      </c>
      <c r="S2342" s="13" t="s">
        <v>32</v>
      </c>
      <c r="T2342" s="14"/>
      <c r="U2342" s="14"/>
      <c r="V2342" s="14"/>
      <c r="W2342" s="13">
        <v>1.0</v>
      </c>
      <c r="X2342" s="13">
        <v>0.0</v>
      </c>
    </row>
    <row r="2343" spans="1:24" ht="15.75" customHeight="1">
      <c r="A2343" s="1">
        <v>2.4611714E7</v>
      </c>
      <c r="B2343" s="1" t="s">
        <v>10187</v>
      </c>
      <c r="C2343" s="1" t="s">
        <v>10188</v>
      </c>
      <c r="D2343" s="1" t="s">
        <v>10189</v>
      </c>
      <c r="F2343" s="1" t="str">
        <f>"159463405X"</f>
        <v>159463405X</v>
      </c>
      <c r="G2343" s="1" t="str">
        <f>"9781594634055"</f>
        <v>9781594634055</v>
      </c>
      <c r="H2343" s="1">
        <v>0.0</v>
      </c>
      <c r="I2343" s="1">
        <v>3.72</v>
      </c>
      <c r="J2343" s="1" t="s">
        <v>2218</v>
      </c>
      <c r="K2343" s="1" t="s">
        <v>44</v>
      </c>
      <c r="L2343" s="1">
        <v>304.0</v>
      </c>
      <c r="M2343" s="1">
        <v>2016.0</v>
      </c>
      <c r="N2343" s="1">
        <v>2015.0</v>
      </c>
      <c r="P2343" s="2">
        <v>45114.0</v>
      </c>
      <c r="Q2343" s="1" t="s">
        <v>383</v>
      </c>
      <c r="R2343" s="1" t="s">
        <v>10190</v>
      </c>
      <c r="S2343" s="1" t="s">
        <v>32</v>
      </c>
      <c r="W2343" s="1">
        <v>0.0</v>
      </c>
      <c r="X2343" s="1">
        <v>1.0</v>
      </c>
    </row>
    <row r="2344" spans="1:24" ht="15.75" customHeight="1">
      <c r="A2344" s="1">
        <v>415.0</v>
      </c>
      <c r="B2344" s="1" t="s">
        <v>10191</v>
      </c>
      <c r="C2344" s="1" t="s">
        <v>10192</v>
      </c>
      <c r="D2344" s="1" t="s">
        <v>10193</v>
      </c>
      <c r="F2344" s="1" t="str">
        <f>"0143039946"</f>
        <v>0143039946</v>
      </c>
      <c r="G2344" s="1" t="str">
        <f>"9780143039945"</f>
        <v>9780143039945</v>
      </c>
      <c r="H2344" s="1">
        <v>0.0</v>
      </c>
      <c r="I2344" s="1">
        <v>4.0</v>
      </c>
      <c r="J2344" s="1" t="s">
        <v>309</v>
      </c>
      <c r="K2344" s="1" t="s">
        <v>44</v>
      </c>
      <c r="L2344" s="1">
        <v>776.0</v>
      </c>
      <c r="M2344" s="1">
        <v>2006.0</v>
      </c>
      <c r="N2344" s="1">
        <v>1973.0</v>
      </c>
      <c r="P2344" s="2">
        <v>41529.0</v>
      </c>
      <c r="Q2344" s="1" t="s">
        <v>818</v>
      </c>
      <c r="R2344" s="1" t="s">
        <v>10194</v>
      </c>
      <c r="S2344" s="1" t="s">
        <v>32</v>
      </c>
      <c r="W2344" s="1">
        <v>0.0</v>
      </c>
      <c r="X2344" s="1">
        <v>1.0</v>
      </c>
    </row>
    <row r="2345" spans="1:24" ht="15.75" customHeight="1">
      <c r="A2345" s="1">
        <v>413.0</v>
      </c>
      <c r="B2345" s="1" t="s">
        <v>10195</v>
      </c>
      <c r="C2345" s="1" t="s">
        <v>10192</v>
      </c>
      <c r="D2345" s="1" t="s">
        <v>10193</v>
      </c>
      <c r="F2345" s="1" t="str">
        <f>"0312423209"</f>
        <v>0312423209</v>
      </c>
      <c r="G2345" s="1" t="str">
        <f>"9780312423209"</f>
        <v>9780312423209</v>
      </c>
      <c r="H2345" s="1">
        <v>0.0</v>
      </c>
      <c r="I2345" s="1">
        <v>4.11</v>
      </c>
      <c r="J2345" s="1" t="s">
        <v>10196</v>
      </c>
      <c r="K2345" s="1" t="s">
        <v>44</v>
      </c>
      <c r="L2345" s="1">
        <v>773.0</v>
      </c>
      <c r="M2345" s="1">
        <v>2004.0</v>
      </c>
      <c r="N2345" s="1">
        <v>1997.0</v>
      </c>
      <c r="P2345" s="2">
        <v>45129.0</v>
      </c>
      <c r="Q2345" s="1" t="s">
        <v>145</v>
      </c>
      <c r="R2345" s="1" t="s">
        <v>10197</v>
      </c>
      <c r="S2345" s="1" t="s">
        <v>32</v>
      </c>
      <c r="W2345" s="1">
        <v>0.0</v>
      </c>
      <c r="X2345" s="1">
        <v>0.0</v>
      </c>
    </row>
    <row r="2346" spans="1:24" ht="15.75" customHeight="1">
      <c r="A2346" s="1">
        <v>2794.0</v>
      </c>
      <c r="B2346" s="1" t="s">
        <v>10198</v>
      </c>
      <c r="C2346" s="1" t="s">
        <v>10192</v>
      </c>
      <c r="D2346" s="1" t="s">
        <v>10193</v>
      </c>
      <c r="F2346" s="1" t="str">
        <f>"006091307X"</f>
        <v>006091307X</v>
      </c>
      <c r="G2346" s="1" t="str">
        <f>"9780060913076"</f>
        <v>9780060913076</v>
      </c>
      <c r="H2346" s="1">
        <v>0.0</v>
      </c>
      <c r="I2346" s="1">
        <v>3.69</v>
      </c>
      <c r="J2346" s="1" t="s">
        <v>397</v>
      </c>
      <c r="K2346" s="1" t="s">
        <v>44</v>
      </c>
      <c r="L2346" s="1">
        <v>152.0</v>
      </c>
      <c r="M2346" s="1">
        <v>2006.0</v>
      </c>
      <c r="N2346" s="1">
        <v>1966.0</v>
      </c>
      <c r="P2346" s="2">
        <v>42129.0</v>
      </c>
      <c r="Q2346" s="1" t="s">
        <v>32</v>
      </c>
      <c r="R2346" s="1" t="s">
        <v>10199</v>
      </c>
      <c r="S2346" s="1" t="s">
        <v>32</v>
      </c>
      <c r="W2346" s="1">
        <v>0.0</v>
      </c>
      <c r="X2346" s="1">
        <v>0.0</v>
      </c>
    </row>
    <row r="2347" spans="1:24" ht="15.75" customHeight="1">
      <c r="A2347" s="1">
        <v>715551.0</v>
      </c>
      <c r="B2347" s="1" t="s">
        <v>10200</v>
      </c>
      <c r="C2347" s="1" t="s">
        <v>10201</v>
      </c>
      <c r="D2347" s="1" t="s">
        <v>10202</v>
      </c>
      <c r="E2347" s="1" t="s">
        <v>10203</v>
      </c>
      <c r="F2347" s="1" t="str">
        <f>"0155073966"</f>
        <v>0155073966</v>
      </c>
      <c r="G2347" s="1" t="str">
        <f>"9780155073968"</f>
        <v>9780155073968</v>
      </c>
      <c r="H2347" s="1">
        <v>0.0</v>
      </c>
      <c r="I2347" s="1">
        <v>3.9</v>
      </c>
      <c r="J2347" s="1" t="s">
        <v>10204</v>
      </c>
      <c r="K2347" s="1" t="s">
        <v>44</v>
      </c>
      <c r="L2347" s="1">
        <v>434.0</v>
      </c>
      <c r="M2347" s="1">
        <v>2000.0</v>
      </c>
      <c r="N2347" s="1">
        <v>1956.0</v>
      </c>
      <c r="P2347" s="2">
        <v>45129.0</v>
      </c>
      <c r="Q2347" s="1" t="s">
        <v>449</v>
      </c>
      <c r="R2347" s="1" t="s">
        <v>10205</v>
      </c>
      <c r="S2347" s="1" t="s">
        <v>32</v>
      </c>
      <c r="W2347" s="1">
        <v>0.0</v>
      </c>
      <c r="X2347" s="1">
        <v>1.0</v>
      </c>
    </row>
    <row r="2348" spans="1:24" ht="15.75" customHeight="1">
      <c r="A2348" s="1">
        <v>61539.0</v>
      </c>
      <c r="B2348" s="1" t="s">
        <v>10206</v>
      </c>
      <c r="C2348" s="1" t="s">
        <v>10207</v>
      </c>
      <c r="D2348" s="1" t="s">
        <v>10208</v>
      </c>
      <c r="F2348" s="1" t="str">
        <f>"0226458083"</f>
        <v>0226458083</v>
      </c>
      <c r="G2348" s="1" t="str">
        <f>"9780226458083"</f>
        <v>9780226458083</v>
      </c>
      <c r="H2348" s="1">
        <v>0.0</v>
      </c>
      <c r="I2348" s="1">
        <v>4.03</v>
      </c>
      <c r="J2348" s="1" t="s">
        <v>78</v>
      </c>
      <c r="K2348" s="1" t="s">
        <v>44</v>
      </c>
      <c r="L2348" s="1">
        <v>226.0</v>
      </c>
      <c r="M2348" s="1">
        <v>1996.0</v>
      </c>
      <c r="N2348" s="1">
        <v>1962.0</v>
      </c>
      <c r="P2348" s="2">
        <v>44005.0</v>
      </c>
      <c r="Q2348" s="1" t="s">
        <v>32</v>
      </c>
      <c r="R2348" s="1" t="s">
        <v>10209</v>
      </c>
      <c r="S2348" s="1" t="s">
        <v>32</v>
      </c>
      <c r="W2348" s="1">
        <v>0.0</v>
      </c>
      <c r="X2348" s="1">
        <v>0.0</v>
      </c>
    </row>
    <row r="2349" spans="1:24" ht="15.75" customHeight="1">
      <c r="A2349" s="1">
        <v>1036471.0</v>
      </c>
      <c r="B2349" s="1" t="s">
        <v>10210</v>
      </c>
      <c r="C2349" s="1" t="s">
        <v>10211</v>
      </c>
      <c r="D2349" s="1" t="s">
        <v>10212</v>
      </c>
      <c r="F2349" s="1" t="str">
        <f>"1894031911"</f>
        <v>1894031911</v>
      </c>
      <c r="G2349" s="1" t="str">
        <f>"9781894031912"</f>
        <v>9781894031912</v>
      </c>
      <c r="H2349" s="1">
        <v>0.0</v>
      </c>
      <c r="I2349" s="1">
        <v>3.89</v>
      </c>
      <c r="J2349" s="1" t="s">
        <v>10213</v>
      </c>
      <c r="K2349" s="1" t="s">
        <v>44</v>
      </c>
      <c r="L2349" s="1">
        <v>236.0</v>
      </c>
      <c r="M2349" s="1">
        <v>2004.0</v>
      </c>
      <c r="N2349" s="1">
        <v>2004.0</v>
      </c>
      <c r="P2349" s="2">
        <v>45123.0</v>
      </c>
      <c r="Q2349" s="1" t="s">
        <v>32</v>
      </c>
      <c r="R2349" s="1" t="s">
        <v>10214</v>
      </c>
      <c r="S2349" s="1" t="s">
        <v>32</v>
      </c>
      <c r="W2349" s="1">
        <v>1.0</v>
      </c>
      <c r="X2349" s="1">
        <v>0.0</v>
      </c>
    </row>
    <row r="2350" spans="1:24" ht="15.75" customHeight="1">
      <c r="A2350" s="1">
        <v>799805.0</v>
      </c>
      <c r="B2350" s="1" t="s">
        <v>10215</v>
      </c>
      <c r="C2350" s="1" t="s">
        <v>10216</v>
      </c>
      <c r="D2350" s="1" t="s">
        <v>10217</v>
      </c>
      <c r="E2350" s="1" t="s">
        <v>10218</v>
      </c>
      <c r="F2350" s="1" t="str">
        <f>"0192802267"</f>
        <v>0192802267</v>
      </c>
      <c r="G2350" s="1" t="str">
        <f>"9780192802262"</f>
        <v>9780192802262</v>
      </c>
      <c r="H2350" s="1">
        <v>0.0</v>
      </c>
      <c r="I2350" s="1">
        <v>3.73</v>
      </c>
      <c r="J2350" s="1" t="s">
        <v>181</v>
      </c>
      <c r="K2350" s="1" t="s">
        <v>44</v>
      </c>
      <c r="L2350" s="1">
        <v>256.0</v>
      </c>
      <c r="M2350" s="1">
        <v>2001.0</v>
      </c>
      <c r="N2350" s="1">
        <v>1988.0</v>
      </c>
      <c r="P2350" s="2">
        <v>45191.0</v>
      </c>
      <c r="Q2350" s="1" t="s">
        <v>32</v>
      </c>
      <c r="R2350" s="1" t="s">
        <v>10219</v>
      </c>
      <c r="S2350" s="1" t="s">
        <v>32</v>
      </c>
      <c r="W2350" s="1">
        <v>0.0</v>
      </c>
      <c r="X2350" s="1">
        <v>0.0</v>
      </c>
    </row>
    <row r="2351" spans="1:24" ht="15.75" customHeight="1">
      <c r="A2351" s="1">
        <v>826948.0</v>
      </c>
      <c r="B2351" s="1" t="s">
        <v>10220</v>
      </c>
      <c r="C2351" s="1" t="s">
        <v>10221</v>
      </c>
      <c r="D2351" s="1" t="s">
        <v>10222</v>
      </c>
      <c r="F2351" s="1" t="str">
        <f>"0300022913"</f>
        <v>0300022913</v>
      </c>
      <c r="G2351" s="1" t="str">
        <f>"9780300022919"</f>
        <v>9780300022919</v>
      </c>
      <c r="H2351" s="1">
        <v>0.0</v>
      </c>
      <c r="I2351" s="1">
        <v>4.12</v>
      </c>
      <c r="J2351" s="1" t="s">
        <v>962</v>
      </c>
      <c r="K2351" s="1" t="s">
        <v>44</v>
      </c>
      <c r="L2351" s="1">
        <v>282.0</v>
      </c>
      <c r="M2351" s="1">
        <v>1978.0</v>
      </c>
      <c r="N2351" s="1">
        <v>1976.0</v>
      </c>
      <c r="P2351" s="2">
        <v>45169.0</v>
      </c>
      <c r="Q2351" s="1" t="s">
        <v>32</v>
      </c>
      <c r="R2351" s="1" t="s">
        <v>10223</v>
      </c>
      <c r="S2351" s="1" t="s">
        <v>32</v>
      </c>
      <c r="W2351" s="1">
        <v>0.0</v>
      </c>
      <c r="X2351" s="1">
        <v>0.0</v>
      </c>
    </row>
    <row r="2352" spans="1:24" ht="15.75" customHeight="1">
      <c r="A2352" s="1">
        <v>164019.0</v>
      </c>
      <c r="B2352" s="1" t="s">
        <v>10224</v>
      </c>
      <c r="C2352" s="1" t="s">
        <v>10225</v>
      </c>
      <c r="D2352" s="1" t="s">
        <v>10226</v>
      </c>
      <c r="E2352" s="1" t="s">
        <v>10227</v>
      </c>
      <c r="F2352" s="1" t="str">
        <f>"0375757872"</f>
        <v>0375757872</v>
      </c>
      <c r="G2352" s="1" t="str">
        <f>"9780375757877"</f>
        <v>9780375757877</v>
      </c>
      <c r="H2352" s="1">
        <v>0.0</v>
      </c>
      <c r="I2352" s="1">
        <v>3.89</v>
      </c>
      <c r="J2352" s="1" t="s">
        <v>3611</v>
      </c>
      <c r="K2352" s="1" t="s">
        <v>44</v>
      </c>
      <c r="L2352" s="1">
        <v>320.0</v>
      </c>
      <c r="M2352" s="1">
        <v>2001.0</v>
      </c>
      <c r="N2352" s="1">
        <v>1899.0</v>
      </c>
      <c r="P2352" s="2">
        <v>44252.0</v>
      </c>
      <c r="Q2352" s="1" t="s">
        <v>32</v>
      </c>
      <c r="R2352" s="1" t="s">
        <v>10228</v>
      </c>
      <c r="S2352" s="1" t="s">
        <v>32</v>
      </c>
      <c r="W2352" s="1">
        <v>0.0</v>
      </c>
      <c r="X2352" s="1">
        <v>0.0</v>
      </c>
    </row>
    <row r="2353" spans="1:24" ht="15.75" customHeight="1">
      <c r="A2353" s="1">
        <v>1477372.0</v>
      </c>
      <c r="B2353" s="1" t="s">
        <v>10229</v>
      </c>
      <c r="C2353" s="1" t="s">
        <v>10230</v>
      </c>
      <c r="D2353" s="1" t="s">
        <v>10231</v>
      </c>
      <c r="F2353" s="1" t="str">
        <f>"0415290317"</f>
        <v>0415290317</v>
      </c>
      <c r="G2353" s="1" t="str">
        <f>"9780415290319"</f>
        <v>9780415290319</v>
      </c>
      <c r="H2353" s="1">
        <v>0.0</v>
      </c>
      <c r="I2353" s="1">
        <v>3.66</v>
      </c>
      <c r="J2353" s="1" t="s">
        <v>280</v>
      </c>
      <c r="K2353" s="1" t="s">
        <v>44</v>
      </c>
      <c r="L2353" s="1">
        <v>272.0</v>
      </c>
      <c r="M2353" s="1">
        <v>2003.0</v>
      </c>
      <c r="N2353" s="1">
        <v>1996.0</v>
      </c>
      <c r="P2353" s="2">
        <v>45153.0</v>
      </c>
      <c r="Q2353" s="1" t="s">
        <v>32</v>
      </c>
      <c r="R2353" s="1" t="s">
        <v>10232</v>
      </c>
      <c r="S2353" s="1" t="s">
        <v>32</v>
      </c>
      <c r="W2353" s="1">
        <v>0.0</v>
      </c>
      <c r="X2353" s="1">
        <v>0.0</v>
      </c>
    </row>
    <row r="2354" spans="1:24" ht="15.75" customHeight="1">
      <c r="A2354" s="1">
        <v>9994817.0</v>
      </c>
      <c r="B2354" s="1" t="s">
        <v>10233</v>
      </c>
      <c r="C2354" s="1" t="s">
        <v>10234</v>
      </c>
      <c r="D2354" s="1" t="s">
        <v>10235</v>
      </c>
      <c r="E2354" s="1" t="s">
        <v>10236</v>
      </c>
      <c r="F2354" s="1" t="str">
        <f>"0984459839"</f>
        <v>0984459839</v>
      </c>
      <c r="G2354" s="1" t="str">
        <f>"9780984459834"</f>
        <v>9780984459834</v>
      </c>
      <c r="H2354" s="1">
        <v>0.0</v>
      </c>
      <c r="I2354" s="1">
        <v>4.51</v>
      </c>
      <c r="J2354" s="1" t="s">
        <v>4424</v>
      </c>
      <c r="K2354" s="1" t="s">
        <v>44</v>
      </c>
      <c r="L2354" s="1">
        <v>632.0</v>
      </c>
      <c r="M2354" s="1">
        <v>2011.0</v>
      </c>
      <c r="N2354" s="1">
        <v>1982.0</v>
      </c>
      <c r="P2354" s="2">
        <v>43926.0</v>
      </c>
      <c r="Q2354" s="1" t="s">
        <v>421</v>
      </c>
      <c r="R2354" s="1" t="s">
        <v>10237</v>
      </c>
      <c r="S2354" s="1" t="s">
        <v>32</v>
      </c>
      <c r="W2354" s="1">
        <v>0.0</v>
      </c>
      <c r="X2354" s="1">
        <v>0.0</v>
      </c>
    </row>
    <row r="2355" spans="1:24" ht="15.75" customHeight="1">
      <c r="A2355" s="1">
        <v>598536.0</v>
      </c>
      <c r="B2355" s="1" t="s">
        <v>10238</v>
      </c>
      <c r="C2355" s="1" t="s">
        <v>10239</v>
      </c>
      <c r="D2355" s="1" t="s">
        <v>10240</v>
      </c>
      <c r="E2355" s="1" t="s">
        <v>10241</v>
      </c>
      <c r="F2355" s="1" t="str">
        <f>"0374529167"</f>
        <v>0374529167</v>
      </c>
      <c r="G2355" s="1" t="str">
        <f>"9780374529161"</f>
        <v>9780374529161</v>
      </c>
      <c r="H2355" s="1">
        <v>0.0</v>
      </c>
      <c r="I2355" s="1">
        <v>3.27</v>
      </c>
      <c r="J2355" s="1" t="s">
        <v>438</v>
      </c>
      <c r="K2355" s="1" t="s">
        <v>44</v>
      </c>
      <c r="L2355" s="1">
        <v>160.0</v>
      </c>
      <c r="M2355" s="1">
        <v>2003.0</v>
      </c>
      <c r="N2355" s="1">
        <v>1997.0</v>
      </c>
      <c r="P2355" s="3">
        <v>45291.0</v>
      </c>
      <c r="Q2355" s="1" t="s">
        <v>145</v>
      </c>
      <c r="R2355" s="1" t="s">
        <v>10242</v>
      </c>
      <c r="S2355" s="1" t="s">
        <v>32</v>
      </c>
      <c r="W2355" s="1">
        <v>0.0</v>
      </c>
      <c r="X2355" s="1">
        <v>0.0</v>
      </c>
    </row>
    <row r="2356" spans="1:24" ht="15.75" customHeight="1">
      <c r="A2356" s="1">
        <v>1101679.0</v>
      </c>
      <c r="B2356" s="1" t="s">
        <v>10243</v>
      </c>
      <c r="C2356" s="1" t="s">
        <v>10244</v>
      </c>
      <c r="D2356" s="1" t="s">
        <v>10245</v>
      </c>
      <c r="F2356" s="1" t="str">
        <f>"0140241175"</f>
        <v>0140241175</v>
      </c>
      <c r="G2356" s="1" t="str">
        <f>"9780140241174"</f>
        <v>9780140241174</v>
      </c>
      <c r="H2356" s="1">
        <v>0.0</v>
      </c>
      <c r="I2356" s="1">
        <v>3.98</v>
      </c>
      <c r="J2356" s="1" t="s">
        <v>10246</v>
      </c>
      <c r="K2356" s="1" t="s">
        <v>44</v>
      </c>
      <c r="L2356" s="1">
        <v>352.0</v>
      </c>
      <c r="M2356" s="1">
        <v>1996.0</v>
      </c>
      <c r="N2356" s="1">
        <v>1984.0</v>
      </c>
      <c r="P2356" s="3">
        <v>42721.0</v>
      </c>
      <c r="Q2356" s="1" t="s">
        <v>502</v>
      </c>
      <c r="R2356" s="1" t="s">
        <v>10247</v>
      </c>
      <c r="S2356" s="1" t="s">
        <v>32</v>
      </c>
      <c r="W2356" s="1">
        <v>0.0</v>
      </c>
      <c r="X2356" s="1">
        <v>0.0</v>
      </c>
    </row>
    <row r="2357" spans="1:24" ht="15.75" customHeight="1">
      <c r="A2357" s="1">
        <v>287177.0</v>
      </c>
      <c r="B2357" s="1" t="s">
        <v>10248</v>
      </c>
      <c r="C2357" s="1" t="s">
        <v>10249</v>
      </c>
      <c r="D2357" s="1" t="s">
        <v>10250</v>
      </c>
      <c r="F2357" s="1" t="str">
        <f>"0801853605"</f>
        <v>0801853605</v>
      </c>
      <c r="G2357" s="1" t="str">
        <f>"9780801853609"</f>
        <v>9780801853609</v>
      </c>
      <c r="H2357" s="1">
        <v>0.0</v>
      </c>
      <c r="I2357" s="1">
        <v>4.39</v>
      </c>
      <c r="J2357" s="1" t="s">
        <v>3116</v>
      </c>
      <c r="K2357" s="1" t="s">
        <v>44</v>
      </c>
      <c r="L2357" s="1">
        <v>584.0</v>
      </c>
      <c r="M2357" s="1">
        <v>1996.0</v>
      </c>
      <c r="N2357" s="1">
        <v>1993.0</v>
      </c>
      <c r="P2357" s="2">
        <v>45120.0</v>
      </c>
      <c r="Q2357" s="1" t="s">
        <v>725</v>
      </c>
      <c r="R2357" s="1" t="s">
        <v>10251</v>
      </c>
      <c r="S2357" s="1" t="s">
        <v>32</v>
      </c>
      <c r="W2357" s="1">
        <v>0.0</v>
      </c>
      <c r="X2357" s="1">
        <v>0.0</v>
      </c>
    </row>
    <row r="2358" spans="1:24" ht="15.75" customHeight="1">
      <c r="A2358" s="1">
        <v>197149.0</v>
      </c>
      <c r="B2358" s="1" t="s">
        <v>10252</v>
      </c>
      <c r="C2358" s="1" t="s">
        <v>10253</v>
      </c>
      <c r="D2358" s="1" t="s">
        <v>10254</v>
      </c>
      <c r="F2358" s="1" t="str">
        <f>"0679777857"</f>
        <v>0679777857</v>
      </c>
      <c r="G2358" s="1" t="str">
        <f>"9780679777854"</f>
        <v>9780679777854</v>
      </c>
      <c r="H2358" s="1">
        <v>0.0</v>
      </c>
      <c r="I2358" s="1">
        <v>3.83</v>
      </c>
      <c r="J2358" s="1" t="s">
        <v>813</v>
      </c>
      <c r="K2358" s="1" t="s">
        <v>44</v>
      </c>
      <c r="L2358" s="1">
        <v>256.0</v>
      </c>
      <c r="M2358" s="1">
        <v>1998.0</v>
      </c>
      <c r="N2358" s="1">
        <v>1997.0</v>
      </c>
      <c r="P2358" s="3">
        <v>45230.0</v>
      </c>
      <c r="Q2358" s="1" t="s">
        <v>55</v>
      </c>
      <c r="R2358" s="1" t="s">
        <v>10255</v>
      </c>
      <c r="S2358" s="1" t="s">
        <v>32</v>
      </c>
      <c r="W2358" s="1">
        <v>0.0</v>
      </c>
      <c r="X2358" s="1">
        <v>0.0</v>
      </c>
    </row>
    <row r="2359" spans="1:24" ht="15.75" customHeight="1">
      <c r="A2359" s="1">
        <v>2.722069E7</v>
      </c>
      <c r="B2359" s="1" t="s">
        <v>10256</v>
      </c>
      <c r="C2359" s="1" t="s">
        <v>10253</v>
      </c>
      <c r="D2359" s="1" t="s">
        <v>10254</v>
      </c>
      <c r="F2359" s="1" t="str">
        <f>"0300161166"</f>
        <v>0300161166</v>
      </c>
      <c r="G2359" s="1" t="str">
        <f>"9780300161168"</f>
        <v>9780300161168</v>
      </c>
      <c r="H2359" s="1">
        <v>0.0</v>
      </c>
      <c r="I2359" s="1">
        <v>3.99</v>
      </c>
      <c r="J2359" s="1" t="s">
        <v>962</v>
      </c>
      <c r="K2359" s="1" t="s">
        <v>37</v>
      </c>
      <c r="L2359" s="1">
        <v>504.0</v>
      </c>
      <c r="M2359" s="1">
        <v>2016.0</v>
      </c>
      <c r="N2359" s="1">
        <v>2017.0</v>
      </c>
      <c r="P2359" s="2">
        <v>44198.0</v>
      </c>
      <c r="Q2359" s="1" t="s">
        <v>32</v>
      </c>
      <c r="R2359" s="1" t="s">
        <v>10257</v>
      </c>
      <c r="S2359" s="1" t="s">
        <v>32</v>
      </c>
      <c r="W2359" s="1">
        <v>0.0</v>
      </c>
      <c r="X2359" s="1">
        <v>0.0</v>
      </c>
    </row>
    <row r="2360" spans="1:24" ht="15.75" customHeight="1">
      <c r="A2360" s="1">
        <v>1517776.0</v>
      </c>
      <c r="B2360" s="1" t="s">
        <v>10258</v>
      </c>
      <c r="C2360" s="1" t="s">
        <v>10259</v>
      </c>
      <c r="D2360" s="1" t="s">
        <v>10260</v>
      </c>
      <c r="F2360" s="1" t="str">
        <f>"0767430360"</f>
        <v>0767430360</v>
      </c>
      <c r="G2360" s="1" t="str">
        <f>"9780767430364"</f>
        <v>9780767430364</v>
      </c>
      <c r="H2360" s="1">
        <v>0.0</v>
      </c>
      <c r="I2360" s="1">
        <v>3.29</v>
      </c>
      <c r="J2360" s="1" t="s">
        <v>10261</v>
      </c>
      <c r="K2360" s="1" t="s">
        <v>44</v>
      </c>
      <c r="M2360" s="1">
        <v>2002.0</v>
      </c>
      <c r="N2360" s="1">
        <v>2002.0</v>
      </c>
      <c r="P2360" s="2">
        <v>45127.0</v>
      </c>
      <c r="Q2360" s="1" t="s">
        <v>32</v>
      </c>
      <c r="R2360" s="1" t="s">
        <v>10262</v>
      </c>
      <c r="S2360" s="1" t="s">
        <v>32</v>
      </c>
      <c r="W2360" s="1">
        <v>0.0</v>
      </c>
      <c r="X2360" s="1">
        <v>0.0</v>
      </c>
    </row>
    <row r="2361" spans="1:24" ht="15.75" customHeight="1">
      <c r="A2361" s="1">
        <v>492903.0</v>
      </c>
      <c r="B2361" s="1" t="s">
        <v>10263</v>
      </c>
      <c r="C2361" s="1" t="s">
        <v>10264</v>
      </c>
      <c r="D2361" s="1" t="s">
        <v>10265</v>
      </c>
      <c r="F2361" s="1" t="str">
        <f>"0802131336"</f>
        <v>0802131336</v>
      </c>
      <c r="G2361" s="1" t="str">
        <f>"9780802131331"</f>
        <v>9780802131331</v>
      </c>
      <c r="H2361" s="1">
        <v>0.0</v>
      </c>
      <c r="I2361" s="1">
        <v>3.9</v>
      </c>
      <c r="J2361" s="1" t="s">
        <v>663</v>
      </c>
      <c r="K2361" s="1" t="s">
        <v>44</v>
      </c>
      <c r="L2361" s="1">
        <v>184.0</v>
      </c>
      <c r="M2361" s="1">
        <v>1994.0</v>
      </c>
      <c r="N2361" s="1">
        <v>1969.0</v>
      </c>
      <c r="P2361" s="2">
        <v>43139.0</v>
      </c>
      <c r="Q2361" s="1" t="s">
        <v>32</v>
      </c>
      <c r="R2361" s="1" t="s">
        <v>10266</v>
      </c>
      <c r="S2361" s="1" t="s">
        <v>32</v>
      </c>
      <c r="W2361" s="1">
        <v>0.0</v>
      </c>
      <c r="X2361" s="1">
        <v>0.0</v>
      </c>
    </row>
    <row r="2362" spans="1:24" ht="15.75" customHeight="1">
      <c r="A2362" s="1">
        <v>1.218354E7</v>
      </c>
      <c r="B2362" s="1" t="s">
        <v>10267</v>
      </c>
      <c r="C2362" s="1" t="s">
        <v>10268</v>
      </c>
      <c r="D2362" s="1" t="s">
        <v>10269</v>
      </c>
      <c r="F2362" s="1" t="str">
        <f>"1597111724"</f>
        <v>1597111724</v>
      </c>
      <c r="G2362" s="1" t="str">
        <f>"9781597111720"</f>
        <v>9781597111720</v>
      </c>
      <c r="H2362" s="1">
        <v>0.0</v>
      </c>
      <c r="I2362" s="1">
        <v>4.11</v>
      </c>
      <c r="J2362" s="1" t="s">
        <v>2649</v>
      </c>
      <c r="K2362" s="1" t="s">
        <v>44</v>
      </c>
      <c r="L2362" s="1">
        <v>191.0</v>
      </c>
      <c r="M2362" s="1">
        <v>2011.0</v>
      </c>
      <c r="N2362" s="1">
        <v>2011.0</v>
      </c>
      <c r="P2362" s="2">
        <v>43922.0</v>
      </c>
      <c r="Q2362" s="1" t="s">
        <v>32</v>
      </c>
      <c r="R2362" s="1" t="s">
        <v>10270</v>
      </c>
      <c r="S2362" s="1" t="s">
        <v>32</v>
      </c>
      <c r="W2362" s="1">
        <v>0.0</v>
      </c>
      <c r="X2362" s="1">
        <v>0.0</v>
      </c>
    </row>
    <row r="2363" spans="1:24" ht="15.75" customHeight="1">
      <c r="A2363" s="1">
        <v>1.2397415E7</v>
      </c>
      <c r="B2363" s="1" t="s">
        <v>10271</v>
      </c>
      <c r="C2363" s="1" t="s">
        <v>10272</v>
      </c>
      <c r="D2363" s="1" t="s">
        <v>10273</v>
      </c>
      <c r="F2363" s="1" t="str">
        <f>"1616491213"</f>
        <v>1616491213</v>
      </c>
      <c r="G2363" s="1" t="str">
        <f>"9781616491215"</f>
        <v>9781616491215</v>
      </c>
      <c r="H2363" s="1">
        <v>0.0</v>
      </c>
      <c r="I2363" s="1">
        <v>3.66</v>
      </c>
      <c r="J2363" s="1" t="s">
        <v>6362</v>
      </c>
      <c r="K2363" s="1" t="s">
        <v>44</v>
      </c>
      <c r="L2363" s="1">
        <v>273.0</v>
      </c>
      <c r="M2363" s="1">
        <v>2011.0</v>
      </c>
      <c r="N2363" s="1">
        <v>2011.0</v>
      </c>
      <c r="P2363" s="2">
        <v>45164.0</v>
      </c>
      <c r="Q2363" s="1" t="s">
        <v>32</v>
      </c>
      <c r="R2363" s="1" t="s">
        <v>10274</v>
      </c>
      <c r="S2363" s="1" t="s">
        <v>32</v>
      </c>
      <c r="W2363" s="1">
        <v>0.0</v>
      </c>
      <c r="X2363" s="1">
        <v>0.0</v>
      </c>
    </row>
    <row r="2364" spans="1:24" ht="15.75" customHeight="1">
      <c r="A2364" s="1">
        <v>1080925.0</v>
      </c>
      <c r="B2364" s="1" t="s">
        <v>10275</v>
      </c>
      <c r="C2364" s="1" t="s">
        <v>10276</v>
      </c>
      <c r="D2364" s="1" t="s">
        <v>10277</v>
      </c>
      <c r="F2364" s="1" t="str">
        <f>"0465076696"</f>
        <v>0465076696</v>
      </c>
      <c r="G2364" s="1" t="str">
        <f>"9780465076697"</f>
        <v>9780465076697</v>
      </c>
      <c r="H2364" s="1">
        <v>0.0</v>
      </c>
      <c r="I2364" s="1">
        <v>3.85</v>
      </c>
      <c r="J2364" s="1" t="s">
        <v>1536</v>
      </c>
      <c r="K2364" s="1" t="s">
        <v>44</v>
      </c>
      <c r="L2364" s="1">
        <v>394.0</v>
      </c>
      <c r="M2364" s="1">
        <v>2001.0</v>
      </c>
      <c r="N2364" s="1">
        <v>2000.0</v>
      </c>
      <c r="P2364" s="2">
        <v>45235.0</v>
      </c>
      <c r="Q2364" s="1" t="s">
        <v>138</v>
      </c>
      <c r="R2364" s="1" t="s">
        <v>10278</v>
      </c>
      <c r="S2364" s="1" t="s">
        <v>32</v>
      </c>
      <c r="W2364" s="1">
        <v>0.0</v>
      </c>
      <c r="X2364" s="1">
        <v>0.0</v>
      </c>
    </row>
    <row r="2365" spans="1:24" ht="15.75" customHeight="1">
      <c r="A2365" s="1">
        <v>188346.0</v>
      </c>
      <c r="B2365" s="1" t="s">
        <v>10279</v>
      </c>
      <c r="C2365" s="1" t="s">
        <v>10280</v>
      </c>
      <c r="D2365" s="1" t="s">
        <v>10281</v>
      </c>
      <c r="E2365" s="1" t="s">
        <v>10282</v>
      </c>
      <c r="F2365" s="1" t="str">
        <f>"1560253355"</f>
        <v>1560253355</v>
      </c>
      <c r="G2365" s="1" t="str">
        <f>"9781560253358"</f>
        <v>9781560253358</v>
      </c>
      <c r="H2365" s="1">
        <v>0.0</v>
      </c>
      <c r="I2365" s="1">
        <v>4.07</v>
      </c>
      <c r="J2365" s="1" t="s">
        <v>121</v>
      </c>
      <c r="K2365" s="1" t="s">
        <v>44</v>
      </c>
      <c r="L2365" s="1">
        <v>503.0</v>
      </c>
      <c r="M2365" s="1">
        <v>2002.0</v>
      </c>
      <c r="N2365" s="1">
        <v>2001.0</v>
      </c>
      <c r="P2365" s="2">
        <v>44166.0</v>
      </c>
      <c r="Q2365" s="1" t="s">
        <v>32</v>
      </c>
      <c r="R2365" s="1" t="s">
        <v>10283</v>
      </c>
      <c r="S2365" s="1" t="s">
        <v>32</v>
      </c>
      <c r="W2365" s="1">
        <v>0.0</v>
      </c>
      <c r="X2365" s="1">
        <v>0.0</v>
      </c>
    </row>
    <row r="2366" spans="1:24" ht="15.75" customHeight="1">
      <c r="A2366" s="1">
        <v>318813.0</v>
      </c>
      <c r="B2366" s="1" t="s">
        <v>10284</v>
      </c>
      <c r="C2366" s="1" t="s">
        <v>10285</v>
      </c>
      <c r="D2366" s="1" t="s">
        <v>10286</v>
      </c>
      <c r="F2366" s="1" t="str">
        <f>"0679757651"</f>
        <v>0679757651</v>
      </c>
      <c r="G2366" s="1" t="str">
        <f>"9780679757658"</f>
        <v>9780679757658</v>
      </c>
      <c r="H2366" s="1">
        <v>0.0</v>
      </c>
      <c r="I2366" s="1">
        <v>3.9</v>
      </c>
      <c r="J2366" s="1" t="s">
        <v>69</v>
      </c>
      <c r="K2366" s="1" t="s">
        <v>44</v>
      </c>
      <c r="L2366" s="1">
        <v>544.0</v>
      </c>
      <c r="M2366" s="1">
        <v>1999.0</v>
      </c>
      <c r="N2366" s="1">
        <v>1997.0</v>
      </c>
      <c r="P2366" s="3">
        <v>45278.0</v>
      </c>
      <c r="Q2366" s="1" t="s">
        <v>479</v>
      </c>
      <c r="R2366" s="1" t="s">
        <v>10287</v>
      </c>
      <c r="S2366" s="1" t="s">
        <v>32</v>
      </c>
      <c r="W2366" s="1">
        <v>0.0</v>
      </c>
      <c r="X2366" s="1">
        <v>0.0</v>
      </c>
    </row>
    <row r="2367" spans="1:24" ht="15.75" customHeight="1">
      <c r="A2367" s="1">
        <v>1.5999702E7</v>
      </c>
      <c r="B2367" s="1" t="s">
        <v>10288</v>
      </c>
      <c r="C2367" s="1" t="s">
        <v>10289</v>
      </c>
      <c r="D2367" s="1" t="s">
        <v>10290</v>
      </c>
      <c r="F2367" s="1" t="str">
        <f>"022604002X"</f>
        <v>022604002X</v>
      </c>
      <c r="G2367" s="1" t="str">
        <f>"9780226040028"</f>
        <v>9780226040028</v>
      </c>
      <c r="H2367" s="1">
        <v>0.0</v>
      </c>
      <c r="I2367" s="1">
        <v>3.2</v>
      </c>
      <c r="J2367" s="1" t="s">
        <v>78</v>
      </c>
      <c r="K2367" s="1" t="s">
        <v>37</v>
      </c>
      <c r="L2367" s="1">
        <v>344.0</v>
      </c>
      <c r="M2367" s="1">
        <v>2013.0</v>
      </c>
      <c r="N2367" s="1">
        <v>2013.0</v>
      </c>
      <c r="P2367" s="2">
        <v>42573.0</v>
      </c>
      <c r="Q2367" s="1" t="s">
        <v>32</v>
      </c>
      <c r="R2367" s="1" t="s">
        <v>10291</v>
      </c>
      <c r="S2367" s="1" t="s">
        <v>32</v>
      </c>
      <c r="W2367" s="1">
        <v>0.0</v>
      </c>
      <c r="X2367" s="1">
        <v>0.0</v>
      </c>
    </row>
    <row r="2368" spans="1:24" ht="15.75" customHeight="1">
      <c r="A2368" s="1">
        <v>7442.0</v>
      </c>
      <c r="B2368" s="1" t="s">
        <v>10292</v>
      </c>
      <c r="C2368" s="1" t="s">
        <v>10293</v>
      </c>
      <c r="D2368" s="1" t="s">
        <v>10294</v>
      </c>
      <c r="F2368" s="1" t="str">
        <f>"0553380648"</f>
        <v>0553380648</v>
      </c>
      <c r="G2368" s="1" t="str">
        <f>"9780553380644"</f>
        <v>9780553380644</v>
      </c>
      <c r="H2368" s="1">
        <v>0.0</v>
      </c>
      <c r="I2368" s="1">
        <v>3.92</v>
      </c>
      <c r="J2368" s="1" t="s">
        <v>1585</v>
      </c>
      <c r="K2368" s="1" t="s">
        <v>44</v>
      </c>
      <c r="L2368" s="1">
        <v>416.0</v>
      </c>
      <c r="M2368" s="1">
        <v>1999.0</v>
      </c>
      <c r="N2368" s="1">
        <v>1968.0</v>
      </c>
      <c r="P2368" s="2">
        <v>42128.0</v>
      </c>
      <c r="Q2368" s="1" t="s">
        <v>502</v>
      </c>
      <c r="R2368" s="1" t="s">
        <v>10295</v>
      </c>
      <c r="S2368" s="1" t="s">
        <v>32</v>
      </c>
      <c r="W2368" s="1">
        <v>0.0</v>
      </c>
      <c r="X2368" s="1">
        <v>0.0</v>
      </c>
    </row>
    <row r="2369" spans="1:24" ht="15.75" customHeight="1">
      <c r="A2369" s="1">
        <v>168641.0</v>
      </c>
      <c r="B2369" s="1" t="s">
        <v>10296</v>
      </c>
      <c r="C2369" s="1" t="s">
        <v>10293</v>
      </c>
      <c r="D2369" s="1" t="s">
        <v>10294</v>
      </c>
      <c r="F2369" s="1" t="str">
        <f t="shared" si="177" ref="F2369:G2369">""</f>
        <v/>
      </c>
      <c r="G2369" s="1" t="str">
        <f t="shared" si="177"/>
        <v/>
      </c>
      <c r="H2369" s="1">
        <v>3.0</v>
      </c>
      <c r="I2369" s="1">
        <v>3.9</v>
      </c>
      <c r="J2369" s="1" t="s">
        <v>4389</v>
      </c>
      <c r="K2369" s="1" t="s">
        <v>44</v>
      </c>
      <c r="L2369" s="1">
        <v>690.0</v>
      </c>
      <c r="M2369" s="1">
        <v>1988.0</v>
      </c>
      <c r="N2369" s="1">
        <v>1987.0</v>
      </c>
      <c r="O2369" s="2">
        <v>43689.0</v>
      </c>
      <c r="P2369" s="2">
        <v>43688.0</v>
      </c>
      <c r="Q2369" s="1" t="s">
        <v>594</v>
      </c>
      <c r="R2369" s="1" t="s">
        <v>10297</v>
      </c>
      <c r="S2369" s="1" t="s">
        <v>271</v>
      </c>
      <c r="W2369" s="1">
        <v>1.0</v>
      </c>
      <c r="X2369" s="1">
        <v>1.0</v>
      </c>
    </row>
    <row r="2370" spans="1:24" ht="15.75" customHeight="1">
      <c r="A2370" s="1">
        <v>623130.0</v>
      </c>
      <c r="B2370" s="1" t="s">
        <v>10298</v>
      </c>
      <c r="C2370" s="1" t="s">
        <v>10299</v>
      </c>
      <c r="D2370" s="1" t="s">
        <v>10300</v>
      </c>
      <c r="F2370" s="1" t="str">
        <f>"0679781463"</f>
        <v>0679781463</v>
      </c>
      <c r="G2370" s="1" t="str">
        <f>"9780679781462"</f>
        <v>9780679781462</v>
      </c>
      <c r="H2370" s="1">
        <v>0.0</v>
      </c>
      <c r="I2370" s="1">
        <v>3.77</v>
      </c>
      <c r="J2370" s="1" t="s">
        <v>10301</v>
      </c>
      <c r="K2370" s="1" t="s">
        <v>44</v>
      </c>
      <c r="L2370" s="1">
        <v>362.0</v>
      </c>
      <c r="M2370" s="1">
        <v>1997.0</v>
      </c>
      <c r="N2370" s="1">
        <v>1985.0</v>
      </c>
      <c r="P2370" s="2">
        <v>45147.0</v>
      </c>
      <c r="Q2370" s="1" t="s">
        <v>3356</v>
      </c>
      <c r="R2370" s="1" t="s">
        <v>10302</v>
      </c>
      <c r="S2370" s="1" t="s">
        <v>32</v>
      </c>
      <c r="W2370" s="1">
        <v>0.0</v>
      </c>
      <c r="X2370" s="1">
        <v>0.0</v>
      </c>
    </row>
    <row r="2371" spans="1:24" ht="15.75" customHeight="1">
      <c r="A2371" s="1">
        <v>1037916.0</v>
      </c>
      <c r="B2371" s="1" t="s">
        <v>10303</v>
      </c>
      <c r="C2371" s="1" t="s">
        <v>10299</v>
      </c>
      <c r="D2371" s="1" t="s">
        <v>10300</v>
      </c>
      <c r="F2371" s="1" t="str">
        <f>"067977629X"</f>
        <v>067977629X</v>
      </c>
      <c r="G2371" s="1" t="str">
        <f>"9780679776291"</f>
        <v>9780679776291</v>
      </c>
      <c r="H2371" s="1">
        <v>0.0</v>
      </c>
      <c r="I2371" s="1">
        <v>3.8</v>
      </c>
      <c r="J2371" s="1" t="s">
        <v>3134</v>
      </c>
      <c r="K2371" s="1" t="s">
        <v>44</v>
      </c>
      <c r="L2371" s="1">
        <v>394.0</v>
      </c>
      <c r="M2371" s="1">
        <v>1996.0</v>
      </c>
      <c r="N2371" s="1">
        <v>1995.0</v>
      </c>
      <c r="P2371" s="2">
        <v>45235.0</v>
      </c>
      <c r="Q2371" s="1" t="s">
        <v>10304</v>
      </c>
      <c r="R2371" s="1" t="s">
        <v>10305</v>
      </c>
      <c r="S2371" s="1" t="s">
        <v>271</v>
      </c>
      <c r="W2371" s="1">
        <v>0.0</v>
      </c>
      <c r="X2371" s="1">
        <v>0.0</v>
      </c>
    </row>
    <row r="2372" spans="1:24" ht="15.75" customHeight="1">
      <c r="A2372" s="1">
        <v>881539.0</v>
      </c>
      <c r="B2372" s="1" t="s">
        <v>10303</v>
      </c>
      <c r="C2372" s="1" t="s">
        <v>10299</v>
      </c>
      <c r="D2372" s="1" t="s">
        <v>10300</v>
      </c>
      <c r="F2372" s="1" t="str">
        <f>"0679768149"</f>
        <v>0679768149</v>
      </c>
      <c r="G2372" s="1" t="str">
        <f>"9780679768142"</f>
        <v>9780679768142</v>
      </c>
      <c r="H2372" s="1">
        <v>0.0</v>
      </c>
      <c r="I2372" s="1">
        <v>3.8</v>
      </c>
      <c r="J2372" s="1" t="s">
        <v>69</v>
      </c>
      <c r="K2372" s="1" t="s">
        <v>44</v>
      </c>
      <c r="L2372" s="1">
        <v>384.0</v>
      </c>
      <c r="M2372" s="1">
        <v>1997.0</v>
      </c>
      <c r="N2372" s="1">
        <v>1995.0</v>
      </c>
      <c r="P2372" s="2">
        <v>44814.0</v>
      </c>
      <c r="Q2372" s="1" t="s">
        <v>502</v>
      </c>
      <c r="R2372" s="1" t="s">
        <v>10306</v>
      </c>
      <c r="S2372" s="1" t="s">
        <v>32</v>
      </c>
      <c r="W2372" s="1">
        <v>0.0</v>
      </c>
      <c r="X2372" s="1">
        <v>0.0</v>
      </c>
    </row>
    <row r="2373" spans="1:24" ht="15.75" customHeight="1">
      <c r="A2373" s="1">
        <v>5.8309618E7</v>
      </c>
      <c r="B2373" s="1" t="s">
        <v>10307</v>
      </c>
      <c r="C2373" s="1" t="s">
        <v>10308</v>
      </c>
      <c r="D2373" s="1" t="s">
        <v>10309</v>
      </c>
      <c r="F2373" s="1" t="str">
        <f>"1496226496"</f>
        <v>1496226496</v>
      </c>
      <c r="G2373" s="1" t="str">
        <f>"9781496226495"</f>
        <v>9781496226495</v>
      </c>
      <c r="H2373" s="1">
        <v>0.0</v>
      </c>
      <c r="I2373" s="1">
        <v>4.17</v>
      </c>
      <c r="J2373" s="1" t="s">
        <v>649</v>
      </c>
      <c r="K2373" s="1" t="s">
        <v>44</v>
      </c>
      <c r="L2373" s="1">
        <v>198.0</v>
      </c>
      <c r="M2373" s="1">
        <v>2022.0</v>
      </c>
      <c r="P2373" s="2">
        <v>44798.0</v>
      </c>
      <c r="Q2373" s="1" t="s">
        <v>32</v>
      </c>
      <c r="R2373" s="1" t="s">
        <v>10310</v>
      </c>
      <c r="S2373" s="1" t="s">
        <v>32</v>
      </c>
      <c r="W2373" s="1">
        <v>0.0</v>
      </c>
      <c r="X2373" s="1">
        <v>0.0</v>
      </c>
    </row>
    <row r="2374" spans="1:24" ht="15.75" customHeight="1">
      <c r="A2374" s="1">
        <v>406896.0</v>
      </c>
      <c r="B2374" s="1" t="s">
        <v>10311</v>
      </c>
      <c r="C2374" s="1" t="s">
        <v>10312</v>
      </c>
      <c r="D2374" s="1" t="s">
        <v>10313</v>
      </c>
      <c r="E2374" s="1" t="s">
        <v>10314</v>
      </c>
      <c r="F2374" s="1" t="str">
        <f>"1877727571"</f>
        <v>1877727571</v>
      </c>
      <c r="G2374" s="1" t="str">
        <f>"9781877727573"</f>
        <v>9781877727573</v>
      </c>
      <c r="H2374" s="1">
        <v>0.0</v>
      </c>
      <c r="I2374" s="1">
        <v>4.55</v>
      </c>
      <c r="J2374" s="1" t="s">
        <v>8569</v>
      </c>
      <c r="K2374" s="1" t="s">
        <v>44</v>
      </c>
      <c r="L2374" s="1">
        <v>265.0</v>
      </c>
      <c r="M2374" s="1">
        <v>1996.0</v>
      </c>
      <c r="N2374" s="1">
        <v>1996.0</v>
      </c>
      <c r="P2374" s="2">
        <v>44941.0</v>
      </c>
      <c r="Q2374" s="1" t="s">
        <v>421</v>
      </c>
      <c r="R2374" s="1" t="s">
        <v>10315</v>
      </c>
      <c r="S2374" s="1" t="s">
        <v>32</v>
      </c>
      <c r="W2374" s="1">
        <v>0.0</v>
      </c>
      <c r="X2374" s="1">
        <v>0.0</v>
      </c>
    </row>
    <row r="2375" spans="1:24" ht="15.75" customHeight="1">
      <c r="A2375" s="1">
        <v>3.0968235E7</v>
      </c>
      <c r="B2375" s="1" t="s">
        <v>10316</v>
      </c>
      <c r="C2375" s="1" t="s">
        <v>10317</v>
      </c>
      <c r="D2375" s="1" t="s">
        <v>10318</v>
      </c>
      <c r="F2375" s="1" t="str">
        <f>"0991429869"</f>
        <v>0991429869</v>
      </c>
      <c r="G2375" s="1" t="str">
        <f>"9780991429868"</f>
        <v>9780991429868</v>
      </c>
      <c r="H2375" s="1">
        <v>0.0</v>
      </c>
      <c r="I2375" s="1">
        <v>4.26</v>
      </c>
      <c r="J2375" s="1" t="s">
        <v>10319</v>
      </c>
      <c r="K2375" s="1" t="s">
        <v>44</v>
      </c>
      <c r="L2375" s="1">
        <v>98.0</v>
      </c>
      <c r="M2375" s="1">
        <v>2016.0</v>
      </c>
      <c r="N2375" s="1">
        <v>2016.0</v>
      </c>
      <c r="P2375" s="2">
        <v>42816.0</v>
      </c>
      <c r="Q2375" s="1" t="s">
        <v>1110</v>
      </c>
      <c r="R2375" s="1" t="s">
        <v>10320</v>
      </c>
      <c r="S2375" s="1" t="s">
        <v>32</v>
      </c>
      <c r="W2375" s="1">
        <v>0.0</v>
      </c>
      <c r="X2375" s="1">
        <v>0.0</v>
      </c>
    </row>
    <row r="2376" spans="1:24" ht="15.75" customHeight="1">
      <c r="A2376" s="1">
        <v>11346.0</v>
      </c>
      <c r="B2376" s="1" t="s">
        <v>10321</v>
      </c>
      <c r="C2376" s="1" t="s">
        <v>10322</v>
      </c>
      <c r="D2376" s="1" t="s">
        <v>10323</v>
      </c>
      <c r="F2376" s="1" t="str">
        <f>"0452283868"</f>
        <v>0452283868</v>
      </c>
      <c r="G2376" s="1" t="str">
        <f>"9780452283862"</f>
        <v>9780452283862</v>
      </c>
      <c r="H2376" s="1">
        <v>0.0</v>
      </c>
      <c r="I2376" s="1">
        <v>4.02</v>
      </c>
      <c r="J2376" s="1" t="s">
        <v>3748</v>
      </c>
      <c r="K2376" s="1" t="s">
        <v>44</v>
      </c>
      <c r="L2376" s="1">
        <v>174.0</v>
      </c>
      <c r="M2376" s="1">
        <v>2002.0</v>
      </c>
      <c r="N2376" s="1">
        <v>1973.0</v>
      </c>
      <c r="P2376" s="3">
        <v>45291.0</v>
      </c>
      <c r="Q2376" s="1" t="s">
        <v>145</v>
      </c>
      <c r="R2376" s="1" t="s">
        <v>10324</v>
      </c>
      <c r="S2376" s="1" t="s">
        <v>32</v>
      </c>
      <c r="W2376" s="1">
        <v>0.0</v>
      </c>
      <c r="X2376" s="1">
        <v>0.0</v>
      </c>
    </row>
    <row r="2377" spans="1:24" ht="15.75" customHeight="1">
      <c r="A2377" s="1">
        <v>7821831.0</v>
      </c>
      <c r="B2377" s="1" t="s">
        <v>10325</v>
      </c>
      <c r="C2377" s="1" t="s">
        <v>10326</v>
      </c>
      <c r="D2377" s="1" t="s">
        <v>10327</v>
      </c>
      <c r="F2377" s="1" t="str">
        <f>"1594202761"</f>
        <v>1594202761</v>
      </c>
      <c r="G2377" s="1" t="str">
        <f>"9781594202766"</f>
        <v>9781594202766</v>
      </c>
      <c r="H2377" s="1">
        <v>0.0</v>
      </c>
      <c r="I2377" s="1">
        <v>4.01</v>
      </c>
      <c r="J2377" s="1" t="s">
        <v>10328</v>
      </c>
      <c r="K2377" s="1" t="s">
        <v>37</v>
      </c>
      <c r="L2377" s="1">
        <v>237.0</v>
      </c>
      <c r="M2377" s="1">
        <v>2010.0</v>
      </c>
      <c r="N2377" s="1">
        <v>2010.0</v>
      </c>
      <c r="P2377" s="3">
        <v>44908.0</v>
      </c>
      <c r="Q2377" s="1" t="s">
        <v>32</v>
      </c>
      <c r="R2377" s="1" t="s">
        <v>10329</v>
      </c>
      <c r="S2377" s="1" t="s">
        <v>32</v>
      </c>
      <c r="W2377" s="1">
        <v>0.0</v>
      </c>
      <c r="X2377" s="1">
        <v>0.0</v>
      </c>
    </row>
    <row r="2378" spans="1:24" ht="15.75" customHeight="1">
      <c r="A2378" s="1">
        <v>2.3282306E7</v>
      </c>
      <c r="B2378" s="1" t="s">
        <v>10330</v>
      </c>
      <c r="C2378" s="1" t="s">
        <v>10331</v>
      </c>
      <c r="D2378" s="1" t="s">
        <v>10332</v>
      </c>
      <c r="F2378" s="1" t="str">
        <f>"1559364890"</f>
        <v>1559364890</v>
      </c>
      <c r="G2378" s="1" t="str">
        <f>"9781559364898"</f>
        <v>9781559364898</v>
      </c>
      <c r="H2378" s="1">
        <v>0.0</v>
      </c>
      <c r="I2378" s="1">
        <v>3.93</v>
      </c>
      <c r="J2378" s="1" t="s">
        <v>10333</v>
      </c>
      <c r="K2378" s="1" t="s">
        <v>44</v>
      </c>
      <c r="L2378" s="1">
        <v>192.0</v>
      </c>
      <c r="M2378" s="1">
        <v>2023.0</v>
      </c>
      <c r="N2378" s="1">
        <v>2012.0</v>
      </c>
      <c r="P2378" s="2">
        <v>45172.0</v>
      </c>
      <c r="Q2378" s="1" t="s">
        <v>32</v>
      </c>
      <c r="R2378" s="1" t="s">
        <v>10334</v>
      </c>
      <c r="S2378" s="1" t="s">
        <v>32</v>
      </c>
      <c r="W2378" s="1">
        <v>0.0</v>
      </c>
      <c r="X2378" s="1">
        <v>0.0</v>
      </c>
    </row>
    <row r="2379" spans="1:24" ht="15.75" customHeight="1">
      <c r="A2379" s="1">
        <v>5.3317528E7</v>
      </c>
      <c r="B2379" s="1" t="s">
        <v>10335</v>
      </c>
      <c r="C2379" s="1" t="s">
        <v>10336</v>
      </c>
      <c r="D2379" s="1" t="s">
        <v>10337</v>
      </c>
      <c r="E2379" s="1" t="s">
        <v>10338</v>
      </c>
      <c r="F2379" s="1" t="str">
        <f>"0374602395"</f>
        <v>0374602395</v>
      </c>
      <c r="G2379" s="1" t="str">
        <f>"9780374602390"</f>
        <v>9780374602390</v>
      </c>
      <c r="H2379" s="1">
        <v>5.0</v>
      </c>
      <c r="I2379" s="1">
        <v>4.37</v>
      </c>
      <c r="J2379" s="1" t="s">
        <v>438</v>
      </c>
      <c r="K2379" s="1" t="s">
        <v>37</v>
      </c>
      <c r="L2379" s="1">
        <v>371.0</v>
      </c>
      <c r="M2379" s="1">
        <v>2021.0</v>
      </c>
      <c r="N2379" s="1">
        <v>1967.0</v>
      </c>
      <c r="O2379" s="2">
        <v>44239.0</v>
      </c>
      <c r="P2379" s="2">
        <v>44226.0</v>
      </c>
      <c r="Q2379" s="1" t="s">
        <v>788</v>
      </c>
      <c r="R2379" s="1" t="s">
        <v>10339</v>
      </c>
      <c r="S2379" s="1" t="s">
        <v>32</v>
      </c>
      <c r="W2379" s="1">
        <v>1.0</v>
      </c>
      <c r="X2379" s="1">
        <v>1.0</v>
      </c>
    </row>
    <row r="2380" spans="1:24" ht="15.75" customHeight="1">
      <c r="A2380" s="1">
        <v>6.0254901E7</v>
      </c>
      <c r="B2380" s="1" t="s">
        <v>10340</v>
      </c>
      <c r="C2380" s="1" t="s">
        <v>10341</v>
      </c>
      <c r="D2380" s="1" t="s">
        <v>10342</v>
      </c>
      <c r="F2380" s="1" t="str">
        <f>"0674258452"</f>
        <v>0674258452</v>
      </c>
      <c r="G2380" s="1" t="str">
        <f>"9780674258457"</f>
        <v>9780674258457</v>
      </c>
      <c r="H2380" s="1">
        <v>0.0</v>
      </c>
      <c r="I2380" s="1">
        <v>4.5</v>
      </c>
      <c r="J2380" s="1" t="s">
        <v>2273</v>
      </c>
      <c r="K2380" s="1" t="s">
        <v>37</v>
      </c>
      <c r="L2380" s="1">
        <v>464.0</v>
      </c>
      <c r="M2380" s="1">
        <v>2023.0</v>
      </c>
      <c r="P2380" s="2">
        <v>45191.0</v>
      </c>
      <c r="Q2380" s="1" t="s">
        <v>10343</v>
      </c>
      <c r="R2380" s="1" t="s">
        <v>10344</v>
      </c>
      <c r="S2380" s="1" t="s">
        <v>32</v>
      </c>
      <c r="W2380" s="1">
        <v>0.0</v>
      </c>
      <c r="X2380" s="1">
        <v>0.0</v>
      </c>
    </row>
    <row r="2381" spans="1:24" ht="15.75" customHeight="1">
      <c r="A2381" s="1">
        <v>1.5805345E7</v>
      </c>
      <c r="B2381" s="1" t="s">
        <v>10345</v>
      </c>
      <c r="C2381" s="1" t="s">
        <v>10346</v>
      </c>
      <c r="D2381" s="1" t="s">
        <v>10347</v>
      </c>
      <c r="F2381" s="1" t="str">
        <f>"0299289702"</f>
        <v>0299289702</v>
      </c>
      <c r="G2381" s="1" t="str">
        <f>"9780299289706"</f>
        <v>9780299289706</v>
      </c>
      <c r="H2381" s="1">
        <v>0.0</v>
      </c>
      <c r="I2381" s="1">
        <v>4.05</v>
      </c>
      <c r="J2381" s="1" t="s">
        <v>4775</v>
      </c>
      <c r="K2381" s="1" t="s">
        <v>37</v>
      </c>
      <c r="L2381" s="1">
        <v>275.0</v>
      </c>
      <c r="M2381" s="1">
        <v>2012.0</v>
      </c>
      <c r="N2381" s="1">
        <v>2012.0</v>
      </c>
      <c r="P2381" s="3">
        <v>44118.0</v>
      </c>
      <c r="Q2381" s="1" t="s">
        <v>32</v>
      </c>
      <c r="R2381" s="1" t="s">
        <v>10348</v>
      </c>
      <c r="S2381" s="1" t="s">
        <v>32</v>
      </c>
      <c r="W2381" s="1">
        <v>0.0</v>
      </c>
      <c r="X2381" s="1">
        <v>0.0</v>
      </c>
    </row>
    <row r="2382" spans="1:24" ht="15.75" customHeight="1">
      <c r="A2382" s="1">
        <v>1.7661117E7</v>
      </c>
      <c r="B2382" s="1" t="s">
        <v>10349</v>
      </c>
      <c r="C2382" s="1" t="s">
        <v>10350</v>
      </c>
      <c r="D2382" s="1" t="s">
        <v>10351</v>
      </c>
      <c r="F2382" s="1" t="str">
        <f t="shared" si="178" ref="F2382:G2382">""</f>
        <v/>
      </c>
      <c r="G2382" s="1" t="str">
        <f t="shared" si="178"/>
        <v/>
      </c>
      <c r="H2382" s="1">
        <v>0.0</v>
      </c>
      <c r="I2382" s="1">
        <v>4.09</v>
      </c>
      <c r="J2382" s="1" t="s">
        <v>10352</v>
      </c>
      <c r="K2382" s="1" t="s">
        <v>37</v>
      </c>
      <c r="L2382" s="1">
        <v>361.0</v>
      </c>
      <c r="M2382" s="1">
        <v>1972.0</v>
      </c>
      <c r="N2382" s="1">
        <v>1959.0</v>
      </c>
      <c r="P2382" s="2">
        <v>45161.0</v>
      </c>
      <c r="Q2382" s="1" t="s">
        <v>788</v>
      </c>
      <c r="R2382" s="1" t="s">
        <v>10353</v>
      </c>
      <c r="S2382" s="1" t="s">
        <v>32</v>
      </c>
      <c r="W2382" s="1">
        <v>0.0</v>
      </c>
      <c r="X2382" s="1">
        <v>1.0</v>
      </c>
    </row>
    <row r="2383" spans="1:24" ht="15.75" customHeight="1">
      <c r="A2383" s="1">
        <v>1375880.0</v>
      </c>
      <c r="B2383" s="1" t="s">
        <v>10354</v>
      </c>
      <c r="C2383" s="1" t="s">
        <v>10355</v>
      </c>
      <c r="D2383" s="1" t="s">
        <v>10356</v>
      </c>
      <c r="E2383" s="1" t="s">
        <v>5446</v>
      </c>
      <c r="F2383" s="1" t="str">
        <f>"082231374X"</f>
        <v>082231374X</v>
      </c>
      <c r="G2383" s="1" t="str">
        <f>"9780822313748"</f>
        <v>9780822313748</v>
      </c>
      <c r="H2383" s="1">
        <v>0.0</v>
      </c>
      <c r="I2383" s="1">
        <v>3.77</v>
      </c>
      <c r="J2383" s="1" t="s">
        <v>1341</v>
      </c>
      <c r="K2383" s="1" t="s">
        <v>44</v>
      </c>
      <c r="L2383" s="1">
        <v>456.0</v>
      </c>
      <c r="M2383" s="1">
        <v>1993.0</v>
      </c>
      <c r="N2383" s="1">
        <v>1967.0</v>
      </c>
      <c r="P2383" s="3">
        <v>45260.0</v>
      </c>
      <c r="Q2383" s="1" t="s">
        <v>55</v>
      </c>
      <c r="R2383" s="1" t="s">
        <v>10357</v>
      </c>
      <c r="S2383" s="1" t="s">
        <v>32</v>
      </c>
      <c r="W2383" s="1">
        <v>0.0</v>
      </c>
      <c r="X2383" s="1">
        <v>0.0</v>
      </c>
    </row>
    <row r="2384" spans="1:24" ht="15.75" customHeight="1">
      <c r="A2384" s="1">
        <v>1.1785802E7</v>
      </c>
      <c r="B2384" s="1" t="s">
        <v>10358</v>
      </c>
      <c r="C2384" s="1" t="s">
        <v>10359</v>
      </c>
      <c r="D2384" s="1" t="s">
        <v>10360</v>
      </c>
      <c r="F2384" s="1" t="str">
        <f>"1410223620"</f>
        <v>1410223620</v>
      </c>
      <c r="G2384" s="1" t="str">
        <f>"9781410223623"</f>
        <v>9781410223623</v>
      </c>
      <c r="H2384" s="1">
        <v>0.0</v>
      </c>
      <c r="I2384" s="1">
        <v>4.0</v>
      </c>
      <c r="J2384" s="1" t="s">
        <v>10361</v>
      </c>
      <c r="K2384" s="1" t="s">
        <v>44</v>
      </c>
      <c r="L2384" s="1">
        <v>76.0</v>
      </c>
      <c r="M2384" s="1">
        <v>2005.0</v>
      </c>
      <c r="N2384" s="1">
        <v>2005.0</v>
      </c>
      <c r="P2384" s="3">
        <v>45271.0</v>
      </c>
      <c r="Q2384" s="1" t="s">
        <v>479</v>
      </c>
      <c r="R2384" s="1" t="s">
        <v>10362</v>
      </c>
      <c r="S2384" s="1" t="s">
        <v>32</v>
      </c>
      <c r="W2384" s="1">
        <v>0.0</v>
      </c>
      <c r="X2384" s="1">
        <v>0.0</v>
      </c>
    </row>
    <row r="2385" spans="1:24" ht="15.75" customHeight="1">
      <c r="A2385" s="1">
        <v>2.5500451E7</v>
      </c>
      <c r="B2385" s="1" t="s">
        <v>10363</v>
      </c>
      <c r="C2385" s="1" t="s">
        <v>10364</v>
      </c>
      <c r="D2385" s="1" t="s">
        <v>10365</v>
      </c>
      <c r="F2385" s="1" t="str">
        <f t="shared" si="179" ref="F2385:G2385">""</f>
        <v/>
      </c>
      <c r="G2385" s="1" t="str">
        <f t="shared" si="179"/>
        <v/>
      </c>
      <c r="H2385" s="1">
        <v>0.0</v>
      </c>
      <c r="I2385" s="1">
        <v>3.95</v>
      </c>
      <c r="J2385" s="1" t="s">
        <v>6034</v>
      </c>
      <c r="K2385" s="1" t="s">
        <v>29</v>
      </c>
      <c r="L2385" s="1">
        <v>587.0</v>
      </c>
      <c r="M2385" s="1">
        <v>2015.0</v>
      </c>
      <c r="N2385" s="1">
        <v>2003.0</v>
      </c>
      <c r="P2385" s="3">
        <v>45260.0</v>
      </c>
      <c r="Q2385" s="1" t="s">
        <v>3356</v>
      </c>
      <c r="R2385" s="1" t="s">
        <v>10366</v>
      </c>
      <c r="S2385" s="1" t="s">
        <v>32</v>
      </c>
      <c r="W2385" s="1">
        <v>0.0</v>
      </c>
      <c r="X2385" s="1">
        <v>0.0</v>
      </c>
    </row>
    <row r="2386" spans="1:24" ht="15.75" customHeight="1">
      <c r="A2386" s="1">
        <v>17841.0</v>
      </c>
      <c r="B2386" s="1" t="s">
        <v>10367</v>
      </c>
      <c r="C2386" s="1" t="s">
        <v>10368</v>
      </c>
      <c r="D2386" s="1" t="s">
        <v>10369</v>
      </c>
      <c r="E2386" s="1" t="s">
        <v>10370</v>
      </c>
      <c r="F2386" s="1" t="str">
        <f>"015603297X"</f>
        <v>015603297X</v>
      </c>
      <c r="G2386" s="1" t="str">
        <f>"9780156032971"</f>
        <v>9780156032971</v>
      </c>
      <c r="H2386" s="1">
        <v>0.0</v>
      </c>
      <c r="I2386" s="1">
        <v>3.91</v>
      </c>
      <c r="J2386" s="1" t="s">
        <v>468</v>
      </c>
      <c r="K2386" s="1" t="s">
        <v>44</v>
      </c>
      <c r="L2386" s="1">
        <v>623.0</v>
      </c>
      <c r="M2386" s="1">
        <v>2007.0</v>
      </c>
      <c r="N2386" s="1">
        <v>1988.0</v>
      </c>
      <c r="P2386" s="2">
        <v>43901.0</v>
      </c>
      <c r="Q2386" s="1" t="s">
        <v>10371</v>
      </c>
      <c r="R2386" s="1" t="s">
        <v>10372</v>
      </c>
      <c r="S2386" s="1" t="s">
        <v>32</v>
      </c>
      <c r="W2386" s="1">
        <v>0.0</v>
      </c>
      <c r="X2386" s="1">
        <v>1.0</v>
      </c>
    </row>
    <row r="2387" spans="1:24" ht="15.75" customHeight="1">
      <c r="A2387" s="1">
        <v>335009.0</v>
      </c>
      <c r="B2387" s="1" t="s">
        <v>10373</v>
      </c>
      <c r="C2387" s="1" t="s">
        <v>10368</v>
      </c>
      <c r="D2387" s="1" t="s">
        <v>10369</v>
      </c>
      <c r="E2387" s="1" t="s">
        <v>10370</v>
      </c>
      <c r="F2387" s="1" t="str">
        <f>"0151446474"</f>
        <v>0151446474</v>
      </c>
      <c r="G2387" s="1" t="str">
        <f>"9780151446476"</f>
        <v>9780151446476</v>
      </c>
      <c r="H2387" s="1">
        <v>0.0</v>
      </c>
      <c r="I2387" s="1">
        <v>4.14</v>
      </c>
      <c r="J2387" s="1" t="s">
        <v>10374</v>
      </c>
      <c r="K2387" s="1" t="s">
        <v>37</v>
      </c>
      <c r="L2387" s="1">
        <v>502.0</v>
      </c>
      <c r="M2387" s="1">
        <v>1983.0</v>
      </c>
      <c r="N2387" s="1">
        <v>1980.0</v>
      </c>
      <c r="P2387" s="2">
        <v>44814.0</v>
      </c>
      <c r="Q2387" s="1" t="s">
        <v>818</v>
      </c>
      <c r="R2387" s="1" t="s">
        <v>10375</v>
      </c>
      <c r="S2387" s="1" t="s">
        <v>32</v>
      </c>
      <c r="W2387" s="1">
        <v>0.0</v>
      </c>
      <c r="X2387" s="1">
        <v>1.0</v>
      </c>
    </row>
    <row r="2388" spans="1:24" ht="15.75" customHeight="1">
      <c r="A2388" s="1">
        <v>10530.0</v>
      </c>
      <c r="B2388" s="1" t="s">
        <v>10376</v>
      </c>
      <c r="C2388" s="1" t="s">
        <v>10368</v>
      </c>
      <c r="D2388" s="1" t="s">
        <v>10369</v>
      </c>
      <c r="F2388" s="1" t="str">
        <f>"0674810511"</f>
        <v>0674810511</v>
      </c>
      <c r="G2388" s="1" t="str">
        <f>"9780674810518"</f>
        <v>9780674810518</v>
      </c>
      <c r="H2388" s="1">
        <v>0.0</v>
      </c>
      <c r="I2388" s="1">
        <v>4.14</v>
      </c>
      <c r="J2388" s="1" t="s">
        <v>2273</v>
      </c>
      <c r="K2388" s="1" t="s">
        <v>44</v>
      </c>
      <c r="L2388" s="1">
        <v>160.0</v>
      </c>
      <c r="M2388" s="1">
        <v>1998.0</v>
      </c>
      <c r="N2388" s="1">
        <v>1994.0</v>
      </c>
      <c r="P2388" s="2">
        <v>45129.0</v>
      </c>
      <c r="Q2388" s="1" t="s">
        <v>3722</v>
      </c>
      <c r="R2388" s="1" t="s">
        <v>10377</v>
      </c>
      <c r="S2388" s="1" t="s">
        <v>32</v>
      </c>
      <c r="W2388" s="1">
        <v>0.0</v>
      </c>
      <c r="X2388" s="1">
        <v>0.0</v>
      </c>
    </row>
    <row r="2389" spans="1:24" ht="15.75" customHeight="1">
      <c r="A2389" s="4">
        <v>10503.0</v>
      </c>
      <c r="B2389" s="4" t="s">
        <v>10378</v>
      </c>
      <c r="C2389" s="4" t="s">
        <v>10368</v>
      </c>
      <c r="D2389" s="4" t="s">
        <v>10369</v>
      </c>
      <c r="E2389" s="4" t="s">
        <v>9104</v>
      </c>
      <c r="F2389" s="4" t="str">
        <f>"0156030438"</f>
        <v>0156030438</v>
      </c>
      <c r="G2389" s="4" t="str">
        <f>"9780156030434"</f>
        <v>9780156030434</v>
      </c>
      <c r="H2389" s="4">
        <v>0.0</v>
      </c>
      <c r="I2389" s="4">
        <v>3.38</v>
      </c>
      <c r="J2389" s="4" t="s">
        <v>1572</v>
      </c>
      <c r="K2389" s="4" t="s">
        <v>44</v>
      </c>
      <c r="L2389" s="4">
        <v>469.0</v>
      </c>
      <c r="M2389" s="4">
        <v>2006.0</v>
      </c>
      <c r="N2389" s="4">
        <v>2004.0</v>
      </c>
      <c r="O2389" s="5"/>
      <c r="P2389" s="6">
        <v>45167.0</v>
      </c>
      <c r="Q2389" s="7" t="s">
        <v>3643</v>
      </c>
      <c r="R2389" s="4" t="s">
        <v>10379</v>
      </c>
      <c r="S2389" s="4" t="s">
        <v>32</v>
      </c>
      <c r="T2389" s="5"/>
      <c r="U2389" s="5"/>
      <c r="V2389" s="5"/>
      <c r="W2389" s="4">
        <v>0.0</v>
      </c>
      <c r="X2389" s="4">
        <v>0.0</v>
      </c>
    </row>
    <row r="2390" spans="1:24" ht="15.75" customHeight="1">
      <c r="A2390" s="4">
        <v>59925.0</v>
      </c>
      <c r="B2390" s="4" t="s">
        <v>10380</v>
      </c>
      <c r="C2390" s="4" t="s">
        <v>10368</v>
      </c>
      <c r="D2390" s="4" t="s">
        <v>10369</v>
      </c>
      <c r="E2390" s="4" t="s">
        <v>10381</v>
      </c>
      <c r="F2390" s="4" t="str">
        <f>"015601159X"</f>
        <v>015601159X</v>
      </c>
      <c r="G2390" s="4" t="str">
        <f>"9780156011594"</f>
        <v>9780156011594</v>
      </c>
      <c r="H2390" s="4">
        <v>0.0</v>
      </c>
      <c r="I2390" s="4">
        <v>3.82</v>
      </c>
      <c r="J2390" s="4" t="s">
        <v>4018</v>
      </c>
      <c r="K2390" s="4" t="s">
        <v>44</v>
      </c>
      <c r="L2390" s="4">
        <v>480.0</v>
      </c>
      <c r="M2390" s="4">
        <v>2000.0</v>
      </c>
      <c r="N2390" s="4">
        <v>1997.0</v>
      </c>
      <c r="O2390" s="5"/>
      <c r="P2390" s="6">
        <v>45166.0</v>
      </c>
      <c r="Q2390" s="7" t="s">
        <v>3643</v>
      </c>
      <c r="R2390" s="4" t="s">
        <v>10382</v>
      </c>
      <c r="S2390" s="4" t="s">
        <v>32</v>
      </c>
      <c r="T2390" s="5"/>
      <c r="U2390" s="5"/>
      <c r="V2390" s="5"/>
      <c r="W2390" s="4">
        <v>0.0</v>
      </c>
      <c r="X2390" s="4">
        <v>0.0</v>
      </c>
    </row>
    <row r="2391" spans="1:24" ht="15.75" customHeight="1">
      <c r="A2391" s="4">
        <v>10505.0</v>
      </c>
      <c r="B2391" s="4" t="s">
        <v>10383</v>
      </c>
      <c r="C2391" s="4" t="s">
        <v>10368</v>
      </c>
      <c r="D2391" s="4" t="s">
        <v>10369</v>
      </c>
      <c r="E2391" s="4" t="s">
        <v>10381</v>
      </c>
      <c r="F2391" s="4" t="str">
        <f>"0847826465"</f>
        <v>0847826465</v>
      </c>
      <c r="G2391" s="4" t="str">
        <f>"9780847826469"</f>
        <v>9780847826469</v>
      </c>
      <c r="H2391" s="4">
        <v>0.0</v>
      </c>
      <c r="I2391" s="4">
        <v>3.83</v>
      </c>
      <c r="J2391" s="4" t="s">
        <v>1730</v>
      </c>
      <c r="K2391" s="4" t="s">
        <v>44</v>
      </c>
      <c r="L2391" s="4">
        <v>438.0</v>
      </c>
      <c r="M2391" s="4">
        <v>2004.0</v>
      </c>
      <c r="N2391" s="4">
        <v>2004.0</v>
      </c>
      <c r="O2391" s="5"/>
      <c r="P2391" s="6">
        <v>44168.0</v>
      </c>
      <c r="Q2391" s="7" t="s">
        <v>3643</v>
      </c>
      <c r="R2391" s="4" t="s">
        <v>10384</v>
      </c>
      <c r="S2391" s="4" t="s">
        <v>32</v>
      </c>
      <c r="T2391" s="5"/>
      <c r="U2391" s="5"/>
      <c r="V2391" s="5"/>
      <c r="W2391" s="4">
        <v>0.0</v>
      </c>
      <c r="X2391" s="4">
        <v>0.0</v>
      </c>
    </row>
    <row r="2392" spans="1:24" ht="15.75" customHeight="1">
      <c r="A2392" s="4">
        <v>10508.0</v>
      </c>
      <c r="B2392" s="4" t="s">
        <v>10385</v>
      </c>
      <c r="C2392" s="4" t="s">
        <v>10368</v>
      </c>
      <c r="D2392" s="4" t="s">
        <v>10369</v>
      </c>
      <c r="E2392" s="4" t="s">
        <v>10386</v>
      </c>
      <c r="F2392" s="4" t="str">
        <f>"0156032392"</f>
        <v>0156032392</v>
      </c>
      <c r="G2392" s="4" t="str">
        <f>"9780156032391"</f>
        <v>9780156032391</v>
      </c>
      <c r="H2392" s="4">
        <v>0.0</v>
      </c>
      <c r="I2392" s="4">
        <v>3.95</v>
      </c>
      <c r="J2392" s="4" t="s">
        <v>10387</v>
      </c>
      <c r="K2392" s="4" t="s">
        <v>44</v>
      </c>
      <c r="L2392" s="4">
        <v>352.0</v>
      </c>
      <c r="M2392" s="4">
        <v>2005.0</v>
      </c>
      <c r="N2392" s="4">
        <v>2002.0</v>
      </c>
      <c r="O2392" s="5"/>
      <c r="P2392" s="6">
        <v>44168.0</v>
      </c>
      <c r="Q2392" s="7" t="s">
        <v>3643</v>
      </c>
      <c r="R2392" s="4" t="s">
        <v>10388</v>
      </c>
      <c r="S2392" s="4" t="s">
        <v>32</v>
      </c>
      <c r="T2392" s="5"/>
      <c r="U2392" s="5"/>
      <c r="V2392" s="5"/>
      <c r="W2392" s="4">
        <v>0.0</v>
      </c>
      <c r="X2392" s="4">
        <v>0.0</v>
      </c>
    </row>
    <row r="2393" spans="1:24" ht="15.75" customHeight="1">
      <c r="A2393" s="4">
        <v>2.3461426E7</v>
      </c>
      <c r="B2393" s="4" t="s">
        <v>10389</v>
      </c>
      <c r="C2393" s="4" t="s">
        <v>10368</v>
      </c>
      <c r="D2393" s="4" t="s">
        <v>10369</v>
      </c>
      <c r="E2393" s="4" t="s">
        <v>10390</v>
      </c>
      <c r="F2393" s="4" t="str">
        <f t="shared" si="180" ref="F2393:G2393">""</f>
        <v/>
      </c>
      <c r="G2393" s="4" t="str">
        <f t="shared" si="180"/>
        <v/>
      </c>
      <c r="H2393" s="4">
        <v>0.0</v>
      </c>
      <c r="I2393" s="4">
        <v>3.93</v>
      </c>
      <c r="J2393" s="4" t="s">
        <v>1353</v>
      </c>
      <c r="K2393" s="4" t="s">
        <v>44</v>
      </c>
      <c r="L2393" s="4">
        <v>229.0</v>
      </c>
      <c r="M2393" s="4">
        <v>2015.0</v>
      </c>
      <c r="N2393" s="4">
        <v>1977.0</v>
      </c>
      <c r="O2393" s="5"/>
      <c r="P2393" s="6">
        <v>43919.0</v>
      </c>
      <c r="Q2393" s="7" t="s">
        <v>3643</v>
      </c>
      <c r="R2393" s="4" t="s">
        <v>10391</v>
      </c>
      <c r="S2393" s="4" t="s">
        <v>32</v>
      </c>
      <c r="T2393" s="5"/>
      <c r="U2393" s="5"/>
      <c r="V2393" s="5"/>
      <c r="W2393" s="4">
        <v>0.0</v>
      </c>
      <c r="X2393" s="4">
        <v>0.0</v>
      </c>
    </row>
    <row r="2394" spans="1:24" ht="15.75" customHeight="1">
      <c r="A2394" s="4">
        <v>23066.0</v>
      </c>
      <c r="B2394" s="4" t="s">
        <v>10392</v>
      </c>
      <c r="C2394" s="4" t="s">
        <v>10368</v>
      </c>
      <c r="D2394" s="4" t="s">
        <v>10369</v>
      </c>
      <c r="E2394" s="4" t="s">
        <v>10370</v>
      </c>
      <c r="F2394" s="4" t="str">
        <f>"0151001367"</f>
        <v>0151001367</v>
      </c>
      <c r="G2394" s="4" t="str">
        <f>"9780151001361"</f>
        <v>9780151001361</v>
      </c>
      <c r="H2394" s="4">
        <v>0.0</v>
      </c>
      <c r="I2394" s="4">
        <v>3.84</v>
      </c>
      <c r="J2394" s="4" t="s">
        <v>1572</v>
      </c>
      <c r="K2394" s="4" t="s">
        <v>37</v>
      </c>
      <c r="L2394" s="4">
        <v>248.0</v>
      </c>
      <c r="M2394" s="4">
        <v>1994.0</v>
      </c>
      <c r="N2394" s="4">
        <v>1992.0</v>
      </c>
      <c r="O2394" s="5"/>
      <c r="P2394" s="6">
        <v>42822.0</v>
      </c>
      <c r="Q2394" s="7" t="s">
        <v>3643</v>
      </c>
      <c r="R2394" s="4" t="s">
        <v>10393</v>
      </c>
      <c r="S2394" s="4" t="s">
        <v>32</v>
      </c>
      <c r="T2394" s="5"/>
      <c r="U2394" s="5"/>
      <c r="V2394" s="5"/>
      <c r="W2394" s="4">
        <v>0.0</v>
      </c>
      <c r="X2394" s="4">
        <v>0.0</v>
      </c>
    </row>
    <row r="2395" spans="1:24" ht="15.75" customHeight="1">
      <c r="A2395" s="1">
        <v>7.7449694E7</v>
      </c>
      <c r="B2395" s="1" t="s">
        <v>10394</v>
      </c>
      <c r="C2395" s="1" t="s">
        <v>10395</v>
      </c>
      <c r="D2395" s="1" t="s">
        <v>10396</v>
      </c>
      <c r="F2395" s="1" t="str">
        <f>"4062617641"</f>
        <v>4062617641</v>
      </c>
      <c r="G2395" s="1" t="str">
        <f>"9784062617642"</f>
        <v>9784062617642</v>
      </c>
      <c r="H2395" s="1">
        <v>0.0</v>
      </c>
      <c r="I2395" s="1">
        <v>0.0</v>
      </c>
      <c r="J2395" s="1" t="s">
        <v>9957</v>
      </c>
      <c r="K2395" s="1" t="s">
        <v>9958</v>
      </c>
      <c r="L2395" s="1">
        <v>0.0</v>
      </c>
      <c r="P2395" s="2">
        <v>45137.0</v>
      </c>
      <c r="Q2395" s="1" t="s">
        <v>115</v>
      </c>
      <c r="R2395" s="1" t="s">
        <v>10397</v>
      </c>
      <c r="S2395" s="1" t="s">
        <v>32</v>
      </c>
      <c r="W2395" s="1">
        <v>0.0</v>
      </c>
      <c r="X2395" s="1">
        <v>1.0</v>
      </c>
    </row>
    <row r="2396" spans="1:24" ht="15.75" customHeight="1">
      <c r="A2396" s="1">
        <v>743049.0</v>
      </c>
      <c r="B2396" s="1" t="s">
        <v>10398</v>
      </c>
      <c r="C2396" s="1" t="s">
        <v>10399</v>
      </c>
      <c r="D2396" s="1" t="s">
        <v>10400</v>
      </c>
      <c r="E2396" s="1" t="s">
        <v>10401</v>
      </c>
      <c r="F2396" s="1" t="str">
        <f>"0060669357"</f>
        <v>0060669357</v>
      </c>
      <c r="G2396" s="1" t="str">
        <f>"9780060669355"</f>
        <v>9780060669355</v>
      </c>
      <c r="H2396" s="1">
        <v>0.0</v>
      </c>
      <c r="I2396" s="1">
        <v>4.22</v>
      </c>
      <c r="J2396" s="1" t="s">
        <v>558</v>
      </c>
      <c r="K2396" s="1" t="s">
        <v>44</v>
      </c>
      <c r="L2396" s="1">
        <v>576.0</v>
      </c>
      <c r="M2396" s="1">
        <v>1990.0</v>
      </c>
      <c r="N2396" s="1">
        <v>400.0</v>
      </c>
      <c r="P2396" s="2">
        <v>45070.0</v>
      </c>
      <c r="Q2396" s="1" t="s">
        <v>32</v>
      </c>
      <c r="R2396" s="1" t="s">
        <v>10402</v>
      </c>
      <c r="S2396" s="1" t="s">
        <v>32</v>
      </c>
      <c r="W2396" s="1">
        <v>0.0</v>
      </c>
      <c r="X2396" s="1">
        <v>0.0</v>
      </c>
    </row>
    <row r="2397" spans="1:24" ht="15.75" customHeight="1">
      <c r="A2397" s="1">
        <v>4.4032894E7</v>
      </c>
      <c r="B2397" s="1" t="s">
        <v>10403</v>
      </c>
      <c r="C2397" s="1" t="s">
        <v>10404</v>
      </c>
      <c r="D2397" s="1" t="s">
        <v>10405</v>
      </c>
      <c r="E2397" s="1" t="s">
        <v>10406</v>
      </c>
      <c r="F2397" s="1" t="str">
        <f>"8423355217"</f>
        <v>8423355217</v>
      </c>
      <c r="G2397" s="1" t="str">
        <f>"9788423355211"</f>
        <v>9788423355211</v>
      </c>
      <c r="H2397" s="1">
        <v>0.0</v>
      </c>
      <c r="I2397" s="1">
        <v>3.59</v>
      </c>
      <c r="J2397" s="1" t="s">
        <v>5836</v>
      </c>
      <c r="K2397" s="1" t="s">
        <v>44</v>
      </c>
      <c r="L2397" s="1">
        <v>149.0</v>
      </c>
      <c r="M2397" s="1">
        <v>2019.0</v>
      </c>
      <c r="P2397" s="2">
        <v>43979.0</v>
      </c>
      <c r="Q2397" s="1" t="s">
        <v>32</v>
      </c>
      <c r="R2397" s="1" t="s">
        <v>10407</v>
      </c>
      <c r="S2397" s="1" t="s">
        <v>32</v>
      </c>
      <c r="W2397" s="1">
        <v>0.0</v>
      </c>
      <c r="X2397" s="1">
        <v>0.0</v>
      </c>
    </row>
    <row r="2398" spans="1:24" ht="15.75" customHeight="1">
      <c r="A2398" s="1">
        <v>429983.0</v>
      </c>
      <c r="B2398" s="1" t="s">
        <v>10408</v>
      </c>
      <c r="C2398" s="1" t="s">
        <v>797</v>
      </c>
      <c r="D2398" s="1" t="s">
        <v>10409</v>
      </c>
      <c r="E2398" s="1" t="s">
        <v>10410</v>
      </c>
      <c r="F2398" s="1" t="str">
        <f>"0060168358"</f>
        <v>0060168358</v>
      </c>
      <c r="G2398" s="1" t="str">
        <f>"9780060168353"</f>
        <v>9780060168353</v>
      </c>
      <c r="H2398" s="1">
        <v>0.0</v>
      </c>
      <c r="I2398" s="1">
        <v>4.24</v>
      </c>
      <c r="J2398" s="1" t="s">
        <v>150</v>
      </c>
      <c r="K2398" s="1" t="s">
        <v>44</v>
      </c>
      <c r="L2398" s="1">
        <v>250.0</v>
      </c>
      <c r="M2398" s="1">
        <v>1992.0</v>
      </c>
      <c r="N2398" s="1">
        <v>1979.0</v>
      </c>
      <c r="P2398" s="2">
        <v>45129.0</v>
      </c>
      <c r="Q2398" s="1" t="s">
        <v>553</v>
      </c>
      <c r="R2398" s="1" t="s">
        <v>10411</v>
      </c>
      <c r="S2398" s="1" t="s">
        <v>32</v>
      </c>
      <c r="W2398" s="1">
        <v>0.0</v>
      </c>
      <c r="X2398" s="1">
        <v>0.0</v>
      </c>
    </row>
    <row r="2399" spans="1:24" ht="15.75" customHeight="1">
      <c r="A2399" s="1">
        <v>2214574.0</v>
      </c>
      <c r="B2399" s="1" t="s">
        <v>10412</v>
      </c>
      <c r="C2399" s="1" t="s">
        <v>797</v>
      </c>
      <c r="D2399" s="1" t="s">
        <v>10409</v>
      </c>
      <c r="F2399" s="1" t="str">
        <f>"0151014248"</f>
        <v>0151014248</v>
      </c>
      <c r="G2399" s="1" t="str">
        <f>"9780151014248"</f>
        <v>9780151014248</v>
      </c>
      <c r="H2399" s="1">
        <v>0.0</v>
      </c>
      <c r="I2399" s="1">
        <v>3.84</v>
      </c>
      <c r="J2399" s="1" t="s">
        <v>5127</v>
      </c>
      <c r="K2399" s="1" t="s">
        <v>37</v>
      </c>
      <c r="L2399" s="1">
        <v>279.0</v>
      </c>
      <c r="M2399" s="1">
        <v>2008.0</v>
      </c>
      <c r="N2399" s="1">
        <v>2008.0</v>
      </c>
      <c r="P2399" s="2">
        <v>45112.0</v>
      </c>
      <c r="Q2399" s="1" t="s">
        <v>502</v>
      </c>
      <c r="R2399" s="1" t="s">
        <v>10413</v>
      </c>
      <c r="S2399" s="1" t="s">
        <v>32</v>
      </c>
      <c r="W2399" s="1">
        <v>0.0</v>
      </c>
      <c r="X2399" s="1">
        <v>0.0</v>
      </c>
    </row>
    <row r="2400" spans="1:24" ht="15.75" customHeight="1">
      <c r="A2400" s="1">
        <v>68039.0</v>
      </c>
      <c r="B2400" s="1" t="s">
        <v>10414</v>
      </c>
      <c r="C2400" s="1" t="s">
        <v>797</v>
      </c>
      <c r="D2400" s="1" t="s">
        <v>10409</v>
      </c>
      <c r="F2400" s="1" t="str">
        <f>"0802135293"</f>
        <v>0802135293</v>
      </c>
      <c r="G2400" s="1" t="str">
        <f>"9780802135292"</f>
        <v>9780802135292</v>
      </c>
      <c r="H2400" s="1">
        <v>0.0</v>
      </c>
      <c r="I2400" s="1">
        <v>4.12</v>
      </c>
      <c r="J2400" s="1" t="s">
        <v>663</v>
      </c>
      <c r="K2400" s="1" t="s">
        <v>44</v>
      </c>
      <c r="L2400" s="1">
        <v>320.0</v>
      </c>
      <c r="M2400" s="1">
        <v>1997.0</v>
      </c>
      <c r="N2400" s="1">
        <v>1989.0</v>
      </c>
      <c r="P2400" s="2">
        <v>45163.0</v>
      </c>
      <c r="Q2400" s="1" t="s">
        <v>32</v>
      </c>
      <c r="R2400" s="1" t="s">
        <v>10415</v>
      </c>
      <c r="S2400" s="1" t="s">
        <v>32</v>
      </c>
      <c r="W2400" s="1">
        <v>0.0</v>
      </c>
      <c r="X2400" s="1">
        <v>0.0</v>
      </c>
    </row>
    <row r="2401" spans="1:24" ht="15.75" customHeight="1">
      <c r="A2401" s="1">
        <v>516060.0</v>
      </c>
      <c r="B2401" s="1" t="s">
        <v>10416</v>
      </c>
      <c r="C2401" s="1" t="s">
        <v>10417</v>
      </c>
      <c r="D2401" s="1" t="s">
        <v>10418</v>
      </c>
      <c r="E2401" s="1" t="s">
        <v>10419</v>
      </c>
      <c r="F2401" s="1" t="str">
        <f>"1889307017"</f>
        <v>1889307017</v>
      </c>
      <c r="G2401" s="1" t="str">
        <f>"9781889307015"</f>
        <v>9781889307015</v>
      </c>
      <c r="H2401" s="1">
        <v>0.0</v>
      </c>
      <c r="I2401" s="1">
        <v>4.29</v>
      </c>
      <c r="J2401" s="1" t="s">
        <v>10420</v>
      </c>
      <c r="K2401" s="1" t="s">
        <v>44</v>
      </c>
      <c r="L2401" s="1">
        <v>224.0</v>
      </c>
      <c r="M2401" s="1">
        <v>1986.0</v>
      </c>
      <c r="N2401" s="1">
        <v>1986.0</v>
      </c>
      <c r="P2401" s="2">
        <v>43961.0</v>
      </c>
      <c r="Q2401" s="1" t="s">
        <v>32</v>
      </c>
      <c r="R2401" s="1" t="s">
        <v>10421</v>
      </c>
      <c r="S2401" s="1" t="s">
        <v>32</v>
      </c>
      <c r="W2401" s="1">
        <v>0.0</v>
      </c>
      <c r="X2401" s="1">
        <v>0.0</v>
      </c>
    </row>
    <row r="2402" spans="1:24" ht="15.75" customHeight="1">
      <c r="A2402" s="1">
        <v>503894.0</v>
      </c>
      <c r="B2402" s="1" t="s">
        <v>10422</v>
      </c>
      <c r="C2402" s="1" t="s">
        <v>10423</v>
      </c>
      <c r="D2402" s="1" t="s">
        <v>10424</v>
      </c>
      <c r="F2402" s="1" t="str">
        <f>"0306805413"</f>
        <v>0306805413</v>
      </c>
      <c r="G2402" s="1" t="str">
        <f>"9780306805417"</f>
        <v>9780306805417</v>
      </c>
      <c r="H2402" s="1">
        <v>0.0</v>
      </c>
      <c r="I2402" s="1">
        <v>4.05</v>
      </c>
      <c r="J2402" s="1" t="s">
        <v>564</v>
      </c>
      <c r="K2402" s="1" t="s">
        <v>44</v>
      </c>
      <c r="L2402" s="1">
        <v>208.0</v>
      </c>
      <c r="M2402" s="1">
        <v>1993.0</v>
      </c>
      <c r="N2402" s="1">
        <v>1972.0</v>
      </c>
      <c r="P2402" s="3">
        <v>45255.0</v>
      </c>
      <c r="Q2402" s="1" t="s">
        <v>145</v>
      </c>
      <c r="R2402" s="1" t="s">
        <v>10425</v>
      </c>
      <c r="S2402" s="1" t="s">
        <v>32</v>
      </c>
      <c r="W2402" s="1">
        <v>0.0</v>
      </c>
      <c r="X2402" s="1">
        <v>0.0</v>
      </c>
    </row>
    <row r="2403" spans="1:24" ht="15.75" customHeight="1">
      <c r="A2403" s="1">
        <v>49742.0</v>
      </c>
      <c r="B2403" s="1" t="s">
        <v>10426</v>
      </c>
      <c r="C2403" s="1" t="s">
        <v>10427</v>
      </c>
      <c r="D2403" s="1" t="s">
        <v>10428</v>
      </c>
      <c r="F2403" s="1" t="str">
        <f>"1400030552"</f>
        <v>1400030552</v>
      </c>
      <c r="G2403" s="1" t="str">
        <f>"9781400030552"</f>
        <v>9781400030552</v>
      </c>
      <c r="H2403" s="1">
        <v>0.0</v>
      </c>
      <c r="I2403" s="1">
        <v>3.49</v>
      </c>
      <c r="J2403" s="1" t="s">
        <v>69</v>
      </c>
      <c r="K2403" s="1" t="s">
        <v>44</v>
      </c>
      <c r="L2403" s="1">
        <v>256.0</v>
      </c>
      <c r="M2403" s="1">
        <v>2002.0</v>
      </c>
      <c r="N2403" s="1">
        <v>1971.0</v>
      </c>
      <c r="P2403" s="2">
        <v>45111.0</v>
      </c>
      <c r="Q2403" s="1" t="s">
        <v>261</v>
      </c>
      <c r="R2403" s="1" t="s">
        <v>10429</v>
      </c>
      <c r="S2403" s="1" t="s">
        <v>32</v>
      </c>
      <c r="W2403" s="1">
        <v>0.0</v>
      </c>
      <c r="X2403" s="1">
        <v>0.0</v>
      </c>
    </row>
    <row r="2404" spans="1:24" ht="15.75" customHeight="1">
      <c r="A2404" s="1">
        <v>4.1964822E7</v>
      </c>
      <c r="B2404" s="1" t="s">
        <v>10430</v>
      </c>
      <c r="C2404" s="1" t="s">
        <v>10431</v>
      </c>
      <c r="D2404" s="1" t="s">
        <v>10432</v>
      </c>
      <c r="F2404" s="1" t="str">
        <f>"1585421618"</f>
        <v>1585421618</v>
      </c>
      <c r="G2404" s="1" t="str">
        <f>""</f>
        <v/>
      </c>
      <c r="H2404" s="1">
        <v>0.0</v>
      </c>
      <c r="I2404" s="1">
        <v>4.5</v>
      </c>
      <c r="J2404" s="1" t="s">
        <v>10433</v>
      </c>
      <c r="K2404" s="1" t="s">
        <v>44</v>
      </c>
      <c r="L2404" s="1">
        <v>670.0</v>
      </c>
      <c r="M2404" s="1">
        <v>2002.0</v>
      </c>
      <c r="N2404" s="1">
        <v>1980.0</v>
      </c>
      <c r="P2404" s="2">
        <v>44800.0</v>
      </c>
      <c r="Q2404" s="1" t="s">
        <v>1268</v>
      </c>
      <c r="R2404" s="1" t="s">
        <v>10434</v>
      </c>
      <c r="S2404" s="1" t="s">
        <v>32</v>
      </c>
      <c r="W2404" s="1">
        <v>0.0</v>
      </c>
      <c r="X2404" s="1">
        <v>1.0</v>
      </c>
    </row>
    <row r="2405" spans="1:24" ht="15.75" customHeight="1">
      <c r="A2405" s="1">
        <v>6677509.0</v>
      </c>
      <c r="B2405" s="1" t="s">
        <v>10435</v>
      </c>
      <c r="C2405" s="1" t="s">
        <v>10431</v>
      </c>
      <c r="D2405" s="1" t="s">
        <v>10432</v>
      </c>
      <c r="E2405" s="1" t="s">
        <v>10436</v>
      </c>
      <c r="F2405" s="1" t="str">
        <f>"1597315001"</f>
        <v>1597315001</v>
      </c>
      <c r="G2405" s="1" t="str">
        <f>"9781597315005"</f>
        <v>9781597315005</v>
      </c>
      <c r="H2405" s="1">
        <v>0.0</v>
      </c>
      <c r="I2405" s="1">
        <v>4.6</v>
      </c>
      <c r="J2405" s="1" t="s">
        <v>10437</v>
      </c>
      <c r="K2405" s="1" t="s">
        <v>44</v>
      </c>
      <c r="L2405" s="1">
        <v>140.0</v>
      </c>
      <c r="M2405" s="1">
        <v>2009.0</v>
      </c>
      <c r="N2405" s="1">
        <v>2009.0</v>
      </c>
      <c r="P2405" s="3">
        <v>45213.0</v>
      </c>
      <c r="Q2405" s="1" t="s">
        <v>32</v>
      </c>
      <c r="R2405" s="1" t="s">
        <v>10438</v>
      </c>
      <c r="S2405" s="1" t="s">
        <v>32</v>
      </c>
      <c r="W2405" s="1">
        <v>0.0</v>
      </c>
      <c r="X2405" s="1">
        <v>0.0</v>
      </c>
    </row>
    <row r="2406" spans="1:24" ht="15.75" customHeight="1">
      <c r="A2406" s="1">
        <v>1398304.0</v>
      </c>
      <c r="B2406" s="1" t="s">
        <v>10439</v>
      </c>
      <c r="C2406" s="1" t="s">
        <v>10440</v>
      </c>
      <c r="D2406" s="1" t="s">
        <v>10441</v>
      </c>
      <c r="E2406" s="1" t="s">
        <v>10442</v>
      </c>
      <c r="F2406" s="1" t="str">
        <f>"1840680563"</f>
        <v>1840680563</v>
      </c>
      <c r="G2406" s="1" t="str">
        <f>"9781840680560"</f>
        <v>9781840680560</v>
      </c>
      <c r="H2406" s="1">
        <v>0.0</v>
      </c>
      <c r="I2406" s="1">
        <v>3.63</v>
      </c>
      <c r="J2406" s="1" t="s">
        <v>10443</v>
      </c>
      <c r="K2406" s="1" t="s">
        <v>44</v>
      </c>
      <c r="L2406" s="1">
        <v>102.0</v>
      </c>
      <c r="M2406" s="1">
        <v>2000.0</v>
      </c>
      <c r="N2406" s="1">
        <v>1962.0</v>
      </c>
      <c r="P2406" s="2">
        <v>45082.0</v>
      </c>
      <c r="Q2406" s="1" t="s">
        <v>1848</v>
      </c>
      <c r="R2406" s="1" t="s">
        <v>10444</v>
      </c>
      <c r="S2406" s="1" t="s">
        <v>32</v>
      </c>
      <c r="W2406" s="1">
        <v>0.0</v>
      </c>
      <c r="X2406" s="1">
        <v>0.0</v>
      </c>
    </row>
    <row r="2407" spans="1:24" ht="15.75" customHeight="1">
      <c r="A2407" s="1">
        <v>1.8528038E7</v>
      </c>
      <c r="B2407" s="1" t="s">
        <v>10445</v>
      </c>
      <c r="C2407" s="1" t="s">
        <v>10446</v>
      </c>
      <c r="D2407" s="1" t="s">
        <v>10447</v>
      </c>
      <c r="E2407" s="1" t="s">
        <v>10448</v>
      </c>
      <c r="F2407" s="1" t="str">
        <f>"1566893542"</f>
        <v>1566893542</v>
      </c>
      <c r="G2407" s="1" t="str">
        <f>"9781566893541"</f>
        <v>9781566893541</v>
      </c>
      <c r="H2407" s="1">
        <v>0.0</v>
      </c>
      <c r="I2407" s="1">
        <v>3.59</v>
      </c>
      <c r="J2407" s="1" t="s">
        <v>1504</v>
      </c>
      <c r="K2407" s="1" t="s">
        <v>44</v>
      </c>
      <c r="L2407" s="1">
        <v>146.0</v>
      </c>
      <c r="M2407" s="1">
        <v>2014.0</v>
      </c>
      <c r="N2407" s="1">
        <v>2011.0</v>
      </c>
      <c r="P2407" s="2">
        <v>45239.0</v>
      </c>
      <c r="Q2407" s="1" t="s">
        <v>145</v>
      </c>
      <c r="R2407" s="1" t="s">
        <v>10449</v>
      </c>
      <c r="S2407" s="1" t="s">
        <v>32</v>
      </c>
      <c r="W2407" s="1">
        <v>0.0</v>
      </c>
      <c r="X2407" s="1">
        <v>0.0</v>
      </c>
    </row>
    <row r="2408" spans="1:24" ht="15.75" customHeight="1">
      <c r="A2408" s="1">
        <v>4.024513E7</v>
      </c>
      <c r="B2408" s="1" t="s">
        <v>10450</v>
      </c>
      <c r="C2408" s="1" t="s">
        <v>10446</v>
      </c>
      <c r="D2408" s="1" t="s">
        <v>10447</v>
      </c>
      <c r="F2408" s="1" t="str">
        <f>"0525520619"</f>
        <v>0525520619</v>
      </c>
      <c r="G2408" s="1" t="str">
        <f>""</f>
        <v/>
      </c>
      <c r="H2408" s="1">
        <v>0.0</v>
      </c>
      <c r="I2408" s="1">
        <v>3.81</v>
      </c>
      <c r="J2408" s="1" t="s">
        <v>1397</v>
      </c>
      <c r="K2408" s="1" t="s">
        <v>37</v>
      </c>
      <c r="L2408" s="1">
        <v>385.0</v>
      </c>
      <c r="M2408" s="1">
        <v>2019.0</v>
      </c>
      <c r="N2408" s="1">
        <v>2019.0</v>
      </c>
      <c r="P2408" s="3">
        <v>44920.0</v>
      </c>
      <c r="Q2408" s="1" t="s">
        <v>32</v>
      </c>
      <c r="R2408" s="1" t="s">
        <v>10451</v>
      </c>
      <c r="S2408" s="1" t="s">
        <v>32</v>
      </c>
      <c r="W2408" s="1">
        <v>0.0</v>
      </c>
      <c r="X2408" s="1">
        <v>0.0</v>
      </c>
    </row>
    <row r="2409" spans="1:24" ht="15.75" customHeight="1">
      <c r="A2409" s="1">
        <v>2.4796231E7</v>
      </c>
      <c r="B2409" s="1" t="s">
        <v>10452</v>
      </c>
      <c r="C2409" s="1" t="s">
        <v>10446</v>
      </c>
      <c r="D2409" s="1" t="s">
        <v>10447</v>
      </c>
      <c r="E2409" s="1" t="s">
        <v>10448</v>
      </c>
      <c r="F2409" s="1" t="str">
        <f>"1566894093"</f>
        <v>1566894093</v>
      </c>
      <c r="G2409" s="1" t="str">
        <f>"9781566894098"</f>
        <v>9781566894098</v>
      </c>
      <c r="H2409" s="1">
        <v>0.0</v>
      </c>
      <c r="I2409" s="1">
        <v>3.49</v>
      </c>
      <c r="J2409" s="1" t="s">
        <v>1504</v>
      </c>
      <c r="K2409" s="1" t="s">
        <v>44</v>
      </c>
      <c r="L2409" s="1">
        <v>192.0</v>
      </c>
      <c r="M2409" s="1">
        <v>2015.0</v>
      </c>
      <c r="N2409" s="1">
        <v>2013.0</v>
      </c>
      <c r="P2409" s="2">
        <v>43939.0</v>
      </c>
      <c r="Q2409" s="1" t="s">
        <v>32</v>
      </c>
      <c r="R2409" s="1" t="s">
        <v>10453</v>
      </c>
      <c r="S2409" s="1" t="s">
        <v>32</v>
      </c>
      <c r="W2409" s="1">
        <v>0.0</v>
      </c>
      <c r="X2409" s="1">
        <v>0.0</v>
      </c>
    </row>
    <row r="2410" spans="1:24" ht="15.75" customHeight="1">
      <c r="A2410" s="1">
        <v>2.0702569E7</v>
      </c>
      <c r="B2410" s="1" t="s">
        <v>10454</v>
      </c>
      <c r="C2410" s="1" t="s">
        <v>10455</v>
      </c>
      <c r="D2410" s="1" t="s">
        <v>10456</v>
      </c>
      <c r="F2410" s="1" t="str">
        <f>"1934824917"</f>
        <v>1934824917</v>
      </c>
      <c r="G2410" s="1" t="str">
        <f>"9781934824917"</f>
        <v>9781934824917</v>
      </c>
      <c r="H2410" s="1">
        <v>0.0</v>
      </c>
      <c r="I2410" s="1">
        <v>4.39</v>
      </c>
      <c r="J2410" s="1" t="s">
        <v>706</v>
      </c>
      <c r="K2410" s="1" t="s">
        <v>44</v>
      </c>
      <c r="L2410" s="1">
        <v>717.0</v>
      </c>
      <c r="M2410" s="1">
        <v>2014.0</v>
      </c>
      <c r="N2410" s="1">
        <v>2014.0</v>
      </c>
      <c r="P2410" s="2">
        <v>44257.0</v>
      </c>
      <c r="Q2410" s="1" t="s">
        <v>32</v>
      </c>
      <c r="R2410" s="1" t="s">
        <v>10457</v>
      </c>
      <c r="S2410" s="1" t="s">
        <v>32</v>
      </c>
      <c r="W2410" s="1">
        <v>0.0</v>
      </c>
      <c r="X2410" s="1">
        <v>0.0</v>
      </c>
    </row>
    <row r="2411" spans="1:24" ht="15.75" customHeight="1">
      <c r="A2411" s="1">
        <v>4.2091142E7</v>
      </c>
      <c r="B2411" s="1" t="s">
        <v>10458</v>
      </c>
      <c r="C2411" s="1" t="s">
        <v>10459</v>
      </c>
      <c r="D2411" s="1" t="s">
        <v>10460</v>
      </c>
      <c r="F2411" s="1" t="str">
        <f>"1912573059"</f>
        <v>1912573059</v>
      </c>
      <c r="G2411" s="1" t="str">
        <f>"9781912573059"</f>
        <v>9781912573059</v>
      </c>
      <c r="H2411" s="1">
        <v>0.0</v>
      </c>
      <c r="I2411" s="1">
        <v>4.45</v>
      </c>
      <c r="J2411" s="1" t="s">
        <v>10461</v>
      </c>
      <c r="K2411" s="1" t="s">
        <v>44</v>
      </c>
      <c r="L2411" s="1">
        <v>204.0</v>
      </c>
      <c r="M2411" s="1">
        <v>2019.0</v>
      </c>
      <c r="N2411" s="1">
        <v>2019.0</v>
      </c>
      <c r="P2411" s="2">
        <v>45151.0</v>
      </c>
      <c r="Q2411" s="1" t="s">
        <v>32</v>
      </c>
      <c r="R2411" s="1" t="s">
        <v>10462</v>
      </c>
      <c r="S2411" s="1" t="s">
        <v>32</v>
      </c>
      <c r="W2411" s="1">
        <v>0.0</v>
      </c>
      <c r="X2411" s="1">
        <v>0.0</v>
      </c>
    </row>
    <row r="2412" spans="1:24" ht="15.75" customHeight="1">
      <c r="A2412" s="1">
        <v>4413184.0</v>
      </c>
      <c r="B2412" s="1" t="s">
        <v>10463</v>
      </c>
      <c r="C2412" s="1" t="s">
        <v>10464</v>
      </c>
      <c r="D2412" s="1" t="s">
        <v>10465</v>
      </c>
      <c r="F2412" s="1" t="str">
        <f>"1573661457"</f>
        <v>1573661457</v>
      </c>
      <c r="G2412" s="1" t="str">
        <f>"9781573661454"</f>
        <v>9781573661454</v>
      </c>
      <c r="H2412" s="1">
        <v>0.0</v>
      </c>
      <c r="I2412" s="1">
        <v>3.98</v>
      </c>
      <c r="J2412" s="1" t="s">
        <v>6410</v>
      </c>
      <c r="K2412" s="1" t="s">
        <v>44</v>
      </c>
      <c r="L2412" s="1">
        <v>488.0</v>
      </c>
      <c r="M2412" s="1">
        <v>2008.0</v>
      </c>
      <c r="N2412" s="1">
        <v>2008.0</v>
      </c>
      <c r="P2412" s="2">
        <v>45129.0</v>
      </c>
      <c r="Q2412" s="1" t="s">
        <v>145</v>
      </c>
      <c r="R2412" s="1" t="s">
        <v>10466</v>
      </c>
      <c r="S2412" s="1" t="s">
        <v>32</v>
      </c>
      <c r="W2412" s="1">
        <v>0.0</v>
      </c>
      <c r="X2412" s="1">
        <v>0.0</v>
      </c>
    </row>
    <row r="2413" spans="1:24" ht="15.75" customHeight="1">
      <c r="A2413" s="1">
        <v>4.9885074E7</v>
      </c>
      <c r="B2413" s="1" t="s">
        <v>10467</v>
      </c>
      <c r="C2413" s="1" t="s">
        <v>10468</v>
      </c>
      <c r="D2413" s="1" t="s">
        <v>10469</v>
      </c>
      <c r="F2413" s="1" t="str">
        <f>"2246822696"</f>
        <v>2246822696</v>
      </c>
      <c r="G2413" s="1" t="str">
        <f>"9782246822691"</f>
        <v>9782246822691</v>
      </c>
      <c r="H2413" s="1">
        <v>0.0</v>
      </c>
      <c r="I2413" s="1">
        <v>4.29</v>
      </c>
      <c r="J2413" s="1" t="s">
        <v>10470</v>
      </c>
      <c r="K2413" s="1" t="s">
        <v>44</v>
      </c>
      <c r="L2413" s="1">
        <v>216.0</v>
      </c>
      <c r="M2413" s="1">
        <v>2020.0</v>
      </c>
      <c r="N2413" s="1">
        <v>2020.0</v>
      </c>
      <c r="P2413" s="2">
        <v>44243.0</v>
      </c>
      <c r="Q2413" s="1" t="s">
        <v>32</v>
      </c>
      <c r="R2413" s="1" t="s">
        <v>10471</v>
      </c>
      <c r="S2413" s="1" t="s">
        <v>32</v>
      </c>
      <c r="W2413" s="1">
        <v>0.0</v>
      </c>
      <c r="X2413" s="1">
        <v>0.0</v>
      </c>
    </row>
    <row r="2414" spans="1:24" ht="15.75" customHeight="1">
      <c r="A2414" s="1">
        <v>1444151.0</v>
      </c>
      <c r="B2414" s="1" t="s">
        <v>10472</v>
      </c>
      <c r="C2414" s="1" t="s">
        <v>10473</v>
      </c>
      <c r="D2414" s="1" t="s">
        <v>10474</v>
      </c>
      <c r="F2414" s="1" t="str">
        <f>"0199210659"</f>
        <v>0199210659</v>
      </c>
      <c r="G2414" s="1" t="str">
        <f>"9780199210657"</f>
        <v>9780199210657</v>
      </c>
      <c r="H2414" s="1">
        <v>0.0</v>
      </c>
      <c r="I2414" s="1">
        <v>3.98</v>
      </c>
      <c r="J2414" s="1" t="s">
        <v>181</v>
      </c>
      <c r="K2414" s="1" t="s">
        <v>44</v>
      </c>
      <c r="L2414" s="1">
        <v>528.0</v>
      </c>
      <c r="M2414" s="1">
        <v>2007.0</v>
      </c>
      <c r="N2414" s="1">
        <v>1999.0</v>
      </c>
      <c r="P2414" s="2">
        <v>44444.0</v>
      </c>
      <c r="Q2414" s="1" t="s">
        <v>49</v>
      </c>
      <c r="R2414" s="1" t="s">
        <v>10475</v>
      </c>
      <c r="S2414" s="1" t="s">
        <v>32</v>
      </c>
      <c r="W2414" s="1">
        <v>0.0</v>
      </c>
      <c r="X2414" s="1">
        <v>0.0</v>
      </c>
    </row>
    <row r="2415" spans="1:24" ht="15.75" customHeight="1">
      <c r="A2415" s="1">
        <v>1.34914064E8</v>
      </c>
      <c r="B2415" s="1" t="s">
        <v>10476</v>
      </c>
      <c r="C2415" s="1" t="s">
        <v>10477</v>
      </c>
      <c r="D2415" s="1" t="s">
        <v>10478</v>
      </c>
      <c r="E2415" s="1" t="s">
        <v>10479</v>
      </c>
      <c r="F2415" s="1" t="str">
        <f>"1908670789"</f>
        <v>1908670789</v>
      </c>
      <c r="G2415" s="1" t="str">
        <f>"9781908670786"</f>
        <v>9781908670786</v>
      </c>
      <c r="H2415" s="1">
        <v>0.0</v>
      </c>
      <c r="I2415" s="1">
        <v>4.08</v>
      </c>
      <c r="J2415" s="1" t="s">
        <v>6880</v>
      </c>
      <c r="K2415" s="1" t="s">
        <v>29</v>
      </c>
      <c r="L2415" s="1">
        <v>168.0</v>
      </c>
      <c r="M2415" s="1">
        <v>2023.0</v>
      </c>
      <c r="N2415" s="1">
        <v>2016.0</v>
      </c>
      <c r="P2415" s="3">
        <v>45291.0</v>
      </c>
      <c r="Q2415" s="1" t="s">
        <v>145</v>
      </c>
      <c r="R2415" s="1" t="s">
        <v>10480</v>
      </c>
      <c r="S2415" s="1" t="s">
        <v>32</v>
      </c>
      <c r="W2415" s="1">
        <v>0.0</v>
      </c>
      <c r="X2415" s="1">
        <v>0.0</v>
      </c>
    </row>
    <row r="2416" spans="1:24" ht="15.75" customHeight="1">
      <c r="A2416" s="1">
        <v>63038.0</v>
      </c>
      <c r="B2416" s="1" t="s">
        <v>10481</v>
      </c>
      <c r="C2416" s="1" t="s">
        <v>10482</v>
      </c>
      <c r="D2416" s="1" t="s">
        <v>10483</v>
      </c>
      <c r="F2416" s="1" t="str">
        <f>"1934169005"</f>
        <v>1934169005</v>
      </c>
      <c r="G2416" s="1" t="str">
        <f>"9781934169001"</f>
        <v>9781934169001</v>
      </c>
      <c r="H2416" s="1">
        <v>0.0</v>
      </c>
      <c r="I2416" s="1">
        <v>4.24</v>
      </c>
      <c r="J2416" s="1" t="s">
        <v>10484</v>
      </c>
      <c r="K2416" s="1" t="s">
        <v>44</v>
      </c>
      <c r="L2416" s="1">
        <v>672.0</v>
      </c>
      <c r="M2416" s="1">
        <v>2006.0</v>
      </c>
      <c r="N2416" s="1">
        <v>1869.0</v>
      </c>
      <c r="P2416" s="2">
        <v>41043.0</v>
      </c>
      <c r="Q2416" s="1" t="s">
        <v>502</v>
      </c>
      <c r="R2416" s="1" t="s">
        <v>10485</v>
      </c>
      <c r="S2416" s="1" t="s">
        <v>32</v>
      </c>
      <c r="W2416" s="1">
        <v>0.0</v>
      </c>
      <c r="X2416" s="1">
        <v>0.0</v>
      </c>
    </row>
    <row r="2417" spans="1:24" ht="15.75" customHeight="1">
      <c r="A2417" s="1">
        <v>342587.0</v>
      </c>
      <c r="B2417" s="1" t="s">
        <v>10486</v>
      </c>
      <c r="C2417" s="1" t="s">
        <v>10487</v>
      </c>
      <c r="D2417" s="1" t="s">
        <v>10488</v>
      </c>
      <c r="E2417" s="1" t="s">
        <v>5459</v>
      </c>
      <c r="F2417" s="1" t="str">
        <f>"0440203368"</f>
        <v>0440203368</v>
      </c>
      <c r="G2417" s="1" t="str">
        <f>"9780440203360"</f>
        <v>9780440203360</v>
      </c>
      <c r="H2417" s="1">
        <v>0.0</v>
      </c>
      <c r="I2417" s="1">
        <v>3.92</v>
      </c>
      <c r="J2417" s="1" t="s">
        <v>10489</v>
      </c>
      <c r="K2417" s="1" t="s">
        <v>44</v>
      </c>
      <c r="L2417" s="1">
        <v>395.0</v>
      </c>
      <c r="M2417" s="1">
        <v>1989.0</v>
      </c>
      <c r="N2417" s="1">
        <v>1974.0</v>
      </c>
      <c r="P2417" s="2">
        <v>45303.0</v>
      </c>
      <c r="Q2417" s="1" t="s">
        <v>30</v>
      </c>
      <c r="R2417" s="1" t="s">
        <v>10490</v>
      </c>
      <c r="S2417" s="1" t="s">
        <v>32</v>
      </c>
      <c r="W2417" s="1">
        <v>0.0</v>
      </c>
      <c r="X2417" s="1">
        <v>0.0</v>
      </c>
    </row>
    <row r="2418" spans="1:24" ht="15.75" customHeight="1">
      <c r="A2418" s="1">
        <v>5.6618625E7</v>
      </c>
      <c r="B2418" s="1" t="s">
        <v>10491</v>
      </c>
      <c r="C2418" s="1" t="s">
        <v>10492</v>
      </c>
      <c r="D2418" s="1" t="s">
        <v>10493</v>
      </c>
      <c r="E2418" s="1" t="s">
        <v>10494</v>
      </c>
      <c r="F2418" s="1" t="str">
        <f>"1681375141"</f>
        <v>1681375141</v>
      </c>
      <c r="G2418" s="1" t="str">
        <f>"9781681375144"</f>
        <v>9781681375144</v>
      </c>
      <c r="H2418" s="1">
        <v>0.0</v>
      </c>
      <c r="I2418" s="1">
        <v>4.16</v>
      </c>
      <c r="J2418" s="1" t="s">
        <v>823</v>
      </c>
      <c r="K2418" s="1" t="s">
        <v>44</v>
      </c>
      <c r="L2418" s="1">
        <v>400.0</v>
      </c>
      <c r="M2418" s="1">
        <v>2022.0</v>
      </c>
      <c r="N2418" s="1">
        <v>1946.0</v>
      </c>
      <c r="P2418" s="2">
        <v>45136.0</v>
      </c>
      <c r="Q2418" s="1" t="s">
        <v>32</v>
      </c>
      <c r="R2418" s="1" t="s">
        <v>10495</v>
      </c>
      <c r="S2418" s="1" t="s">
        <v>32</v>
      </c>
      <c r="W2418" s="1">
        <v>0.0</v>
      </c>
      <c r="X2418" s="1">
        <v>0.0</v>
      </c>
    </row>
    <row r="2419" spans="1:24" ht="15.75" customHeight="1">
      <c r="A2419" s="1">
        <v>258637.0</v>
      </c>
      <c r="B2419" s="1" t="s">
        <v>10496</v>
      </c>
      <c r="C2419" s="1" t="s">
        <v>10497</v>
      </c>
      <c r="D2419" s="1" t="s">
        <v>10498</v>
      </c>
      <c r="E2419" s="1" t="s">
        <v>10499</v>
      </c>
      <c r="F2419" s="1" t="str">
        <f>"1564783111"</f>
        <v>1564783111</v>
      </c>
      <c r="G2419" s="1" t="str">
        <f>"9781564783110"</f>
        <v>9781564783110</v>
      </c>
      <c r="H2419" s="1">
        <v>0.0</v>
      </c>
      <c r="I2419" s="1">
        <v>3.97</v>
      </c>
      <c r="J2419" s="1" t="s">
        <v>2337</v>
      </c>
      <c r="K2419" s="1" t="s">
        <v>44</v>
      </c>
      <c r="L2419" s="1">
        <v>164.0</v>
      </c>
      <c r="M2419" s="1">
        <v>2001.0</v>
      </c>
      <c r="N2419" s="1">
        <v>1922.0</v>
      </c>
      <c r="P2419" s="2">
        <v>44245.0</v>
      </c>
      <c r="Q2419" s="1" t="s">
        <v>32</v>
      </c>
      <c r="R2419" s="1" t="s">
        <v>10500</v>
      </c>
      <c r="S2419" s="1" t="s">
        <v>32</v>
      </c>
      <c r="W2419" s="1">
        <v>0.0</v>
      </c>
      <c r="X2419" s="1">
        <v>0.0</v>
      </c>
    </row>
    <row r="2420" spans="1:24" ht="15.75" customHeight="1">
      <c r="A2420" s="1">
        <v>19596.0</v>
      </c>
      <c r="B2420" s="1" t="s">
        <v>10501</v>
      </c>
      <c r="C2420" s="1" t="s">
        <v>10502</v>
      </c>
      <c r="D2420" s="1" t="s">
        <v>10503</v>
      </c>
      <c r="F2420" s="1" t="str">
        <f>"0812971426"</f>
        <v>0812971426</v>
      </c>
      <c r="G2420" s="1" t="str">
        <f>"9780812971422"</f>
        <v>9780812971422</v>
      </c>
      <c r="H2420" s="1">
        <v>0.0</v>
      </c>
      <c r="I2420" s="1">
        <v>3.81</v>
      </c>
      <c r="J2420" s="1" t="s">
        <v>1273</v>
      </c>
      <c r="K2420" s="1" t="s">
        <v>44</v>
      </c>
      <c r="L2420" s="1">
        <v>448.0</v>
      </c>
      <c r="M2420" s="1">
        <v>2004.0</v>
      </c>
      <c r="N2420" s="1">
        <v>2003.0</v>
      </c>
      <c r="P2420" s="2">
        <v>44205.0</v>
      </c>
      <c r="Q2420" s="1" t="s">
        <v>463</v>
      </c>
      <c r="R2420" s="1" t="s">
        <v>10504</v>
      </c>
      <c r="S2420" s="1" t="s">
        <v>32</v>
      </c>
      <c r="W2420" s="1">
        <v>0.0</v>
      </c>
      <c r="X2420" s="1">
        <v>0.0</v>
      </c>
    </row>
    <row r="2421" spans="1:24" ht="15.75" customHeight="1">
      <c r="A2421" s="1">
        <v>3.0069692E7</v>
      </c>
      <c r="B2421" s="1" t="s">
        <v>10505</v>
      </c>
      <c r="C2421" s="1" t="s">
        <v>10506</v>
      </c>
      <c r="D2421" s="1" t="s">
        <v>10507</v>
      </c>
      <c r="E2421" s="1" t="s">
        <v>10508</v>
      </c>
      <c r="F2421" s="1" t="str">
        <f t="shared" si="181" ref="F2421:G2421">""</f>
        <v/>
      </c>
      <c r="G2421" s="1" t="str">
        <f t="shared" si="181"/>
        <v/>
      </c>
      <c r="H2421" s="1">
        <v>0.0</v>
      </c>
      <c r="I2421" s="1">
        <v>3.6</v>
      </c>
      <c r="J2421" s="1" t="s">
        <v>5977</v>
      </c>
      <c r="K2421" s="1" t="s">
        <v>44</v>
      </c>
      <c r="L2421" s="1">
        <v>220.0</v>
      </c>
      <c r="M2421" s="1">
        <v>2016.0</v>
      </c>
      <c r="P2421" s="3">
        <v>44122.0</v>
      </c>
      <c r="Q2421" s="1" t="s">
        <v>32</v>
      </c>
      <c r="R2421" s="1" t="s">
        <v>10509</v>
      </c>
      <c r="S2421" s="1" t="s">
        <v>32</v>
      </c>
      <c r="W2421" s="1">
        <v>0.0</v>
      </c>
      <c r="X2421" s="1">
        <v>0.0</v>
      </c>
    </row>
    <row r="2422" spans="1:24" ht="15.75" customHeight="1">
      <c r="A2422" s="1">
        <v>4069.0</v>
      </c>
      <c r="B2422" s="1" t="s">
        <v>10510</v>
      </c>
      <c r="C2422" s="1" t="s">
        <v>10511</v>
      </c>
      <c r="D2422" s="1" t="s">
        <v>10512</v>
      </c>
      <c r="E2422" s="1" t="s">
        <v>10513</v>
      </c>
      <c r="F2422" s="1" t="str">
        <f>"080701429X"</f>
        <v>080701429X</v>
      </c>
      <c r="G2422" s="1" t="str">
        <f>"9780807014295"</f>
        <v>9780807014295</v>
      </c>
      <c r="H2422" s="1">
        <v>0.0</v>
      </c>
      <c r="I2422" s="1">
        <v>4.37</v>
      </c>
      <c r="J2422" s="1" t="s">
        <v>758</v>
      </c>
      <c r="K2422" s="1" t="s">
        <v>44</v>
      </c>
      <c r="L2422" s="1">
        <v>165.0</v>
      </c>
      <c r="M2422" s="1">
        <v>2006.0</v>
      </c>
      <c r="N2422" s="1">
        <v>1959.0</v>
      </c>
      <c r="P2422" s="2">
        <v>41049.0</v>
      </c>
      <c r="Q2422" s="1" t="s">
        <v>109</v>
      </c>
      <c r="R2422" s="1" t="s">
        <v>10514</v>
      </c>
      <c r="S2422" s="1" t="s">
        <v>32</v>
      </c>
      <c r="W2422" s="1">
        <v>0.0</v>
      </c>
      <c r="X2422" s="1">
        <v>0.0</v>
      </c>
    </row>
    <row r="2423" spans="1:24" ht="15.75" customHeight="1">
      <c r="A2423" s="1">
        <v>8608464.0</v>
      </c>
      <c r="B2423" s="1" t="s">
        <v>10515</v>
      </c>
      <c r="C2423" s="1" t="s">
        <v>10511</v>
      </c>
      <c r="D2423" s="1" t="s">
        <v>10512</v>
      </c>
      <c r="E2423" s="1" t="s">
        <v>10516</v>
      </c>
      <c r="F2423" s="1" t="str">
        <f>"0874627583"</f>
        <v>0874627583</v>
      </c>
      <c r="G2423" s="1" t="str">
        <f>"9780874627589"</f>
        <v>9780874627589</v>
      </c>
      <c r="H2423" s="1">
        <v>0.0</v>
      </c>
      <c r="I2423" s="1">
        <v>3.94</v>
      </c>
      <c r="J2423" s="1" t="s">
        <v>8509</v>
      </c>
      <c r="K2423" s="1" t="s">
        <v>44</v>
      </c>
      <c r="L2423" s="1">
        <v>234.0</v>
      </c>
      <c r="M2423" s="1">
        <v>2010.0</v>
      </c>
      <c r="N2423" s="1">
        <v>1989.0</v>
      </c>
      <c r="P2423" s="2">
        <v>45176.0</v>
      </c>
      <c r="Q2423" s="1" t="s">
        <v>32</v>
      </c>
      <c r="R2423" s="1" t="s">
        <v>10517</v>
      </c>
      <c r="S2423" s="1" t="s">
        <v>32</v>
      </c>
      <c r="W2423" s="1">
        <v>0.0</v>
      </c>
      <c r="X2423" s="1">
        <v>0.0</v>
      </c>
    </row>
    <row r="2424" spans="1:24" ht="15.75" customHeight="1">
      <c r="A2424" s="1">
        <v>5.2262566E7</v>
      </c>
      <c r="B2424" s="1" t="s">
        <v>10518</v>
      </c>
      <c r="C2424" s="1" t="s">
        <v>10519</v>
      </c>
      <c r="D2424" s="1" t="s">
        <v>10520</v>
      </c>
      <c r="E2424" s="1" t="s">
        <v>10521</v>
      </c>
      <c r="F2424" s="1" t="str">
        <f>"8417860207"</f>
        <v>8417860207</v>
      </c>
      <c r="G2424" s="1" t="str">
        <f>"9788417860202"</f>
        <v>9788417860202</v>
      </c>
      <c r="H2424" s="1">
        <v>0.0</v>
      </c>
      <c r="I2424" s="1">
        <v>3.75</v>
      </c>
      <c r="J2424" s="1" t="s">
        <v>638</v>
      </c>
      <c r="K2424" s="1" t="s">
        <v>44</v>
      </c>
      <c r="L2424" s="1">
        <v>172.0</v>
      </c>
      <c r="M2424" s="1">
        <v>2019.0</v>
      </c>
      <c r="N2424" s="1">
        <v>2016.0</v>
      </c>
      <c r="P2424" s="2">
        <v>43976.0</v>
      </c>
      <c r="Q2424" s="1" t="s">
        <v>32</v>
      </c>
      <c r="R2424" s="1" t="s">
        <v>10522</v>
      </c>
      <c r="S2424" s="1" t="s">
        <v>32</v>
      </c>
      <c r="W2424" s="1">
        <v>0.0</v>
      </c>
      <c r="X2424" s="1">
        <v>0.0</v>
      </c>
    </row>
    <row r="2425" spans="1:24" ht="15.75" customHeight="1">
      <c r="A2425" s="1">
        <v>105992.0</v>
      </c>
      <c r="B2425" s="1" t="s">
        <v>10523</v>
      </c>
      <c r="C2425" s="1" t="s">
        <v>10524</v>
      </c>
      <c r="D2425" s="1" t="s">
        <v>10525</v>
      </c>
      <c r="E2425" s="1" t="s">
        <v>10526</v>
      </c>
      <c r="F2425" s="1" t="str">
        <f>"0393322238"</f>
        <v>0393322238</v>
      </c>
      <c r="G2425" s="1" t="str">
        <f>"9780393322231"</f>
        <v>9780393322231</v>
      </c>
      <c r="H2425" s="1">
        <v>0.0</v>
      </c>
      <c r="I2425" s="1">
        <v>4.06</v>
      </c>
      <c r="J2425" s="1" t="s">
        <v>2467</v>
      </c>
      <c r="K2425" s="1" t="s">
        <v>44</v>
      </c>
      <c r="L2425" s="1">
        <v>689.0</v>
      </c>
      <c r="M2425" s="1">
        <v>2001.0</v>
      </c>
      <c r="N2425" s="1">
        <v>1974.0</v>
      </c>
      <c r="P2425" s="2">
        <v>41035.0</v>
      </c>
      <c r="Q2425" s="1" t="s">
        <v>788</v>
      </c>
      <c r="R2425" s="1" t="s">
        <v>10527</v>
      </c>
      <c r="S2425" s="1" t="s">
        <v>32</v>
      </c>
      <c r="W2425" s="1">
        <v>0.0</v>
      </c>
      <c r="X2425" s="1">
        <v>1.0</v>
      </c>
    </row>
    <row r="2426" spans="1:24" ht="15.75" customHeight="1">
      <c r="A2426" s="1">
        <v>2827577.0</v>
      </c>
      <c r="B2426" s="1" t="s">
        <v>10528</v>
      </c>
      <c r="C2426" s="1" t="s">
        <v>10529</v>
      </c>
      <c r="D2426" s="1" t="s">
        <v>10530</v>
      </c>
      <c r="F2426" s="1" t="str">
        <f>"0486414302"</f>
        <v>0486414302</v>
      </c>
      <c r="G2426" s="1" t="str">
        <f>"9780486414300"</f>
        <v>9780486414300</v>
      </c>
      <c r="H2426" s="1">
        <v>0.0</v>
      </c>
      <c r="I2426" s="1">
        <v>3.59</v>
      </c>
      <c r="J2426" s="1" t="s">
        <v>910</v>
      </c>
      <c r="K2426" s="1" t="s">
        <v>44</v>
      </c>
      <c r="L2426" s="1">
        <v>272.0</v>
      </c>
      <c r="M2426" s="1">
        <v>2011.0</v>
      </c>
      <c r="N2426" s="1">
        <v>1969.0</v>
      </c>
      <c r="P2426" s="2">
        <v>45063.0</v>
      </c>
      <c r="Q2426" s="1" t="s">
        <v>935</v>
      </c>
      <c r="R2426" s="1" t="s">
        <v>10531</v>
      </c>
      <c r="S2426" s="1" t="s">
        <v>32</v>
      </c>
      <c r="W2426" s="1">
        <v>0.0</v>
      </c>
      <c r="X2426" s="1">
        <v>0.0</v>
      </c>
    </row>
    <row r="2427" spans="1:24" ht="15.75" customHeight="1">
      <c r="A2427" s="1">
        <v>1.8897702E7</v>
      </c>
      <c r="B2427" s="1" t="s">
        <v>10532</v>
      </c>
      <c r="C2427" s="1" t="s">
        <v>10533</v>
      </c>
      <c r="D2427" s="1" t="s">
        <v>10534</v>
      </c>
      <c r="F2427" s="1" t="str">
        <f>"1630033081"</f>
        <v>1630033081</v>
      </c>
      <c r="G2427" s="1" t="str">
        <f>"9781630033088"</f>
        <v>9781630033088</v>
      </c>
      <c r="H2427" s="1">
        <v>0.0</v>
      </c>
      <c r="I2427" s="1">
        <v>4.19</v>
      </c>
      <c r="J2427" s="1" t="s">
        <v>1556</v>
      </c>
      <c r="K2427" s="1" t="s">
        <v>29</v>
      </c>
      <c r="L2427" s="1">
        <v>332.0</v>
      </c>
      <c r="M2427" s="1">
        <v>2013.0</v>
      </c>
      <c r="N2427" s="1">
        <v>2013.0</v>
      </c>
      <c r="P2427" s="2">
        <v>45122.0</v>
      </c>
      <c r="Q2427" s="1" t="s">
        <v>32</v>
      </c>
      <c r="R2427" s="1" t="s">
        <v>10535</v>
      </c>
      <c r="S2427" s="1" t="s">
        <v>32</v>
      </c>
      <c r="W2427" s="1">
        <v>0.0</v>
      </c>
      <c r="X2427" s="1">
        <v>0.0</v>
      </c>
    </row>
    <row r="2428" spans="1:24" ht="15.75" customHeight="1">
      <c r="A2428" s="1">
        <v>4.8888563E7</v>
      </c>
      <c r="B2428" s="1" t="s">
        <v>10536</v>
      </c>
      <c r="C2428" s="1" t="s">
        <v>10537</v>
      </c>
      <c r="D2428" s="1" t="s">
        <v>10538</v>
      </c>
      <c r="F2428" s="1" t="str">
        <f>"0143135341"</f>
        <v>0143135341</v>
      </c>
      <c r="G2428" s="1" t="str">
        <f>"9780143135340"</f>
        <v>9780143135340</v>
      </c>
      <c r="H2428" s="1">
        <v>0.0</v>
      </c>
      <c r="I2428" s="1">
        <v>4.21</v>
      </c>
      <c r="J2428" s="1" t="s">
        <v>309</v>
      </c>
      <c r="K2428" s="1" t="s">
        <v>44</v>
      </c>
      <c r="L2428" s="1">
        <v>128.0</v>
      </c>
      <c r="M2428" s="1">
        <v>2020.0</v>
      </c>
      <c r="N2428" s="1">
        <v>2020.0</v>
      </c>
      <c r="P2428" s="2">
        <v>43992.0</v>
      </c>
      <c r="Q2428" s="1" t="s">
        <v>32</v>
      </c>
      <c r="R2428" s="1" t="s">
        <v>10539</v>
      </c>
      <c r="S2428" s="1" t="s">
        <v>32</v>
      </c>
      <c r="W2428" s="1">
        <v>0.0</v>
      </c>
      <c r="X2428" s="1">
        <v>0.0</v>
      </c>
    </row>
    <row r="2429" spans="1:24" ht="15.75" customHeight="1">
      <c r="A2429" s="1">
        <v>1681593.0</v>
      </c>
      <c r="B2429" s="1" t="s">
        <v>10540</v>
      </c>
      <c r="C2429" s="1" t="s">
        <v>10541</v>
      </c>
      <c r="D2429" s="1" t="s">
        <v>10542</v>
      </c>
      <c r="E2429" s="1" t="s">
        <v>10543</v>
      </c>
      <c r="F2429" s="1" t="str">
        <f t="shared" si="182" ref="F2429:G2429">""</f>
        <v/>
      </c>
      <c r="G2429" s="1" t="str">
        <f t="shared" si="182"/>
        <v/>
      </c>
      <c r="H2429" s="1">
        <v>0.0</v>
      </c>
      <c r="I2429" s="1">
        <v>3.86</v>
      </c>
      <c r="J2429" s="1" t="s">
        <v>1023</v>
      </c>
      <c r="K2429" s="1" t="s">
        <v>44</v>
      </c>
      <c r="L2429" s="1">
        <v>484.0</v>
      </c>
      <c r="M2429" s="1">
        <v>2008.0</v>
      </c>
      <c r="N2429" s="1">
        <v>-19.0</v>
      </c>
      <c r="P2429" s="2">
        <v>45113.0</v>
      </c>
      <c r="Q2429" s="1" t="s">
        <v>4465</v>
      </c>
      <c r="R2429" s="1" t="s">
        <v>10544</v>
      </c>
      <c r="S2429" s="1" t="s">
        <v>32</v>
      </c>
      <c r="W2429" s="1">
        <v>0.0</v>
      </c>
      <c r="X2429" s="1">
        <v>1.0</v>
      </c>
    </row>
    <row r="2430" spans="1:24" ht="15.75" customHeight="1">
      <c r="A2430" s="1">
        <v>2208221.0</v>
      </c>
      <c r="B2430" s="1" t="s">
        <v>10545</v>
      </c>
      <c r="C2430" s="1" t="s">
        <v>10546</v>
      </c>
      <c r="D2430" s="1" t="s">
        <v>10547</v>
      </c>
      <c r="E2430" s="1" t="s">
        <v>10548</v>
      </c>
      <c r="F2430" s="1" t="str">
        <f>"0941419401"</f>
        <v>0941419401</v>
      </c>
      <c r="G2430" s="1" t="str">
        <f>"9780941419406"</f>
        <v>9780941419406</v>
      </c>
      <c r="H2430" s="1">
        <v>0.0</v>
      </c>
      <c r="I2430" s="1">
        <v>3.86</v>
      </c>
      <c r="J2430" s="1" t="s">
        <v>10549</v>
      </c>
      <c r="K2430" s="1" t="s">
        <v>37</v>
      </c>
      <c r="L2430" s="1">
        <v>256.0</v>
      </c>
      <c r="M2430" s="1">
        <v>1989.0</v>
      </c>
      <c r="N2430" s="1">
        <v>1985.0</v>
      </c>
      <c r="P2430" s="2">
        <v>43921.0</v>
      </c>
      <c r="Q2430" s="1" t="s">
        <v>32</v>
      </c>
      <c r="R2430" s="1" t="s">
        <v>10550</v>
      </c>
      <c r="S2430" s="1" t="s">
        <v>32</v>
      </c>
      <c r="W2430" s="1">
        <v>0.0</v>
      </c>
      <c r="X2430" s="1">
        <v>0.0</v>
      </c>
    </row>
    <row r="2431" spans="1:24" ht="15.75" customHeight="1">
      <c r="A2431" s="1">
        <v>73860.0</v>
      </c>
      <c r="B2431" s="1" t="s">
        <v>10551</v>
      </c>
      <c r="C2431" s="1" t="s">
        <v>10552</v>
      </c>
      <c r="D2431" s="1" t="s">
        <v>10553</v>
      </c>
      <c r="F2431" s="1" t="str">
        <f>"0345339258"</f>
        <v>0345339258</v>
      </c>
      <c r="G2431" s="1" t="str">
        <f>"9780345339256"</f>
        <v>9780345339256</v>
      </c>
      <c r="H2431" s="1">
        <v>0.0</v>
      </c>
      <c r="I2431" s="1">
        <v>4.22</v>
      </c>
      <c r="J2431" s="1" t="s">
        <v>1416</v>
      </c>
      <c r="K2431" s="1" t="s">
        <v>1225</v>
      </c>
      <c r="L2431" s="1">
        <v>224.0</v>
      </c>
      <c r="M2431" s="1">
        <v>1986.0</v>
      </c>
      <c r="N2431" s="1">
        <v>1964.0</v>
      </c>
      <c r="P2431" s="2">
        <v>45181.0</v>
      </c>
      <c r="Q2431" s="1" t="s">
        <v>249</v>
      </c>
      <c r="R2431" s="1" t="s">
        <v>10554</v>
      </c>
      <c r="S2431" s="1" t="s">
        <v>32</v>
      </c>
      <c r="W2431" s="1">
        <v>0.0</v>
      </c>
      <c r="X2431" s="1">
        <v>0.0</v>
      </c>
    </row>
    <row r="2432" spans="1:24" ht="15.75" customHeight="1">
      <c r="A2432" s="1">
        <v>1013972.0</v>
      </c>
      <c r="B2432" s="1" t="s">
        <v>10555</v>
      </c>
      <c r="C2432" s="1" t="s">
        <v>10556</v>
      </c>
      <c r="D2432" s="1" t="s">
        <v>10557</v>
      </c>
      <c r="E2432" s="1" t="s">
        <v>10558</v>
      </c>
      <c r="F2432" s="1" t="str">
        <f>"0394739698"</f>
        <v>0394739698</v>
      </c>
      <c r="G2432" s="1" t="str">
        <f>"9780394739694"</f>
        <v>9780394739694</v>
      </c>
      <c r="H2432" s="1">
        <v>0.0</v>
      </c>
      <c r="I2432" s="1">
        <v>4.34</v>
      </c>
      <c r="J2432" s="1" t="s">
        <v>1397</v>
      </c>
      <c r="K2432" s="1" t="s">
        <v>44</v>
      </c>
      <c r="L2432" s="1">
        <v>525.0</v>
      </c>
      <c r="M2432" s="1">
        <v>1984.0</v>
      </c>
      <c r="N2432" s="1">
        <v>1984.0</v>
      </c>
      <c r="P2432" s="2">
        <v>43934.0</v>
      </c>
      <c r="Q2432" s="1" t="s">
        <v>32</v>
      </c>
      <c r="R2432" s="1" t="s">
        <v>10559</v>
      </c>
      <c r="S2432" s="1" t="s">
        <v>32</v>
      </c>
      <c r="W2432" s="1">
        <v>0.0</v>
      </c>
      <c r="X2432" s="1">
        <v>0.0</v>
      </c>
    </row>
    <row r="2433" spans="1:24" ht="15.75" customHeight="1">
      <c r="A2433" s="1">
        <v>4.3672241E7</v>
      </c>
      <c r="B2433" s="1" t="s">
        <v>10560</v>
      </c>
      <c r="C2433" s="1" t="s">
        <v>10561</v>
      </c>
      <c r="D2433" s="1" t="s">
        <v>10562</v>
      </c>
      <c r="F2433" s="1" t="str">
        <f>"140004359X"</f>
        <v>140004359X</v>
      </c>
      <c r="G2433" s="1" t="str">
        <f>"9781400043590"</f>
        <v>9781400043590</v>
      </c>
      <c r="H2433" s="1">
        <v>0.0</v>
      </c>
      <c r="I2433" s="1">
        <v>4.6</v>
      </c>
      <c r="J2433" s="1" t="s">
        <v>1397</v>
      </c>
      <c r="K2433" s="1" t="s">
        <v>37</v>
      </c>
      <c r="L2433" s="1">
        <v>880.0</v>
      </c>
      <c r="M2433" s="1">
        <v>2013.0</v>
      </c>
      <c r="P2433" s="2">
        <v>43877.0</v>
      </c>
      <c r="Q2433" s="1" t="s">
        <v>49</v>
      </c>
      <c r="R2433" s="1" t="s">
        <v>10563</v>
      </c>
      <c r="S2433" s="1" t="s">
        <v>32</v>
      </c>
      <c r="W2433" s="1">
        <v>0.0</v>
      </c>
      <c r="X2433" s="1">
        <v>0.0</v>
      </c>
    </row>
    <row r="2434" spans="1:24" ht="15.75" customHeight="1">
      <c r="A2434" s="1">
        <v>14948.0</v>
      </c>
      <c r="B2434" s="1" t="s">
        <v>10564</v>
      </c>
      <c r="C2434" s="1" t="s">
        <v>10565</v>
      </c>
      <c r="D2434" s="1" t="s">
        <v>10566</v>
      </c>
      <c r="F2434" s="1" t="str">
        <f>"0156027917"</f>
        <v>0156027917</v>
      </c>
      <c r="G2434" s="1" t="str">
        <f>"9780156027915"</f>
        <v>9780156027915</v>
      </c>
      <c r="H2434" s="1">
        <v>0.0</v>
      </c>
      <c r="I2434" s="1">
        <v>4.16</v>
      </c>
      <c r="J2434" s="1" t="s">
        <v>10567</v>
      </c>
      <c r="K2434" s="1" t="s">
        <v>44</v>
      </c>
      <c r="L2434" s="1">
        <v>355.0</v>
      </c>
      <c r="M2434" s="1">
        <v>2003.0</v>
      </c>
      <c r="N2434" s="1">
        <v>1953.0</v>
      </c>
      <c r="P2434" s="2">
        <v>45154.0</v>
      </c>
      <c r="Q2434" s="1" t="s">
        <v>1739</v>
      </c>
      <c r="R2434" s="1" t="s">
        <v>10568</v>
      </c>
      <c r="S2434" s="1" t="s">
        <v>32</v>
      </c>
      <c r="W2434" s="1">
        <v>0.0</v>
      </c>
      <c r="X2434" s="1">
        <v>0.0</v>
      </c>
    </row>
    <row r="2435" spans="1:24" ht="15.75" customHeight="1">
      <c r="A2435" s="1">
        <v>4.8582344E7</v>
      </c>
      <c r="B2435" s="1" t="s">
        <v>10569</v>
      </c>
      <c r="C2435" s="1" t="s">
        <v>10565</v>
      </c>
      <c r="D2435" s="1" t="s">
        <v>10566</v>
      </c>
      <c r="E2435" s="1" t="s">
        <v>10570</v>
      </c>
      <c r="F2435" s="1" t="str">
        <f>"0099470454"</f>
        <v>0099470454</v>
      </c>
      <c r="G2435" s="1" t="str">
        <f>"9780099470458"</f>
        <v>9780099470458</v>
      </c>
      <c r="H2435" s="1">
        <v>0.0</v>
      </c>
      <c r="I2435" s="1">
        <v>3.79</v>
      </c>
      <c r="J2435" s="1" t="s">
        <v>69</v>
      </c>
      <c r="K2435" s="1" t="s">
        <v>44</v>
      </c>
      <c r="L2435" s="1">
        <v>172.0</v>
      </c>
      <c r="M2435" s="1">
        <v>2004.0</v>
      </c>
      <c r="N2435" s="1">
        <v>1925.0</v>
      </c>
      <c r="P2435" s="2">
        <v>45114.0</v>
      </c>
      <c r="Q2435" s="1" t="s">
        <v>818</v>
      </c>
      <c r="R2435" s="1" t="s">
        <v>10571</v>
      </c>
      <c r="S2435" s="1" t="s">
        <v>32</v>
      </c>
      <c r="W2435" s="1">
        <v>0.0</v>
      </c>
      <c r="X2435" s="1">
        <v>1.0</v>
      </c>
    </row>
    <row r="2436" spans="1:24" ht="15.75" customHeight="1">
      <c r="A2436" s="115">
        <v>5.1182084E7</v>
      </c>
      <c r="B2436" s="115" t="s">
        <v>10572</v>
      </c>
      <c r="C2436" s="115" t="s">
        <v>10565</v>
      </c>
      <c r="D2436" s="115" t="s">
        <v>10566</v>
      </c>
      <c r="E2436" s="115" t="s">
        <v>9588</v>
      </c>
      <c r="F2436" s="115" t="str">
        <f>"1786277522"</f>
        <v>1786277522</v>
      </c>
      <c r="G2436" s="115" t="str">
        <f>"9781786277527"</f>
        <v>9781786277527</v>
      </c>
      <c r="H2436" s="115">
        <v>0.0</v>
      </c>
      <c r="I2436" s="115">
        <v>4.04</v>
      </c>
      <c r="J2436" s="115" t="s">
        <v>10573</v>
      </c>
      <c r="K2436" s="115" t="s">
        <v>37</v>
      </c>
      <c r="L2436" s="115">
        <v>64.0</v>
      </c>
      <c r="M2436" s="115">
        <v>2020.0</v>
      </c>
      <c r="N2436" s="115">
        <v>1926.0</v>
      </c>
      <c r="O2436" s="116"/>
      <c r="P2436" s="117">
        <v>45138.0</v>
      </c>
      <c r="Q2436" s="118" t="s">
        <v>353</v>
      </c>
      <c r="R2436" s="115" t="s">
        <v>10574</v>
      </c>
      <c r="S2436" s="115" t="s">
        <v>32</v>
      </c>
      <c r="T2436" s="116"/>
      <c r="U2436" s="116"/>
      <c r="V2436" s="116"/>
      <c r="W2436" s="115">
        <v>0.0</v>
      </c>
      <c r="X2436" s="115">
        <v>0.0</v>
      </c>
    </row>
    <row r="2437" spans="1:24" ht="15.75" customHeight="1">
      <c r="A2437" s="115">
        <v>108635.0</v>
      </c>
      <c r="B2437" s="115" t="s">
        <v>10575</v>
      </c>
      <c r="C2437" s="115" t="s">
        <v>10565</v>
      </c>
      <c r="D2437" s="115" t="s">
        <v>10566</v>
      </c>
      <c r="E2437" s="116"/>
      <c r="F2437" s="115" t="str">
        <f>"0156028166"</f>
        <v>0156028166</v>
      </c>
      <c r="G2437" s="115" t="str">
        <f>"9780156028165"</f>
        <v>9780156028165</v>
      </c>
      <c r="H2437" s="115">
        <v>0.0</v>
      </c>
      <c r="I2437" s="115">
        <v>4.29</v>
      </c>
      <c r="J2437" s="115" t="s">
        <v>10567</v>
      </c>
      <c r="K2437" s="115" t="s">
        <v>44</v>
      </c>
      <c r="L2437" s="115">
        <v>336.0</v>
      </c>
      <c r="M2437" s="115">
        <v>2003.0</v>
      </c>
      <c r="N2437" s="115">
        <v>1932.0</v>
      </c>
      <c r="O2437" s="116"/>
      <c r="P2437" s="117">
        <v>45126.0</v>
      </c>
      <c r="Q2437" s="118" t="s">
        <v>353</v>
      </c>
      <c r="R2437" s="115" t="s">
        <v>10576</v>
      </c>
      <c r="S2437" s="115" t="s">
        <v>32</v>
      </c>
      <c r="T2437" s="116"/>
      <c r="U2437" s="116"/>
      <c r="V2437" s="116"/>
      <c r="W2437" s="115">
        <v>0.0</v>
      </c>
      <c r="X2437" s="115">
        <v>0.0</v>
      </c>
    </row>
    <row r="2438" spans="1:24" ht="15.75" customHeight="1">
      <c r="A2438" s="115">
        <v>18840.0</v>
      </c>
      <c r="B2438" s="115" t="s">
        <v>10577</v>
      </c>
      <c r="C2438" s="115" t="s">
        <v>10565</v>
      </c>
      <c r="D2438" s="115" t="s">
        <v>10566</v>
      </c>
      <c r="E2438" s="116"/>
      <c r="F2438" s="115" t="str">
        <f>"015602778X"</f>
        <v>015602778X</v>
      </c>
      <c r="G2438" s="115" t="str">
        <f>"9780156027786"</f>
        <v>9780156027786</v>
      </c>
      <c r="H2438" s="115">
        <v>0.0</v>
      </c>
      <c r="I2438" s="115">
        <v>4.12</v>
      </c>
      <c r="J2438" s="115" t="s">
        <v>468</v>
      </c>
      <c r="K2438" s="115" t="s">
        <v>44</v>
      </c>
      <c r="L2438" s="115">
        <v>272.0</v>
      </c>
      <c r="M2438" s="115">
        <v>2002.0</v>
      </c>
      <c r="N2438" s="115">
        <v>1925.0</v>
      </c>
      <c r="O2438" s="116"/>
      <c r="P2438" s="117">
        <v>43919.0</v>
      </c>
      <c r="Q2438" s="118" t="s">
        <v>353</v>
      </c>
      <c r="R2438" s="115" t="s">
        <v>10578</v>
      </c>
      <c r="S2438" s="115" t="s">
        <v>32</v>
      </c>
      <c r="T2438" s="116"/>
      <c r="U2438" s="116"/>
      <c r="V2438" s="116"/>
      <c r="W2438" s="115">
        <v>0.0</v>
      </c>
      <c r="X2438" s="115">
        <v>0.0</v>
      </c>
    </row>
    <row r="2439" spans="1:24" ht="15.75" customHeight="1">
      <c r="A2439" s="1">
        <v>4.1060847E7</v>
      </c>
      <c r="B2439" s="1" t="s">
        <v>10579</v>
      </c>
      <c r="C2439" s="1" t="s">
        <v>8127</v>
      </c>
      <c r="D2439" s="1" t="s">
        <v>10580</v>
      </c>
      <c r="F2439" s="1" t="str">
        <f>"9877690098"</f>
        <v>9877690098</v>
      </c>
      <c r="G2439" s="1" t="str">
        <f>"9789877690095"</f>
        <v>9789877690095</v>
      </c>
      <c r="H2439" s="1">
        <v>0.0</v>
      </c>
      <c r="I2439" s="1">
        <v>4.01</v>
      </c>
      <c r="J2439" s="1" t="s">
        <v>10581</v>
      </c>
      <c r="K2439" s="1" t="s">
        <v>44</v>
      </c>
      <c r="L2439" s="1">
        <v>176.0</v>
      </c>
      <c r="N2439" s="1">
        <v>2006.0</v>
      </c>
      <c r="P2439" s="2">
        <v>43976.0</v>
      </c>
      <c r="Q2439" s="1" t="s">
        <v>32</v>
      </c>
      <c r="R2439" s="1" t="s">
        <v>10582</v>
      </c>
      <c r="S2439" s="1" t="s">
        <v>32</v>
      </c>
      <c r="W2439" s="1">
        <v>0.0</v>
      </c>
      <c r="X2439" s="1">
        <v>0.0</v>
      </c>
    </row>
    <row r="2440" spans="1:24" ht="15.75" customHeight="1">
      <c r="A2440" s="1">
        <v>43961.0</v>
      </c>
      <c r="B2440" s="1" t="s">
        <v>10583</v>
      </c>
      <c r="C2440" s="1" t="s">
        <v>10584</v>
      </c>
      <c r="D2440" s="1" t="s">
        <v>10585</v>
      </c>
      <c r="E2440" s="1" t="s">
        <v>10586</v>
      </c>
      <c r="F2440" s="1" t="str">
        <f>"1573441961"</f>
        <v>1573441961</v>
      </c>
      <c r="G2440" s="1" t="str">
        <f>"9781573441964"</f>
        <v>9781573441964</v>
      </c>
      <c r="H2440" s="1">
        <v>0.0</v>
      </c>
      <c r="I2440" s="1">
        <v>4.45</v>
      </c>
      <c r="J2440" s="1" t="s">
        <v>540</v>
      </c>
      <c r="K2440" s="1" t="s">
        <v>44</v>
      </c>
      <c r="L2440" s="1">
        <v>480.0</v>
      </c>
      <c r="M2440" s="1">
        <v>2004.0</v>
      </c>
      <c r="N2440" s="1">
        <v>1926.0</v>
      </c>
      <c r="P2440" s="2">
        <v>44237.0</v>
      </c>
      <c r="Q2440" s="1" t="s">
        <v>109</v>
      </c>
      <c r="R2440" s="1" t="s">
        <v>10587</v>
      </c>
      <c r="S2440" s="1" t="s">
        <v>32</v>
      </c>
      <c r="W2440" s="1">
        <v>0.0</v>
      </c>
      <c r="X2440" s="1">
        <v>0.0</v>
      </c>
    </row>
    <row r="2441" spans="1:24" ht="15.75" customHeight="1">
      <c r="A2441" s="1">
        <v>1.7799243E7</v>
      </c>
      <c r="B2441" s="1" t="s">
        <v>10588</v>
      </c>
      <c r="C2441" s="1" t="s">
        <v>10584</v>
      </c>
      <c r="D2441" s="1" t="s">
        <v>10585</v>
      </c>
      <c r="F2441" s="1" t="str">
        <f t="shared" si="183" ref="F2441:G2441">""</f>
        <v/>
      </c>
      <c r="G2441" s="1" t="str">
        <f t="shared" si="183"/>
        <v/>
      </c>
      <c r="H2441" s="1">
        <v>0.0</v>
      </c>
      <c r="I2441" s="1">
        <v>3.82</v>
      </c>
      <c r="J2441" s="1" t="s">
        <v>10589</v>
      </c>
      <c r="K2441" s="1" t="s">
        <v>37</v>
      </c>
      <c r="L2441" s="1">
        <v>411.0</v>
      </c>
      <c r="M2441" s="1">
        <v>1936.0</v>
      </c>
      <c r="N2441" s="1">
        <v>1936.0</v>
      </c>
      <c r="P2441" s="2">
        <v>43922.0</v>
      </c>
      <c r="Q2441" s="1" t="s">
        <v>115</v>
      </c>
      <c r="R2441" s="1" t="s">
        <v>10590</v>
      </c>
      <c r="S2441" s="1" t="s">
        <v>32</v>
      </c>
      <c r="W2441" s="1">
        <v>0.0</v>
      </c>
      <c r="X2441" s="1">
        <v>1.0</v>
      </c>
    </row>
    <row r="2442" spans="1:24" ht="15.75" customHeight="1">
      <c r="A2442" s="1">
        <v>4.8989095E7</v>
      </c>
      <c r="B2442" s="1" t="s">
        <v>10591</v>
      </c>
      <c r="C2442" s="1" t="s">
        <v>10592</v>
      </c>
      <c r="D2442" s="1" t="s">
        <v>10593</v>
      </c>
      <c r="F2442" s="1" t="str">
        <f>"1094120235"</f>
        <v>1094120235</v>
      </c>
      <c r="G2442" s="1" t="str">
        <f>"9781094120232"</f>
        <v>9781094120232</v>
      </c>
      <c r="H2442" s="1">
        <v>0.0</v>
      </c>
      <c r="I2442" s="1">
        <v>4.24</v>
      </c>
      <c r="J2442" s="1" t="s">
        <v>2015</v>
      </c>
      <c r="K2442" s="1" t="s">
        <v>7459</v>
      </c>
      <c r="M2442" s="1">
        <v>2020.0</v>
      </c>
      <c r="N2442" s="1">
        <v>2020.0</v>
      </c>
      <c r="P2442" s="2">
        <v>43962.0</v>
      </c>
      <c r="Q2442" s="1" t="s">
        <v>32</v>
      </c>
      <c r="R2442" s="1" t="s">
        <v>10594</v>
      </c>
      <c r="S2442" s="1" t="s">
        <v>32</v>
      </c>
      <c r="W2442" s="1">
        <v>0.0</v>
      </c>
      <c r="X2442" s="1">
        <v>0.0</v>
      </c>
    </row>
    <row r="2443" spans="1:24" ht="15.75" customHeight="1">
      <c r="A2443" s="1">
        <v>5.4495292E7</v>
      </c>
      <c r="B2443" s="1" t="s">
        <v>10595</v>
      </c>
      <c r="C2443" s="1" t="s">
        <v>10596</v>
      </c>
      <c r="D2443" s="1" t="s">
        <v>10597</v>
      </c>
      <c r="F2443" s="1" t="str">
        <f t="shared" si="184" ref="F2443:G2443">""</f>
        <v/>
      </c>
      <c r="G2443" s="1" t="str">
        <f t="shared" si="184"/>
        <v/>
      </c>
      <c r="H2443" s="1">
        <v>0.0</v>
      </c>
      <c r="I2443" s="1">
        <v>3.84</v>
      </c>
      <c r="J2443" s="1" t="s">
        <v>367</v>
      </c>
      <c r="K2443" s="1" t="s">
        <v>29</v>
      </c>
      <c r="L2443" s="1">
        <v>320.0</v>
      </c>
      <c r="M2443" s="1">
        <v>2021.0</v>
      </c>
      <c r="N2443" s="1">
        <v>2021.0</v>
      </c>
      <c r="P2443" s="2">
        <v>44873.0</v>
      </c>
      <c r="Q2443" s="1" t="s">
        <v>32</v>
      </c>
      <c r="R2443" s="1" t="s">
        <v>10598</v>
      </c>
      <c r="S2443" s="1" t="s">
        <v>32</v>
      </c>
      <c r="W2443" s="1">
        <v>0.0</v>
      </c>
      <c r="X2443" s="1">
        <v>0.0</v>
      </c>
    </row>
    <row r="2444" spans="1:24" ht="15.75" customHeight="1">
      <c r="A2444" s="1">
        <v>4.5892264E7</v>
      </c>
      <c r="B2444" s="1" t="s">
        <v>10599</v>
      </c>
      <c r="C2444" s="1" t="s">
        <v>10596</v>
      </c>
      <c r="D2444" s="1" t="s">
        <v>10597</v>
      </c>
      <c r="F2444" s="1" t="str">
        <f>"0374282153"</f>
        <v>0374282153</v>
      </c>
      <c r="G2444" s="1" t="str">
        <f>"9780374282158"</f>
        <v>9780374282158</v>
      </c>
      <c r="H2444" s="1">
        <v>0.0</v>
      </c>
      <c r="I2444" s="1">
        <v>3.74</v>
      </c>
      <c r="J2444" s="1" t="s">
        <v>438</v>
      </c>
      <c r="K2444" s="1" t="s">
        <v>37</v>
      </c>
      <c r="L2444" s="1">
        <v>176.0</v>
      </c>
      <c r="M2444" s="1">
        <v>2020.0</v>
      </c>
      <c r="N2444" s="1">
        <v>2020.0</v>
      </c>
      <c r="P2444" s="2">
        <v>44199.0</v>
      </c>
      <c r="Q2444" s="1" t="s">
        <v>32</v>
      </c>
      <c r="R2444" s="1" t="s">
        <v>10600</v>
      </c>
      <c r="S2444" s="1" t="s">
        <v>32</v>
      </c>
      <c r="W2444" s="1">
        <v>0.0</v>
      </c>
      <c r="X2444" s="1">
        <v>0.0</v>
      </c>
    </row>
    <row r="2445" spans="1:24" ht="15.75" customHeight="1">
      <c r="A2445" s="1">
        <v>1.1208649E7</v>
      </c>
      <c r="B2445" s="1" t="s">
        <v>10601</v>
      </c>
      <c r="C2445" s="1" t="s">
        <v>10602</v>
      </c>
      <c r="D2445" s="1" t="s">
        <v>10603</v>
      </c>
      <c r="E2445" s="1" t="s">
        <v>10604</v>
      </c>
      <c r="F2445" s="1" t="str">
        <f>"1576875776"</f>
        <v>1576875776</v>
      </c>
      <c r="G2445" s="1" t="str">
        <f>"9781576875773"</f>
        <v>9781576875773</v>
      </c>
      <c r="H2445" s="1">
        <v>0.0</v>
      </c>
      <c r="I2445" s="1">
        <v>4.48</v>
      </c>
      <c r="J2445" s="1" t="s">
        <v>10605</v>
      </c>
      <c r="K2445" s="1" t="s">
        <v>37</v>
      </c>
      <c r="L2445" s="1">
        <v>136.0</v>
      </c>
      <c r="M2445" s="1">
        <v>2011.0</v>
      </c>
      <c r="N2445" s="1">
        <v>2011.0</v>
      </c>
      <c r="P2445" s="2">
        <v>44018.0</v>
      </c>
      <c r="Q2445" s="1" t="s">
        <v>32</v>
      </c>
      <c r="R2445" s="1" t="s">
        <v>10606</v>
      </c>
      <c r="S2445" s="1" t="s">
        <v>32</v>
      </c>
      <c r="W2445" s="1">
        <v>0.0</v>
      </c>
      <c r="X2445" s="1">
        <v>0.0</v>
      </c>
    </row>
    <row r="2446" spans="1:24" ht="15.75" customHeight="1">
      <c r="A2446" s="1">
        <v>1.0385073E7</v>
      </c>
      <c r="B2446" s="1" t="s">
        <v>10607</v>
      </c>
      <c r="C2446" s="1" t="s">
        <v>10608</v>
      </c>
      <c r="D2446" s="1" t="s">
        <v>10609</v>
      </c>
      <c r="F2446" s="1" t="str">
        <f t="shared" si="185" ref="F2446:G2446">""</f>
        <v/>
      </c>
      <c r="G2446" s="1" t="str">
        <f t="shared" si="185"/>
        <v/>
      </c>
      <c r="H2446" s="1">
        <v>0.0</v>
      </c>
      <c r="I2446" s="1">
        <v>4.13</v>
      </c>
      <c r="K2446" s="1" t="s">
        <v>29</v>
      </c>
      <c r="L2446" s="1">
        <v>724.0</v>
      </c>
      <c r="N2446" s="1">
        <v>1969.0</v>
      </c>
      <c r="P2446" s="2">
        <v>45113.0</v>
      </c>
      <c r="Q2446" s="1" t="s">
        <v>1235</v>
      </c>
      <c r="R2446" s="1" t="s">
        <v>10610</v>
      </c>
      <c r="S2446" s="1" t="s">
        <v>32</v>
      </c>
      <c r="W2446" s="1">
        <v>0.0</v>
      </c>
      <c r="X2446" s="1">
        <v>1.0</v>
      </c>
    </row>
    <row r="2447" spans="1:24" ht="15.75" customHeight="1">
      <c r="A2447" s="1">
        <v>8151.0</v>
      </c>
      <c r="B2447" s="1" t="s">
        <v>10611</v>
      </c>
      <c r="C2447" s="1" t="s">
        <v>10608</v>
      </c>
      <c r="D2447" s="1" t="s">
        <v>10609</v>
      </c>
      <c r="F2447" s="1" t="str">
        <f>"0811216748"</f>
        <v>0811216748</v>
      </c>
      <c r="G2447" s="1" t="str">
        <f>"9780811216746"</f>
        <v>9780811216746</v>
      </c>
      <c r="H2447" s="1">
        <v>4.0</v>
      </c>
      <c r="I2447" s="1">
        <v>4.0</v>
      </c>
      <c r="J2447" s="1" t="s">
        <v>419</v>
      </c>
      <c r="K2447" s="1" t="s">
        <v>44</v>
      </c>
      <c r="L2447" s="1">
        <v>292.0</v>
      </c>
      <c r="M2447" s="1">
        <v>2006.0</v>
      </c>
      <c r="N2447" s="1">
        <v>1932.0</v>
      </c>
      <c r="O2447" s="2">
        <v>45083.0</v>
      </c>
      <c r="P2447" s="2">
        <v>45046.0</v>
      </c>
      <c r="Q2447" s="1" t="s">
        <v>1235</v>
      </c>
      <c r="R2447" s="1" t="s">
        <v>10612</v>
      </c>
      <c r="S2447" s="1" t="s">
        <v>32</v>
      </c>
      <c r="W2447" s="1">
        <v>1.0</v>
      </c>
      <c r="X2447" s="1">
        <v>1.0</v>
      </c>
    </row>
    <row r="2448" spans="1:24" ht="15.75" customHeight="1">
      <c r="A2448" s="1">
        <v>18133.0</v>
      </c>
      <c r="B2448" s="1" t="s">
        <v>10613</v>
      </c>
      <c r="C2448" s="1" t="s">
        <v>10608</v>
      </c>
      <c r="D2448" s="1" t="s">
        <v>10609</v>
      </c>
      <c r="F2448" s="1" t="str">
        <f>"0679723161"</f>
        <v>0679723161</v>
      </c>
      <c r="G2448" s="1" t="str">
        <f>"9780679723165"</f>
        <v>9780679723165</v>
      </c>
      <c r="H2448" s="1">
        <v>0.0</v>
      </c>
      <c r="I2448" s="1">
        <v>3.88</v>
      </c>
      <c r="J2448" s="1" t="s">
        <v>317</v>
      </c>
      <c r="K2448" s="1" t="s">
        <v>44</v>
      </c>
      <c r="L2448" s="1">
        <v>317.0</v>
      </c>
      <c r="M2448" s="1">
        <v>1989.0</v>
      </c>
      <c r="N2448" s="1">
        <v>1955.0</v>
      </c>
      <c r="P2448" s="2">
        <v>40915.0</v>
      </c>
      <c r="Q2448" s="1" t="s">
        <v>1235</v>
      </c>
      <c r="R2448" s="1" t="s">
        <v>10614</v>
      </c>
      <c r="S2448" s="1" t="s">
        <v>32</v>
      </c>
      <c r="W2448" s="1">
        <v>0.0</v>
      </c>
      <c r="X2448" s="1">
        <v>1.0</v>
      </c>
    </row>
    <row r="2449" spans="1:24" ht="15.75" customHeight="1">
      <c r="A2449" s="1">
        <v>7604.0</v>
      </c>
      <c r="B2449" s="1" t="s">
        <v>10613</v>
      </c>
      <c r="C2449" s="1" t="s">
        <v>10608</v>
      </c>
      <c r="D2449" s="1" t="s">
        <v>10609</v>
      </c>
      <c r="E2449" s="1" t="s">
        <v>10615</v>
      </c>
      <c r="F2449" s="1" t="str">
        <f t="shared" si="186" ref="F2449:G2449">""</f>
        <v/>
      </c>
      <c r="G2449" s="1" t="str">
        <f t="shared" si="186"/>
        <v/>
      </c>
      <c r="H2449" s="1">
        <v>0.0</v>
      </c>
      <c r="I2449" s="1">
        <v>3.88</v>
      </c>
      <c r="J2449" s="1" t="s">
        <v>61</v>
      </c>
      <c r="K2449" s="1" t="s">
        <v>44</v>
      </c>
      <c r="L2449" s="1">
        <v>368.0</v>
      </c>
      <c r="M2449" s="1">
        <v>1995.0</v>
      </c>
      <c r="N2449" s="1">
        <v>1955.0</v>
      </c>
      <c r="P2449" s="2">
        <v>45112.0</v>
      </c>
      <c r="S2449" s="1" t="s">
        <v>271</v>
      </c>
      <c r="W2449" s="1">
        <v>0.0</v>
      </c>
      <c r="X2449" s="1">
        <v>0.0</v>
      </c>
    </row>
    <row r="2450" spans="1:24" ht="15.75" customHeight="1">
      <c r="A2450" s="132">
        <v>8148.0</v>
      </c>
      <c r="B2450" s="132" t="s">
        <v>10616</v>
      </c>
      <c r="C2450" s="132" t="s">
        <v>10608</v>
      </c>
      <c r="D2450" s="132" t="s">
        <v>10609</v>
      </c>
      <c r="E2450" s="132" t="s">
        <v>10617</v>
      </c>
      <c r="F2450" s="132" t="str">
        <f>"0156027755"</f>
        <v>0156027755</v>
      </c>
      <c r="G2450" s="132" t="str">
        <f>"9780156027755"</f>
        <v>9780156027755</v>
      </c>
      <c r="H2450" s="132">
        <v>0.0</v>
      </c>
      <c r="I2450" s="132">
        <v>4.33</v>
      </c>
      <c r="J2450" s="132" t="s">
        <v>468</v>
      </c>
      <c r="K2450" s="132" t="s">
        <v>44</v>
      </c>
      <c r="L2450" s="132">
        <v>385.0</v>
      </c>
      <c r="M2450" s="132">
        <v>2002.0</v>
      </c>
      <c r="N2450" s="132">
        <v>1980.0</v>
      </c>
      <c r="O2450" s="133"/>
      <c r="P2450" s="134">
        <v>45109.0</v>
      </c>
      <c r="Q2450" s="135" t="s">
        <v>394</v>
      </c>
      <c r="R2450" s="132" t="s">
        <v>10619</v>
      </c>
      <c r="S2450" s="132" t="s">
        <v>32</v>
      </c>
      <c r="T2450" s="133"/>
      <c r="U2450" s="133"/>
      <c r="V2450" s="133"/>
      <c r="W2450" s="132">
        <v>0.0</v>
      </c>
      <c r="X2450" s="132">
        <v>0.0</v>
      </c>
    </row>
    <row r="2451" spans="1:24" ht="15.75" customHeight="1">
      <c r="A2451" s="132">
        <v>418209.0</v>
      </c>
      <c r="B2451" s="132" t="s">
        <v>10620</v>
      </c>
      <c r="C2451" s="132" t="s">
        <v>10608</v>
      </c>
      <c r="D2451" s="132" t="s">
        <v>10609</v>
      </c>
      <c r="E2451" s="133"/>
      <c r="F2451" s="132" t="str">
        <f>"0679723439"</f>
        <v>0679723439</v>
      </c>
      <c r="G2451" s="132" t="str">
        <f>"9780679723431"</f>
        <v>9780679723431</v>
      </c>
      <c r="H2451" s="132">
        <v>0.0</v>
      </c>
      <c r="I2451" s="132">
        <v>3.91</v>
      </c>
      <c r="J2451" s="132" t="s">
        <v>69</v>
      </c>
      <c r="K2451" s="132" t="s">
        <v>44</v>
      </c>
      <c r="L2451" s="132">
        <v>212.0</v>
      </c>
      <c r="M2451" s="132">
        <v>1989.0</v>
      </c>
      <c r="N2451" s="132">
        <v>1934.0</v>
      </c>
      <c r="O2451" s="133"/>
      <c r="P2451" s="134">
        <v>45078.0</v>
      </c>
      <c r="Q2451" s="135" t="s">
        <v>394</v>
      </c>
      <c r="R2451" s="132" t="s">
        <v>10621</v>
      </c>
      <c r="S2451" s="132" t="s">
        <v>32</v>
      </c>
      <c r="T2451" s="133"/>
      <c r="U2451" s="133"/>
      <c r="V2451" s="133"/>
      <c r="W2451" s="132">
        <v>0.0</v>
      </c>
      <c r="X2451" s="132">
        <v>0.0</v>
      </c>
    </row>
    <row r="2452" spans="1:24" ht="15.75" customHeight="1">
      <c r="A2452" s="132">
        <v>7805.0</v>
      </c>
      <c r="B2452" s="132" t="s">
        <v>10622</v>
      </c>
      <c r="C2452" s="132" t="s">
        <v>10608</v>
      </c>
      <c r="D2452" s="132" t="s">
        <v>10609</v>
      </c>
      <c r="E2452" s="133"/>
      <c r="F2452" s="132" t="str">
        <f t="shared" si="187" ref="F2452:G2452">""</f>
        <v/>
      </c>
      <c r="G2452" s="132" t="str">
        <f t="shared" si="187"/>
        <v/>
      </c>
      <c r="H2452" s="132">
        <v>0.0</v>
      </c>
      <c r="I2452" s="132">
        <v>4.16</v>
      </c>
      <c r="J2452" s="132" t="s">
        <v>1063</v>
      </c>
      <c r="K2452" s="132" t="s">
        <v>44</v>
      </c>
      <c r="L2452" s="132">
        <v>246.0</v>
      </c>
      <c r="M2452" s="132">
        <v>2000.0</v>
      </c>
      <c r="N2452" s="132">
        <v>1962.0</v>
      </c>
      <c r="O2452" s="133"/>
      <c r="P2452" s="134">
        <v>45080.0</v>
      </c>
      <c r="Q2452" s="135" t="s">
        <v>394</v>
      </c>
      <c r="R2452" s="132" t="s">
        <v>10623</v>
      </c>
      <c r="S2452" s="132" t="s">
        <v>32</v>
      </c>
      <c r="T2452" s="133"/>
      <c r="U2452" s="133"/>
      <c r="V2452" s="133"/>
      <c r="W2452" s="132">
        <v>0.0</v>
      </c>
      <c r="X2452" s="132">
        <v>0.0</v>
      </c>
    </row>
    <row r="2453" spans="1:24" ht="15.75" customHeight="1">
      <c r="A2453" s="1">
        <v>5.9202644E7</v>
      </c>
      <c r="B2453" s="1" t="s">
        <v>10624</v>
      </c>
      <c r="C2453" s="1" t="s">
        <v>10625</v>
      </c>
      <c r="D2453" s="1" t="s">
        <v>10626</v>
      </c>
      <c r="E2453" s="1" t="s">
        <v>10627</v>
      </c>
      <c r="F2453" s="1" t="str">
        <f>"1628974125"</f>
        <v>1628974125</v>
      </c>
      <c r="G2453" s="1" t="str">
        <f>"9781628974126"</f>
        <v>9781628974126</v>
      </c>
      <c r="H2453" s="1">
        <v>0.0</v>
      </c>
      <c r="I2453" s="1">
        <v>3.33</v>
      </c>
      <c r="J2453" s="1" t="s">
        <v>2337</v>
      </c>
      <c r="K2453" s="1" t="s">
        <v>420</v>
      </c>
      <c r="L2453" s="1">
        <v>204.0</v>
      </c>
      <c r="M2453" s="1">
        <v>2022.0</v>
      </c>
      <c r="N2453" s="1">
        <v>1997.0</v>
      </c>
      <c r="P2453" s="2">
        <v>45174.0</v>
      </c>
      <c r="Q2453" s="1" t="s">
        <v>633</v>
      </c>
      <c r="R2453" s="1" t="s">
        <v>10628</v>
      </c>
      <c r="S2453" s="1" t="s">
        <v>32</v>
      </c>
      <c r="W2453" s="1">
        <v>0.0</v>
      </c>
      <c r="X2453" s="1">
        <v>0.0</v>
      </c>
    </row>
    <row r="2454" spans="1:24" ht="15.75" customHeight="1">
      <c r="A2454" s="1">
        <v>5.8559133E7</v>
      </c>
      <c r="B2454" s="1" t="s">
        <v>10629</v>
      </c>
      <c r="C2454" s="1" t="s">
        <v>10625</v>
      </c>
      <c r="D2454" s="1" t="s">
        <v>10626</v>
      </c>
      <c r="E2454" s="1" t="s">
        <v>10630</v>
      </c>
      <c r="F2454" s="1" t="str">
        <f>""</f>
        <v/>
      </c>
      <c r="G2454" s="1" t="str">
        <f>"9781681376332"</f>
        <v>9781681376332</v>
      </c>
      <c r="H2454" s="1">
        <v>0.0</v>
      </c>
      <c r="I2454" s="1">
        <v>3.75</v>
      </c>
      <c r="J2454" s="1" t="s">
        <v>204</v>
      </c>
      <c r="K2454" s="1" t="s">
        <v>44</v>
      </c>
      <c r="L2454" s="1">
        <v>336.0</v>
      </c>
      <c r="M2454" s="1">
        <v>2022.0</v>
      </c>
      <c r="N2454" s="1">
        <v>1997.0</v>
      </c>
      <c r="P2454" s="2">
        <v>45102.0</v>
      </c>
      <c r="Q2454" s="1" t="s">
        <v>32</v>
      </c>
      <c r="R2454" s="1" t="s">
        <v>10631</v>
      </c>
      <c r="S2454" s="1" t="s">
        <v>32</v>
      </c>
      <c r="W2454" s="1">
        <v>0.0</v>
      </c>
      <c r="X2454" s="1">
        <v>0.0</v>
      </c>
    </row>
    <row r="2455" spans="1:24" ht="15.75" customHeight="1">
      <c r="A2455" s="1">
        <v>19390.0</v>
      </c>
      <c r="B2455" s="1" t="s">
        <v>5592</v>
      </c>
      <c r="C2455" s="1" t="s">
        <v>10632</v>
      </c>
      <c r="D2455" s="1" t="s">
        <v>10633</v>
      </c>
      <c r="E2455" s="1" t="s">
        <v>10634</v>
      </c>
      <c r="F2455" s="1" t="str">
        <f>"014044257X"</f>
        <v>014044257X</v>
      </c>
      <c r="G2455" s="1" t="str">
        <f>"9780140442571"</f>
        <v>9780140442571</v>
      </c>
      <c r="H2455" s="1">
        <v>0.0</v>
      </c>
      <c r="I2455" s="1">
        <v>4.06</v>
      </c>
      <c r="J2455" s="1" t="s">
        <v>1023</v>
      </c>
      <c r="K2455" s="1" t="s">
        <v>44</v>
      </c>
      <c r="L2455" s="1">
        <v>400.0</v>
      </c>
      <c r="M2455" s="1">
        <v>1984.0</v>
      </c>
      <c r="N2455" s="1">
        <v>1764.0</v>
      </c>
      <c r="P2455" s="2">
        <v>44455.0</v>
      </c>
      <c r="Q2455" s="1" t="s">
        <v>1258</v>
      </c>
      <c r="R2455" s="1" t="s">
        <v>10635</v>
      </c>
      <c r="S2455" s="1" t="s">
        <v>32</v>
      </c>
      <c r="W2455" s="1">
        <v>0.0</v>
      </c>
      <c r="X2455" s="1">
        <v>0.0</v>
      </c>
    </row>
    <row r="2456" spans="1:24" ht="15.75" customHeight="1">
      <c r="A2456" s="1">
        <v>6.2122504E7</v>
      </c>
      <c r="B2456" s="1" t="s">
        <v>10636</v>
      </c>
      <c r="C2456" s="1" t="s">
        <v>10637</v>
      </c>
      <c r="D2456" s="1" t="s">
        <v>10638</v>
      </c>
      <c r="F2456" s="1" t="str">
        <f t="shared" si="188" ref="F2456:G2456">""</f>
        <v/>
      </c>
      <c r="G2456" s="1" t="str">
        <f t="shared" si="188"/>
        <v/>
      </c>
      <c r="H2456" s="1">
        <v>0.0</v>
      </c>
      <c r="I2456" s="1">
        <v>3.86</v>
      </c>
      <c r="J2456" s="1" t="s">
        <v>1137</v>
      </c>
      <c r="K2456" s="1" t="s">
        <v>29</v>
      </c>
      <c r="L2456" s="1">
        <v>368.0</v>
      </c>
      <c r="M2456" s="1">
        <v>2022.0</v>
      </c>
      <c r="N2456" s="1">
        <v>2022.0</v>
      </c>
      <c r="P2456" s="3">
        <v>45246.0</v>
      </c>
      <c r="Q2456" s="1" t="s">
        <v>55</v>
      </c>
      <c r="R2456" s="1" t="s">
        <v>10639</v>
      </c>
      <c r="S2456" s="1" t="s">
        <v>32</v>
      </c>
      <c r="W2456" s="1">
        <v>0.0</v>
      </c>
      <c r="X2456" s="1">
        <v>0.0</v>
      </c>
    </row>
    <row r="2457" spans="1:24" ht="15.75" customHeight="1">
      <c r="A2457" s="1">
        <v>2.5159057E7</v>
      </c>
      <c r="B2457" s="1" t="s">
        <v>10640</v>
      </c>
      <c r="C2457" s="1" t="s">
        <v>10637</v>
      </c>
      <c r="D2457" s="1" t="s">
        <v>10638</v>
      </c>
      <c r="F2457" s="1" t="str">
        <f>"0465059732"</f>
        <v>0465059732</v>
      </c>
      <c r="G2457" s="1" t="str">
        <f>"9780465059737"</f>
        <v>9780465059737</v>
      </c>
      <c r="H2457" s="1">
        <v>0.0</v>
      </c>
      <c r="I2457" s="1">
        <v>4.41</v>
      </c>
      <c r="J2457" s="1" t="s">
        <v>1536</v>
      </c>
      <c r="K2457" s="1" t="s">
        <v>37</v>
      </c>
      <c r="L2457" s="1">
        <v>296.0</v>
      </c>
      <c r="M2457" s="1">
        <v>2015.0</v>
      </c>
      <c r="N2457" s="1">
        <v>2015.0</v>
      </c>
      <c r="P2457" s="2">
        <v>45129.0</v>
      </c>
      <c r="Q2457" s="1" t="s">
        <v>5012</v>
      </c>
      <c r="R2457" s="1" t="s">
        <v>10641</v>
      </c>
      <c r="S2457" s="1" t="s">
        <v>32</v>
      </c>
      <c r="W2457" s="1">
        <v>0.0</v>
      </c>
      <c r="X2457" s="1">
        <v>0.0</v>
      </c>
    </row>
    <row r="2458" spans="1:24" ht="15.75" customHeight="1">
      <c r="A2458" s="1">
        <v>321538.0</v>
      </c>
      <c r="B2458" s="1" t="s">
        <v>10086</v>
      </c>
      <c r="C2458" s="1" t="s">
        <v>4742</v>
      </c>
      <c r="D2458" s="1" t="s">
        <v>10642</v>
      </c>
      <c r="E2458" s="1" t="s">
        <v>10643</v>
      </c>
      <c r="F2458" s="1" t="str">
        <f>"0679731970"</f>
        <v>0679731970</v>
      </c>
      <c r="G2458" s="1" t="str">
        <f>"9780679731979"</f>
        <v>9780679731979</v>
      </c>
      <c r="H2458" s="1">
        <v>0.0</v>
      </c>
      <c r="I2458" s="1">
        <v>4.27</v>
      </c>
      <c r="J2458" s="1" t="s">
        <v>69</v>
      </c>
      <c r="K2458" s="1" t="s">
        <v>44</v>
      </c>
      <c r="L2458" s="1">
        <v>960.0</v>
      </c>
      <c r="M2458" s="1">
        <v>1991.0</v>
      </c>
      <c r="N2458" s="1">
        <v>1976.0</v>
      </c>
      <c r="P2458" s="2">
        <v>45129.0</v>
      </c>
      <c r="Q2458" s="1" t="s">
        <v>449</v>
      </c>
      <c r="R2458" s="1" t="s">
        <v>10644</v>
      </c>
      <c r="S2458" s="1" t="s">
        <v>32</v>
      </c>
      <c r="W2458" s="1">
        <v>0.0</v>
      </c>
      <c r="X2458" s="1">
        <v>1.0</v>
      </c>
    </row>
    <row r="2459" spans="1:24" ht="15.75" customHeight="1">
      <c r="A2459" s="1">
        <v>205137.0</v>
      </c>
      <c r="B2459" s="1" t="s">
        <v>10645</v>
      </c>
      <c r="C2459" s="1" t="s">
        <v>10646</v>
      </c>
      <c r="D2459" s="1" t="s">
        <v>10647</v>
      </c>
      <c r="E2459" s="1" t="s">
        <v>10648</v>
      </c>
      <c r="F2459" s="1" t="str">
        <f>"0691024995"</f>
        <v>0691024995</v>
      </c>
      <c r="G2459" s="1" t="str">
        <f>"9780691024998"</f>
        <v>9780691024998</v>
      </c>
      <c r="H2459" s="1">
        <v>0.0</v>
      </c>
      <c r="I2459" s="1">
        <v>4.16</v>
      </c>
      <c r="J2459" s="1" t="s">
        <v>1011</v>
      </c>
      <c r="K2459" s="1" t="s">
        <v>44</v>
      </c>
      <c r="L2459" s="1">
        <v>296.0</v>
      </c>
      <c r="M2459" s="1">
        <v>1993.0</v>
      </c>
      <c r="N2459" s="1">
        <v>1934.0</v>
      </c>
      <c r="P2459" s="3">
        <v>44484.0</v>
      </c>
      <c r="Q2459" s="1" t="s">
        <v>725</v>
      </c>
      <c r="R2459" s="1" t="s">
        <v>10649</v>
      </c>
      <c r="S2459" s="1" t="s">
        <v>32</v>
      </c>
      <c r="W2459" s="1">
        <v>0.0</v>
      </c>
      <c r="X2459" s="1">
        <v>0.0</v>
      </c>
    </row>
    <row r="2460" spans="1:24" ht="15.75" customHeight="1">
      <c r="A2460" s="1">
        <v>621939.0</v>
      </c>
      <c r="B2460" s="1" t="s">
        <v>10650</v>
      </c>
      <c r="C2460" s="1" t="s">
        <v>10646</v>
      </c>
      <c r="D2460" s="1" t="s">
        <v>10647</v>
      </c>
      <c r="F2460" s="1" t="str">
        <f>"0807057932"</f>
        <v>0807057932</v>
      </c>
      <c r="G2460" s="1" t="str">
        <f>"9780807057933"</f>
        <v>9780807057933</v>
      </c>
      <c r="H2460" s="1">
        <v>0.0</v>
      </c>
      <c r="I2460" s="1">
        <v>3.74</v>
      </c>
      <c r="J2460" s="1" t="s">
        <v>10651</v>
      </c>
      <c r="K2460" s="1" t="s">
        <v>44</v>
      </c>
      <c r="L2460" s="1">
        <v>404.0</v>
      </c>
      <c r="M2460" s="1">
        <v>1971.0</v>
      </c>
      <c r="N2460" s="1">
        <v>1950.0</v>
      </c>
      <c r="P2460" s="2">
        <v>45115.0</v>
      </c>
      <c r="Q2460" s="1" t="s">
        <v>32</v>
      </c>
      <c r="R2460" s="1" t="s">
        <v>10652</v>
      </c>
      <c r="S2460" s="1" t="s">
        <v>32</v>
      </c>
      <c r="W2460" s="1">
        <v>0.0</v>
      </c>
      <c r="X2460" s="1">
        <v>0.0</v>
      </c>
    </row>
    <row r="2461" spans="1:24" ht="15.75" customHeight="1">
      <c r="A2461" s="1">
        <v>2.8818688E7</v>
      </c>
      <c r="B2461" s="1" t="s">
        <v>10653</v>
      </c>
      <c r="C2461" s="1" t="s">
        <v>10654</v>
      </c>
      <c r="D2461" s="1" t="s">
        <v>10655</v>
      </c>
      <c r="F2461" s="1" t="str">
        <f>"1556594992"</f>
        <v>1556594992</v>
      </c>
      <c r="G2461" s="1" t="str">
        <f>"9781556594991"</f>
        <v>9781556594991</v>
      </c>
      <c r="H2461" s="1">
        <v>0.0</v>
      </c>
      <c r="I2461" s="1">
        <v>4.28</v>
      </c>
      <c r="J2461" s="1" t="s">
        <v>10656</v>
      </c>
      <c r="K2461" s="1" t="s">
        <v>37</v>
      </c>
      <c r="L2461" s="1">
        <v>96.0</v>
      </c>
      <c r="M2461" s="1">
        <v>2016.0</v>
      </c>
      <c r="N2461" s="1">
        <v>2016.0</v>
      </c>
      <c r="P2461" s="2">
        <v>44228.0</v>
      </c>
      <c r="Q2461" s="1" t="s">
        <v>32</v>
      </c>
      <c r="R2461" s="1" t="s">
        <v>10657</v>
      </c>
      <c r="S2461" s="1" t="s">
        <v>32</v>
      </c>
      <c r="W2461" s="1">
        <v>0.0</v>
      </c>
      <c r="X2461" s="1">
        <v>0.0</v>
      </c>
    </row>
    <row r="2462" spans="1:24" ht="15.75" customHeight="1">
      <c r="A2462" s="1">
        <v>5904852.0</v>
      </c>
      <c r="B2462" s="1" t="s">
        <v>10658</v>
      </c>
      <c r="C2462" s="1" t="s">
        <v>10659</v>
      </c>
      <c r="D2462" s="1" t="s">
        <v>10660</v>
      </c>
      <c r="F2462" s="1" t="str">
        <f>"0806529776"</f>
        <v>0806529776</v>
      </c>
      <c r="G2462" s="1" t="str">
        <f>"9780806529776"</f>
        <v>9780806529776</v>
      </c>
      <c r="H2462" s="1">
        <v>0.0</v>
      </c>
      <c r="I2462" s="1">
        <v>3.62</v>
      </c>
      <c r="J2462" s="1" t="s">
        <v>5940</v>
      </c>
      <c r="K2462" s="1" t="s">
        <v>44</v>
      </c>
      <c r="L2462" s="1">
        <v>356.0</v>
      </c>
      <c r="M2462" s="1">
        <v>1972.0</v>
      </c>
      <c r="N2462" s="1">
        <v>1972.0</v>
      </c>
      <c r="P2462" s="2">
        <v>44443.0</v>
      </c>
      <c r="Q2462" s="1" t="s">
        <v>49</v>
      </c>
      <c r="R2462" s="1" t="s">
        <v>10661</v>
      </c>
      <c r="S2462" s="1" t="s">
        <v>32</v>
      </c>
      <c r="W2462" s="1">
        <v>0.0</v>
      </c>
      <c r="X2462" s="1">
        <v>0.0</v>
      </c>
    </row>
    <row r="2463" spans="1:24" ht="15.75" customHeight="1">
      <c r="A2463" s="1">
        <v>234461.0</v>
      </c>
      <c r="B2463" s="1" t="s">
        <v>10662</v>
      </c>
      <c r="C2463" s="1" t="s">
        <v>10663</v>
      </c>
      <c r="D2463" s="1" t="s">
        <v>10664</v>
      </c>
      <c r="E2463" s="1" t="s">
        <v>10665</v>
      </c>
      <c r="F2463" s="1" t="str">
        <f>"0935028749"</f>
        <v>0935028749</v>
      </c>
      <c r="G2463" s="1" t="str">
        <f>"9780935028744"</f>
        <v>9780935028744</v>
      </c>
      <c r="H2463" s="1">
        <v>0.0</v>
      </c>
      <c r="I2463" s="1">
        <v>4.14</v>
      </c>
      <c r="J2463" s="1" t="s">
        <v>10666</v>
      </c>
      <c r="K2463" s="1" t="s">
        <v>44</v>
      </c>
      <c r="L2463" s="1">
        <v>268.0</v>
      </c>
      <c r="M2463" s="1">
        <v>1999.0</v>
      </c>
      <c r="N2463" s="1">
        <v>1999.0</v>
      </c>
      <c r="P2463" s="3">
        <v>45278.0</v>
      </c>
      <c r="Q2463" s="1" t="s">
        <v>479</v>
      </c>
      <c r="R2463" s="1" t="s">
        <v>10667</v>
      </c>
      <c r="S2463" s="1" t="s">
        <v>32</v>
      </c>
      <c r="W2463" s="1">
        <v>0.0</v>
      </c>
      <c r="X2463" s="1">
        <v>0.0</v>
      </c>
    </row>
    <row r="2464" spans="1:24" ht="15.75" customHeight="1">
      <c r="A2464" s="1">
        <v>890229.0</v>
      </c>
      <c r="B2464" s="1" t="s">
        <v>10668</v>
      </c>
      <c r="C2464" s="1" t="s">
        <v>10669</v>
      </c>
      <c r="D2464" s="1" t="s">
        <v>10670</v>
      </c>
      <c r="F2464" s="1" t="str">
        <f>"0374183139"</f>
        <v>0374183139</v>
      </c>
      <c r="G2464" s="1" t="str">
        <f>"9780374183134"</f>
        <v>9780374183134</v>
      </c>
      <c r="H2464" s="1">
        <v>0.0</v>
      </c>
      <c r="I2464" s="1">
        <v>3.72</v>
      </c>
      <c r="J2464" s="1" t="s">
        <v>3437</v>
      </c>
      <c r="K2464" s="1" t="s">
        <v>37</v>
      </c>
      <c r="L2464" s="1">
        <v>257.0</v>
      </c>
      <c r="M2464" s="1">
        <v>1977.0</v>
      </c>
      <c r="N2464" s="1">
        <v>1977.0</v>
      </c>
      <c r="P2464" s="2">
        <v>45160.0</v>
      </c>
      <c r="Q2464" s="1" t="s">
        <v>818</v>
      </c>
      <c r="R2464" s="1" t="s">
        <v>10671</v>
      </c>
      <c r="S2464" s="1" t="s">
        <v>32</v>
      </c>
      <c r="W2464" s="1">
        <v>0.0</v>
      </c>
      <c r="X2464" s="1">
        <v>1.0</v>
      </c>
    </row>
    <row r="2465" spans="1:24" ht="15.75" customHeight="1">
      <c r="A2465" s="1">
        <v>1.38691236E8</v>
      </c>
      <c r="B2465" s="1" t="s">
        <v>10672</v>
      </c>
      <c r="C2465" s="1" t="s">
        <v>10673</v>
      </c>
      <c r="D2465" s="1" t="s">
        <v>10674</v>
      </c>
      <c r="E2465" s="1" t="s">
        <v>5505</v>
      </c>
      <c r="F2465" s="1" t="str">
        <f t="shared" si="189" ref="F2465:G2465">""</f>
        <v/>
      </c>
      <c r="G2465" s="1" t="str">
        <f t="shared" si="189"/>
        <v/>
      </c>
      <c r="H2465" s="1">
        <v>0.0</v>
      </c>
      <c r="I2465" s="1">
        <v>4.12</v>
      </c>
      <c r="J2465" s="1" t="s">
        <v>6874</v>
      </c>
      <c r="K2465" s="1" t="s">
        <v>44</v>
      </c>
      <c r="L2465" s="1">
        <v>757.0</v>
      </c>
      <c r="M2465" s="1">
        <v>2011.0</v>
      </c>
      <c r="N2465" s="1">
        <v>1855.0</v>
      </c>
      <c r="P2465" s="2">
        <v>45129.0</v>
      </c>
      <c r="Q2465" s="1" t="s">
        <v>449</v>
      </c>
      <c r="R2465" s="1" t="s">
        <v>10675</v>
      </c>
      <c r="S2465" s="1" t="s">
        <v>32</v>
      </c>
      <c r="W2465" s="1">
        <v>0.0</v>
      </c>
      <c r="X2465" s="1">
        <v>1.0</v>
      </c>
    </row>
    <row r="2466" spans="1:24" ht="15.75" customHeight="1">
      <c r="A2466" s="51">
        <v>2.5893849E7</v>
      </c>
      <c r="B2466" s="51" t="s">
        <v>10676</v>
      </c>
      <c r="C2466" s="51" t="s">
        <v>10677</v>
      </c>
      <c r="D2466" s="51" t="s">
        <v>10678</v>
      </c>
      <c r="E2466" s="51" t="s">
        <v>10679</v>
      </c>
      <c r="F2466" s="51" t="str">
        <f>"1784783048"</f>
        <v>1784783048</v>
      </c>
      <c r="G2466" s="51" t="str">
        <f>"9781784783044"</f>
        <v>9781784783044</v>
      </c>
      <c r="H2466" s="51">
        <v>0.0</v>
      </c>
      <c r="I2466" s="51">
        <v>3.65</v>
      </c>
      <c r="J2466" s="51" t="s">
        <v>367</v>
      </c>
      <c r="K2466" s="51" t="s">
        <v>44</v>
      </c>
      <c r="L2466" s="51">
        <v>240.0</v>
      </c>
      <c r="M2466" s="51">
        <v>2016.0</v>
      </c>
      <c r="N2466" s="51">
        <v>2016.0</v>
      </c>
      <c r="O2466" s="52"/>
      <c r="P2466" s="53">
        <v>45098.0</v>
      </c>
      <c r="Q2466" s="54" t="s">
        <v>10618</v>
      </c>
      <c r="R2466" s="51" t="s">
        <v>10680</v>
      </c>
      <c r="S2466" s="51" t="s">
        <v>32</v>
      </c>
      <c r="T2466" s="52"/>
      <c r="U2466" s="52"/>
      <c r="V2466" s="52"/>
      <c r="W2466" s="51">
        <v>0.0</v>
      </c>
      <c r="X2466" s="51">
        <v>0.0</v>
      </c>
    </row>
    <row r="2467" spans="1:24" ht="15.75" customHeight="1">
      <c r="A2467" s="51">
        <v>149401.0</v>
      </c>
      <c r="B2467" s="51" t="s">
        <v>10681</v>
      </c>
      <c r="C2467" s="51" t="s">
        <v>10677</v>
      </c>
      <c r="D2467" s="51" t="s">
        <v>10678</v>
      </c>
      <c r="E2467" s="51" t="s">
        <v>10682</v>
      </c>
      <c r="F2467" s="51" t="str">
        <f>"185984197X"</f>
        <v>185984197X</v>
      </c>
      <c r="G2467" s="51" t="str">
        <f>"9781859841976"</f>
        <v>9781859841976</v>
      </c>
      <c r="H2467" s="51">
        <v>0.0</v>
      </c>
      <c r="I2467" s="51">
        <v>3.96</v>
      </c>
      <c r="J2467" s="51" t="s">
        <v>720</v>
      </c>
      <c r="K2467" s="51" t="s">
        <v>44</v>
      </c>
      <c r="L2467" s="51">
        <v>392.0</v>
      </c>
      <c r="M2467" s="51">
        <v>1997.0</v>
      </c>
      <c r="N2467" s="51">
        <v>1928.0</v>
      </c>
      <c r="O2467" s="52"/>
      <c r="P2467" s="114">
        <v>44515.0</v>
      </c>
      <c r="Q2467" s="54" t="s">
        <v>10618</v>
      </c>
      <c r="R2467" s="51" t="s">
        <v>10683</v>
      </c>
      <c r="S2467" s="51" t="s">
        <v>32</v>
      </c>
      <c r="T2467" s="52"/>
      <c r="U2467" s="52"/>
      <c r="V2467" s="52"/>
      <c r="W2467" s="51">
        <v>0.0</v>
      </c>
      <c r="X2467" s="51">
        <v>0.0</v>
      </c>
    </row>
    <row r="2468" spans="1:24" ht="15.75" customHeight="1">
      <c r="A2468" s="51">
        <v>52224.0</v>
      </c>
      <c r="B2468" s="51" t="s">
        <v>10684</v>
      </c>
      <c r="C2468" s="51" t="s">
        <v>10677</v>
      </c>
      <c r="D2468" s="51" t="s">
        <v>10678</v>
      </c>
      <c r="E2468" s="51" t="s">
        <v>10685</v>
      </c>
      <c r="F2468" s="51" t="str">
        <f>"0674022211"</f>
        <v>0674022211</v>
      </c>
      <c r="G2468" s="51" t="str">
        <f>"9780674022218"</f>
        <v>9780674022218</v>
      </c>
      <c r="H2468" s="51">
        <v>0.0</v>
      </c>
      <c r="I2468" s="51">
        <v>3.61</v>
      </c>
      <c r="J2468" s="51" t="s">
        <v>985</v>
      </c>
      <c r="K2468" s="51" t="s">
        <v>44</v>
      </c>
      <c r="L2468" s="51">
        <v>208.0</v>
      </c>
      <c r="M2468" s="51">
        <v>2006.0</v>
      </c>
      <c r="N2468" s="51">
        <v>1972.0</v>
      </c>
      <c r="O2468" s="52"/>
      <c r="P2468" s="53">
        <v>43934.0</v>
      </c>
      <c r="Q2468" s="54" t="s">
        <v>10618</v>
      </c>
      <c r="R2468" s="51" t="s">
        <v>10686</v>
      </c>
      <c r="S2468" s="51" t="s">
        <v>32</v>
      </c>
      <c r="T2468" s="52"/>
      <c r="U2468" s="52"/>
      <c r="V2468" s="52"/>
      <c r="W2468" s="51">
        <v>0.0</v>
      </c>
      <c r="X2468" s="51">
        <v>0.0</v>
      </c>
    </row>
    <row r="2469" spans="1:24" ht="15.75" customHeight="1">
      <c r="A2469" s="1">
        <v>1165399.0</v>
      </c>
      <c r="B2469" s="1" t="s">
        <v>10687</v>
      </c>
      <c r="C2469" s="1" t="s">
        <v>10688</v>
      </c>
      <c r="D2469" s="1" t="s">
        <v>10689</v>
      </c>
      <c r="F2469" s="1" t="str">
        <f>"3822858560"</f>
        <v>3822858560</v>
      </c>
      <c r="G2469" s="1" t="str">
        <f>"9783822858561"</f>
        <v>9783822858561</v>
      </c>
      <c r="H2469" s="1">
        <v>0.0</v>
      </c>
      <c r="I2469" s="1">
        <v>4.27</v>
      </c>
      <c r="J2469" s="1" t="s">
        <v>484</v>
      </c>
      <c r="K2469" s="1" t="s">
        <v>44</v>
      </c>
      <c r="L2469" s="1">
        <v>96.0</v>
      </c>
      <c r="M2469" s="1">
        <v>2001.0</v>
      </c>
      <c r="N2469" s="1">
        <v>1987.0</v>
      </c>
      <c r="P2469" s="2">
        <v>45137.0</v>
      </c>
      <c r="Q2469" s="1" t="s">
        <v>1821</v>
      </c>
      <c r="R2469" s="1" t="s">
        <v>10690</v>
      </c>
      <c r="S2469" s="1" t="s">
        <v>32</v>
      </c>
      <c r="W2469" s="1">
        <v>0.0</v>
      </c>
      <c r="X2469" s="1">
        <v>1.0</v>
      </c>
    </row>
    <row r="2470" spans="1:24" ht="15.75" customHeight="1">
      <c r="A2470" s="1">
        <v>168032.0</v>
      </c>
      <c r="B2470" s="1" t="s">
        <v>10691</v>
      </c>
      <c r="C2470" s="1" t="s">
        <v>10692</v>
      </c>
      <c r="D2470" s="1" t="s">
        <v>10693</v>
      </c>
      <c r="E2470" s="1" t="s">
        <v>10694</v>
      </c>
      <c r="F2470" s="1" t="str">
        <f>"0674362810"</f>
        <v>0674362810</v>
      </c>
      <c r="G2470" s="1" t="str">
        <f>"9780674362819"</f>
        <v>9780674362819</v>
      </c>
      <c r="H2470" s="1">
        <v>0.0</v>
      </c>
      <c r="I2470" s="1">
        <v>4.23</v>
      </c>
      <c r="J2470" s="1" t="s">
        <v>2273</v>
      </c>
      <c r="K2470" s="1" t="s">
        <v>44</v>
      </c>
      <c r="L2470" s="1">
        <v>512.0</v>
      </c>
      <c r="M2470" s="1">
        <v>1985.0</v>
      </c>
      <c r="N2470" s="1">
        <v>1977.0</v>
      </c>
      <c r="P2470" s="2">
        <v>45036.0</v>
      </c>
      <c r="Q2470" s="1" t="s">
        <v>2810</v>
      </c>
      <c r="R2470" s="1" t="s">
        <v>10695</v>
      </c>
      <c r="S2470" s="1" t="s">
        <v>32</v>
      </c>
      <c r="W2470" s="1">
        <v>0.0</v>
      </c>
      <c r="X2470" s="1">
        <v>0.0</v>
      </c>
    </row>
    <row r="2471" spans="1:24" ht="15.75" customHeight="1">
      <c r="A2471" s="1">
        <v>560238.0</v>
      </c>
      <c r="B2471" s="1" t="s">
        <v>10696</v>
      </c>
      <c r="C2471" s="1" t="s">
        <v>10692</v>
      </c>
      <c r="D2471" s="1" t="s">
        <v>10693</v>
      </c>
      <c r="F2471" s="1" t="str">
        <f>"0520047702"</f>
        <v>0520047702</v>
      </c>
      <c r="G2471" s="1" t="str">
        <f>"9780520047709"</f>
        <v>9780520047709</v>
      </c>
      <c r="H2471" s="1">
        <v>0.0</v>
      </c>
      <c r="I2471" s="1">
        <v>3.85</v>
      </c>
      <c r="J2471" s="1" t="s">
        <v>552</v>
      </c>
      <c r="K2471" s="1" t="s">
        <v>44</v>
      </c>
      <c r="L2471" s="1">
        <v>248.0</v>
      </c>
      <c r="M2471" s="1">
        <v>1982.0</v>
      </c>
      <c r="N2471" s="1">
        <v>1980.0</v>
      </c>
      <c r="P2471" s="2">
        <v>45120.0</v>
      </c>
      <c r="Q2471" s="1" t="s">
        <v>725</v>
      </c>
      <c r="R2471" s="1" t="s">
        <v>10697</v>
      </c>
      <c r="S2471" s="1" t="s">
        <v>32</v>
      </c>
      <c r="W2471" s="1">
        <v>0.0</v>
      </c>
      <c r="X2471" s="1">
        <v>0.0</v>
      </c>
    </row>
    <row r="2472" spans="1:24" ht="15.75" customHeight="1">
      <c r="A2472" s="1">
        <v>1.7674372E7</v>
      </c>
      <c r="B2472" s="1" t="s">
        <v>10698</v>
      </c>
      <c r="C2472" s="1" t="s">
        <v>10692</v>
      </c>
      <c r="D2472" s="1" t="s">
        <v>10693</v>
      </c>
      <c r="E2472" s="1" t="s">
        <v>10699</v>
      </c>
      <c r="F2472" s="1" t="str">
        <f>"022610043X"</f>
        <v>022610043X</v>
      </c>
      <c r="G2472" s="1" t="str">
        <f>"9780226100432"</f>
        <v>9780226100432</v>
      </c>
      <c r="H2472" s="1">
        <v>0.0</v>
      </c>
      <c r="I2472" s="1">
        <v>3.8</v>
      </c>
      <c r="J2472" s="1" t="s">
        <v>78</v>
      </c>
      <c r="K2472" s="1" t="s">
        <v>44</v>
      </c>
      <c r="L2472" s="1">
        <v>110.0</v>
      </c>
      <c r="M2472" s="1">
        <v>2013.0</v>
      </c>
      <c r="N2472" s="1">
        <v>1990.0</v>
      </c>
      <c r="P2472" s="2">
        <v>45120.0</v>
      </c>
      <c r="Q2472" s="1" t="s">
        <v>725</v>
      </c>
      <c r="R2472" s="1" t="s">
        <v>10700</v>
      </c>
      <c r="S2472" s="1" t="s">
        <v>32</v>
      </c>
      <c r="W2472" s="1">
        <v>0.0</v>
      </c>
      <c r="X2472" s="1">
        <v>0.0</v>
      </c>
    </row>
    <row r="2473" spans="1:24" ht="15.75" customHeight="1">
      <c r="A2473" s="1">
        <v>439968.0</v>
      </c>
      <c r="B2473" s="1" t="s">
        <v>10701</v>
      </c>
      <c r="C2473" s="1" t="s">
        <v>10692</v>
      </c>
      <c r="D2473" s="1" t="s">
        <v>10693</v>
      </c>
      <c r="F2473" s="1" t="str">
        <f>"0674033876"</f>
        <v>0674033876</v>
      </c>
      <c r="G2473" s="1" t="str">
        <f>"9780674033870"</f>
        <v>9780674033870</v>
      </c>
      <c r="H2473" s="1">
        <v>0.0</v>
      </c>
      <c r="I2473" s="1">
        <v>3.78</v>
      </c>
      <c r="J2473" s="1" t="s">
        <v>2273</v>
      </c>
      <c r="K2473" s="1" t="s">
        <v>44</v>
      </c>
      <c r="L2473" s="1">
        <v>181.0</v>
      </c>
      <c r="M2473" s="1">
        <v>1989.0</v>
      </c>
      <c r="N2473" s="1">
        <v>1987.0</v>
      </c>
      <c r="P2473" s="2">
        <v>45036.0</v>
      </c>
      <c r="Q2473" s="1" t="s">
        <v>32</v>
      </c>
      <c r="R2473" s="1" t="s">
        <v>10702</v>
      </c>
      <c r="S2473" s="1" t="s">
        <v>32</v>
      </c>
      <c r="W2473" s="1">
        <v>0.0</v>
      </c>
      <c r="X2473" s="1">
        <v>0.0</v>
      </c>
    </row>
    <row r="2474" spans="1:24" ht="15.75" customHeight="1">
      <c r="A2474" s="1">
        <v>565355.0</v>
      </c>
      <c r="B2474" s="1" t="s">
        <v>10703</v>
      </c>
      <c r="C2474" s="1" t="s">
        <v>10704</v>
      </c>
      <c r="D2474" s="1" t="s">
        <v>10705</v>
      </c>
      <c r="F2474" s="1" t="str">
        <f>"0253208912"</f>
        <v>0253208912</v>
      </c>
      <c r="G2474" s="1" t="str">
        <f>"9780253208910"</f>
        <v>9780253208910</v>
      </c>
      <c r="H2474" s="1">
        <v>0.0</v>
      </c>
      <c r="I2474" s="1">
        <v>4.15</v>
      </c>
      <c r="J2474" s="1" t="s">
        <v>176</v>
      </c>
      <c r="K2474" s="1" t="s">
        <v>44</v>
      </c>
      <c r="L2474" s="1">
        <v>288.0</v>
      </c>
      <c r="M2474" s="1">
        <v>1995.0</v>
      </c>
      <c r="N2474" s="1">
        <v>1933.0</v>
      </c>
      <c r="P2474" s="2">
        <v>45115.0</v>
      </c>
      <c r="Q2474" s="1" t="s">
        <v>32</v>
      </c>
      <c r="R2474" s="1" t="s">
        <v>10706</v>
      </c>
      <c r="S2474" s="1" t="s">
        <v>32</v>
      </c>
      <c r="W2474" s="1">
        <v>0.0</v>
      </c>
      <c r="X2474" s="1">
        <v>0.0</v>
      </c>
    </row>
    <row r="2475" spans="1:24" ht="15.75" customHeight="1">
      <c r="A2475" s="1">
        <v>3402580.0</v>
      </c>
      <c r="B2475" s="1" t="s">
        <v>10707</v>
      </c>
      <c r="C2475" s="1" t="s">
        <v>10708</v>
      </c>
      <c r="D2475" s="1" t="s">
        <v>10709</v>
      </c>
      <c r="F2475" s="1" t="str">
        <f>"0006352413"</f>
        <v>0006352413</v>
      </c>
      <c r="G2475" s="1" t="str">
        <f>"9780006352419"</f>
        <v>9780006352419</v>
      </c>
      <c r="H2475" s="1">
        <v>0.0</v>
      </c>
      <c r="I2475" s="1">
        <v>4.17</v>
      </c>
      <c r="J2475" s="1" t="s">
        <v>10710</v>
      </c>
      <c r="K2475" s="1" t="s">
        <v>44</v>
      </c>
      <c r="L2475" s="1">
        <v>317.0</v>
      </c>
      <c r="M2475" s="1">
        <v>1978.0</v>
      </c>
      <c r="N2475" s="1">
        <v>1978.0</v>
      </c>
      <c r="P2475" s="2">
        <v>45300.0</v>
      </c>
      <c r="Q2475" s="1" t="s">
        <v>30</v>
      </c>
      <c r="R2475" s="1" t="s">
        <v>10711</v>
      </c>
      <c r="S2475" s="1" t="s">
        <v>32</v>
      </c>
      <c r="W2475" s="1">
        <v>0.0</v>
      </c>
      <c r="X2475" s="1">
        <v>0.0</v>
      </c>
    </row>
    <row r="2476" spans="1:24" ht="15.75" customHeight="1">
      <c r="A2476" s="1">
        <v>1.6586894E7</v>
      </c>
      <c r="B2476" s="1" t="s">
        <v>10712</v>
      </c>
      <c r="C2476" s="1" t="s">
        <v>10713</v>
      </c>
      <c r="D2476" s="1" t="s">
        <v>10714</v>
      </c>
      <c r="F2476" s="1" t="str">
        <f>"0313065799"</f>
        <v>0313065799</v>
      </c>
      <c r="G2476" s="1" t="str">
        <f>"9780313065798"</f>
        <v>9780313065798</v>
      </c>
      <c r="H2476" s="1">
        <v>0.0</v>
      </c>
      <c r="I2476" s="1">
        <v>4.0</v>
      </c>
      <c r="J2476" s="1" t="s">
        <v>5429</v>
      </c>
      <c r="K2476" s="1" t="s">
        <v>420</v>
      </c>
      <c r="L2476" s="1">
        <v>198.0</v>
      </c>
      <c r="M2476" s="1">
        <v>2014.0</v>
      </c>
      <c r="N2476" s="1">
        <v>1992.0</v>
      </c>
      <c r="P2476" s="2">
        <v>45236.0</v>
      </c>
      <c r="Q2476" s="1" t="s">
        <v>935</v>
      </c>
      <c r="R2476" s="1" t="s">
        <v>10715</v>
      </c>
      <c r="S2476" s="1" t="s">
        <v>32</v>
      </c>
      <c r="W2476" s="1">
        <v>0.0</v>
      </c>
      <c r="X2476" s="1">
        <v>0.0</v>
      </c>
    </row>
    <row r="2477" spans="1:24" ht="15.75" customHeight="1">
      <c r="A2477" s="1">
        <v>162022.0</v>
      </c>
      <c r="B2477" s="1" t="s">
        <v>10716</v>
      </c>
      <c r="C2477" s="1" t="s">
        <v>7183</v>
      </c>
      <c r="D2477" s="1" t="s">
        <v>10717</v>
      </c>
      <c r="F2477" s="1" t="str">
        <f>"0691019835"</f>
        <v>0691019835</v>
      </c>
      <c r="G2477" s="1" t="str">
        <f>"9780691019833"</f>
        <v>9780691019833</v>
      </c>
      <c r="H2477" s="1">
        <v>0.0</v>
      </c>
      <c r="I2477" s="1">
        <v>4.24</v>
      </c>
      <c r="J2477" s="1" t="s">
        <v>1011</v>
      </c>
      <c r="K2477" s="1" t="s">
        <v>44</v>
      </c>
      <c r="L2477" s="1">
        <v>552.0</v>
      </c>
      <c r="M2477" s="1">
        <v>1974.0</v>
      </c>
      <c r="N2477" s="1">
        <v>1950.0</v>
      </c>
      <c r="P2477" s="2">
        <v>44263.0</v>
      </c>
      <c r="Q2477" s="1" t="s">
        <v>1739</v>
      </c>
      <c r="R2477" s="1" t="s">
        <v>10718</v>
      </c>
      <c r="S2477" s="1" t="s">
        <v>32</v>
      </c>
      <c r="W2477" s="1">
        <v>0.0</v>
      </c>
      <c r="X2477" s="1">
        <v>0.0</v>
      </c>
    </row>
    <row r="2478" spans="1:24" ht="15.75" customHeight="1">
      <c r="A2478" s="1">
        <v>396329.0</v>
      </c>
      <c r="B2478" s="1" t="s">
        <v>10719</v>
      </c>
      <c r="C2478" s="1" t="s">
        <v>10720</v>
      </c>
      <c r="D2478" s="1" t="s">
        <v>10721</v>
      </c>
      <c r="F2478" s="1" t="str">
        <f>"0345431618"</f>
        <v>0345431618</v>
      </c>
      <c r="G2478" s="1" t="str">
        <f>"9780345431615"</f>
        <v>9780345431615</v>
      </c>
      <c r="H2478" s="1">
        <v>0.0</v>
      </c>
      <c r="I2478" s="1">
        <v>4.05</v>
      </c>
      <c r="J2478" s="1" t="s">
        <v>8890</v>
      </c>
      <c r="K2478" s="1" t="s">
        <v>44</v>
      </c>
      <c r="L2478" s="1">
        <v>209.0</v>
      </c>
      <c r="M2478" s="1">
        <v>1999.0</v>
      </c>
      <c r="N2478" s="1">
        <v>1963.0</v>
      </c>
      <c r="P2478" s="2">
        <v>45151.0</v>
      </c>
      <c r="Q2478" s="1" t="s">
        <v>32</v>
      </c>
      <c r="R2478" s="1" t="s">
        <v>10722</v>
      </c>
      <c r="S2478" s="1" t="s">
        <v>32</v>
      </c>
      <c r="W2478" s="1">
        <v>0.0</v>
      </c>
      <c r="X2478" s="1">
        <v>0.0</v>
      </c>
    </row>
    <row r="2479" spans="1:24" ht="15.75" customHeight="1">
      <c r="A2479" s="1">
        <v>1428489.0</v>
      </c>
      <c r="B2479" s="1" t="s">
        <v>10723</v>
      </c>
      <c r="C2479" s="1" t="s">
        <v>10724</v>
      </c>
      <c r="D2479" s="1" t="s">
        <v>10725</v>
      </c>
      <c r="E2479" s="1" t="s">
        <v>10726</v>
      </c>
      <c r="F2479" s="1" t="str">
        <f>"0674021118"</f>
        <v>0674021118</v>
      </c>
      <c r="G2479" s="1" t="str">
        <f>"9780674021112"</f>
        <v>9780674021112</v>
      </c>
      <c r="H2479" s="1">
        <v>0.0</v>
      </c>
      <c r="I2479" s="1">
        <v>3.73</v>
      </c>
      <c r="J2479" s="1" t="s">
        <v>2273</v>
      </c>
      <c r="K2479" s="1" t="s">
        <v>44</v>
      </c>
      <c r="L2479" s="1">
        <v>252.0</v>
      </c>
      <c r="M2479" s="1">
        <v>2006.0</v>
      </c>
      <c r="N2479" s="1">
        <v>2003.0</v>
      </c>
      <c r="P2479" s="3">
        <v>45272.0</v>
      </c>
      <c r="Q2479" s="1" t="s">
        <v>479</v>
      </c>
      <c r="R2479" s="1" t="s">
        <v>10727</v>
      </c>
      <c r="S2479" s="1" t="s">
        <v>32</v>
      </c>
      <c r="W2479" s="1">
        <v>0.0</v>
      </c>
      <c r="X2479" s="1">
        <v>0.0</v>
      </c>
    </row>
    <row r="2480" spans="1:24" ht="15.75" customHeight="1">
      <c r="A2480" s="1">
        <v>436108.0</v>
      </c>
      <c r="B2480" s="1" t="s">
        <v>10728</v>
      </c>
      <c r="C2480" s="1" t="s">
        <v>10729</v>
      </c>
      <c r="D2480" s="1" t="s">
        <v>10730</v>
      </c>
      <c r="F2480" s="1" t="str">
        <f>"0226065588"</f>
        <v>0226065588</v>
      </c>
      <c r="G2480" s="1" t="str">
        <f>"9780226065588"</f>
        <v>9780226065588</v>
      </c>
      <c r="H2480" s="1">
        <v>0.0</v>
      </c>
      <c r="I2480" s="1">
        <v>4.01</v>
      </c>
      <c r="J2480" s="1" t="s">
        <v>78</v>
      </c>
      <c r="K2480" s="1" t="s">
        <v>44</v>
      </c>
      <c r="L2480" s="1">
        <v>552.0</v>
      </c>
      <c r="M2480" s="1">
        <v>1983.0</v>
      </c>
      <c r="N2480" s="1">
        <v>1961.0</v>
      </c>
      <c r="P2480" s="2">
        <v>44802.0</v>
      </c>
      <c r="Q2480" s="1" t="s">
        <v>32</v>
      </c>
      <c r="R2480" s="1" t="s">
        <v>10731</v>
      </c>
      <c r="S2480" s="1" t="s">
        <v>32</v>
      </c>
      <c r="W2480" s="1">
        <v>0.0</v>
      </c>
      <c r="X2480" s="1">
        <v>0.0</v>
      </c>
    </row>
    <row r="2481" spans="1:24" ht="15.75" customHeight="1">
      <c r="A2481" s="1">
        <v>1078943.0</v>
      </c>
      <c r="B2481" s="1" t="s">
        <v>10732</v>
      </c>
      <c r="C2481" s="1" t="s">
        <v>10733</v>
      </c>
      <c r="D2481" s="1" t="s">
        <v>10734</v>
      </c>
      <c r="F2481" s="1" t="str">
        <f>"0806514256"</f>
        <v>0806514256</v>
      </c>
      <c r="G2481" s="1" t="str">
        <f>"9780806514253"</f>
        <v>9780806514253</v>
      </c>
      <c r="H2481" s="1">
        <v>0.0</v>
      </c>
      <c r="I2481" s="1">
        <v>3.68</v>
      </c>
      <c r="J2481" s="1" t="s">
        <v>10735</v>
      </c>
      <c r="K2481" s="1" t="s">
        <v>44</v>
      </c>
      <c r="L2481" s="1">
        <v>227.0</v>
      </c>
      <c r="M2481" s="1">
        <v>1995.0</v>
      </c>
      <c r="N2481" s="1">
        <v>1993.0</v>
      </c>
      <c r="P2481" s="2">
        <v>43961.0</v>
      </c>
      <c r="Q2481" s="1" t="s">
        <v>32</v>
      </c>
      <c r="R2481" s="1" t="s">
        <v>10736</v>
      </c>
      <c r="S2481" s="1" t="s">
        <v>32</v>
      </c>
      <c r="W2481" s="1">
        <v>0.0</v>
      </c>
      <c r="X2481" s="1">
        <v>0.0</v>
      </c>
    </row>
    <row r="2482" spans="1:24" ht="15.75" customHeight="1">
      <c r="A2482" s="1">
        <v>5.1092826E7</v>
      </c>
      <c r="B2482" s="1" t="s">
        <v>10737</v>
      </c>
      <c r="C2482" s="1" t="s">
        <v>10738</v>
      </c>
      <c r="D2482" s="1" t="s">
        <v>10739</v>
      </c>
      <c r="F2482" s="1" t="str">
        <f t="shared" si="190" ref="F2482:G2482">""</f>
        <v/>
      </c>
      <c r="G2482" s="1" t="str">
        <f t="shared" si="190"/>
        <v/>
      </c>
      <c r="H2482" s="1">
        <v>0.0</v>
      </c>
      <c r="I2482" s="1">
        <v>4.43</v>
      </c>
      <c r="J2482" s="1" t="s">
        <v>7243</v>
      </c>
      <c r="K2482" s="1" t="s">
        <v>29</v>
      </c>
      <c r="L2482" s="1">
        <v>127.0</v>
      </c>
      <c r="M2482" s="1">
        <v>2019.0</v>
      </c>
      <c r="P2482" s="3">
        <v>44157.0</v>
      </c>
      <c r="Q2482" s="1" t="s">
        <v>553</v>
      </c>
      <c r="R2482" s="1" t="s">
        <v>10740</v>
      </c>
      <c r="S2482" s="1" t="s">
        <v>32</v>
      </c>
      <c r="W2482" s="1">
        <v>0.0</v>
      </c>
      <c r="X2482" s="1">
        <v>0.0</v>
      </c>
    </row>
    <row r="2483" spans="1:24" ht="15.75" customHeight="1">
      <c r="A2483" s="1">
        <v>6316356.0</v>
      </c>
      <c r="B2483" s="1" t="s">
        <v>10741</v>
      </c>
      <c r="C2483" s="1" t="s">
        <v>10738</v>
      </c>
      <c r="D2483" s="1" t="s">
        <v>10739</v>
      </c>
      <c r="E2483" s="1" t="s">
        <v>7514</v>
      </c>
      <c r="F2483" s="1" t="str">
        <f>"158243543X"</f>
        <v>158243543X</v>
      </c>
      <c r="G2483" s="1" t="str">
        <f>"9781582435435"</f>
        <v>9781582435435</v>
      </c>
      <c r="H2483" s="1">
        <v>0.0</v>
      </c>
      <c r="I2483" s="1">
        <v>4.18</v>
      </c>
      <c r="J2483" s="1" t="s">
        <v>7243</v>
      </c>
      <c r="K2483" s="1" t="s">
        <v>44</v>
      </c>
      <c r="L2483" s="1">
        <v>234.0</v>
      </c>
      <c r="M2483" s="1">
        <v>2009.0</v>
      </c>
      <c r="N2483" s="1">
        <v>2009.0</v>
      </c>
      <c r="P2483" s="2">
        <v>43926.0</v>
      </c>
      <c r="Q2483" s="1" t="s">
        <v>32</v>
      </c>
      <c r="R2483" s="1" t="s">
        <v>10742</v>
      </c>
      <c r="S2483" s="1" t="s">
        <v>32</v>
      </c>
      <c r="W2483" s="1">
        <v>0.0</v>
      </c>
      <c r="X2483" s="1">
        <v>0.0</v>
      </c>
    </row>
    <row r="2484" spans="1:24" ht="15.75" customHeight="1">
      <c r="A2484" s="1">
        <v>3.6210669E7</v>
      </c>
      <c r="B2484" s="1" t="s">
        <v>10743</v>
      </c>
      <c r="C2484" s="1" t="s">
        <v>10744</v>
      </c>
      <c r="D2484" s="1" t="s">
        <v>10745</v>
      </c>
      <c r="E2484" s="1" t="s">
        <v>10746</v>
      </c>
      <c r="F2484" s="1" t="str">
        <f>"0813595126"</f>
        <v>0813595126</v>
      </c>
      <c r="G2484" s="1" t="str">
        <f>"9780813595122"</f>
        <v>9780813595122</v>
      </c>
      <c r="H2484" s="1">
        <v>0.0</v>
      </c>
      <c r="I2484" s="1">
        <v>3.61</v>
      </c>
      <c r="J2484" s="1" t="s">
        <v>10747</v>
      </c>
      <c r="K2484" s="1" t="s">
        <v>44</v>
      </c>
      <c r="L2484" s="1">
        <v>524.0</v>
      </c>
      <c r="M2484" s="1">
        <v>2018.0</v>
      </c>
      <c r="N2484" s="1">
        <v>2008.0</v>
      </c>
      <c r="P2484" s="2">
        <v>43961.0</v>
      </c>
      <c r="Q2484" s="1" t="s">
        <v>32</v>
      </c>
      <c r="R2484" s="1" t="s">
        <v>10748</v>
      </c>
      <c r="S2484" s="1" t="s">
        <v>32</v>
      </c>
      <c r="W2484" s="1">
        <v>0.0</v>
      </c>
      <c r="X2484" s="1">
        <v>0.0</v>
      </c>
    </row>
    <row r="2485" spans="1:24" ht="15.75" customHeight="1">
      <c r="A2485" s="1">
        <v>1.869884E7</v>
      </c>
      <c r="B2485" s="1" t="s">
        <v>10749</v>
      </c>
      <c r="C2485" s="1" t="s">
        <v>10750</v>
      </c>
      <c r="D2485" s="1" t="s">
        <v>10751</v>
      </c>
      <c r="F2485" s="1" t="str">
        <f>"0062280007"</f>
        <v>0062280007</v>
      </c>
      <c r="G2485" s="1" t="str">
        <f>"9780062280008"</f>
        <v>9780062280008</v>
      </c>
      <c r="H2485" s="1">
        <v>0.0</v>
      </c>
      <c r="I2485" s="1">
        <v>3.44</v>
      </c>
      <c r="J2485" s="1" t="s">
        <v>558</v>
      </c>
      <c r="K2485" s="1" t="s">
        <v>37</v>
      </c>
      <c r="L2485" s="1">
        <v>384.0</v>
      </c>
      <c r="M2485" s="1">
        <v>2014.0</v>
      </c>
      <c r="N2485" s="1">
        <v>2014.0</v>
      </c>
      <c r="P2485" s="2">
        <v>42593.0</v>
      </c>
      <c r="Q2485" s="1" t="s">
        <v>502</v>
      </c>
      <c r="R2485" s="1" t="s">
        <v>10752</v>
      </c>
      <c r="S2485" s="1" t="s">
        <v>32</v>
      </c>
      <c r="W2485" s="1">
        <v>0.0</v>
      </c>
      <c r="X2485" s="1">
        <v>0.0</v>
      </c>
    </row>
    <row r="2486" spans="1:24" ht="15.75" customHeight="1">
      <c r="A2486" s="1">
        <v>31795.0</v>
      </c>
      <c r="B2486" s="1" t="s">
        <v>10753</v>
      </c>
      <c r="C2486" s="1" t="s">
        <v>10754</v>
      </c>
      <c r="D2486" s="1" t="s">
        <v>10755</v>
      </c>
      <c r="F2486" s="1" t="str">
        <f>"0671739166"</f>
        <v>0671739166</v>
      </c>
      <c r="G2486" s="1" t="str">
        <f>"9780671739164"</f>
        <v>9780671739164</v>
      </c>
      <c r="H2486" s="1">
        <v>0.0</v>
      </c>
      <c r="I2486" s="1">
        <v>4.14</v>
      </c>
      <c r="J2486" s="1" t="s">
        <v>10756</v>
      </c>
      <c r="K2486" s="1" t="s">
        <v>44</v>
      </c>
      <c r="L2486" s="1">
        <v>704.0</v>
      </c>
      <c r="M2486" s="1">
        <v>1991.0</v>
      </c>
      <c r="N2486" s="1">
        <v>1926.0</v>
      </c>
      <c r="P2486" s="2">
        <v>45151.0</v>
      </c>
      <c r="Q2486" s="1" t="s">
        <v>109</v>
      </c>
      <c r="R2486" s="1" t="s">
        <v>10757</v>
      </c>
      <c r="S2486" s="1" t="s">
        <v>32</v>
      </c>
      <c r="W2486" s="1">
        <v>0.0</v>
      </c>
      <c r="X2486" s="1">
        <v>0.0</v>
      </c>
    </row>
    <row r="2487" spans="1:24" ht="15.75" customHeight="1">
      <c r="A2487" s="1">
        <v>1.8339728E7</v>
      </c>
      <c r="B2487" s="1" t="s">
        <v>10758</v>
      </c>
      <c r="C2487" s="1" t="s">
        <v>10759</v>
      </c>
      <c r="D2487" s="1" t="s">
        <v>10760</v>
      </c>
      <c r="F2487" s="1" t="str">
        <f>"0789327260"</f>
        <v>0789327260</v>
      </c>
      <c r="G2487" s="1" t="str">
        <f>"9780789327260"</f>
        <v>9780789327260</v>
      </c>
      <c r="H2487" s="1">
        <v>0.0</v>
      </c>
      <c r="I2487" s="1">
        <v>3.76</v>
      </c>
      <c r="J2487" s="1" t="s">
        <v>1730</v>
      </c>
      <c r="K2487" s="1" t="s">
        <v>44</v>
      </c>
      <c r="L2487" s="1">
        <v>256.0</v>
      </c>
      <c r="M2487" s="1">
        <v>2014.0</v>
      </c>
      <c r="N2487" s="1">
        <v>2013.0</v>
      </c>
      <c r="P2487" s="2">
        <v>45138.0</v>
      </c>
      <c r="Q2487" s="1" t="s">
        <v>32</v>
      </c>
      <c r="R2487" s="1" t="s">
        <v>10761</v>
      </c>
      <c r="S2487" s="1" t="s">
        <v>32</v>
      </c>
      <c r="W2487" s="1">
        <v>0.0</v>
      </c>
      <c r="X2487" s="1">
        <v>0.0</v>
      </c>
    </row>
    <row r="2488" spans="1:24" ht="15.75" customHeight="1">
      <c r="A2488" s="1">
        <v>3.1328503E7</v>
      </c>
      <c r="B2488" s="1" t="s">
        <v>10762</v>
      </c>
      <c r="C2488" s="1" t="s">
        <v>10759</v>
      </c>
      <c r="D2488" s="1" t="s">
        <v>10760</v>
      </c>
      <c r="F2488" s="1" t="str">
        <f>"0789332728"</f>
        <v>0789332728</v>
      </c>
      <c r="G2488" s="1" t="str">
        <f>"9780789332721"</f>
        <v>9780789332721</v>
      </c>
      <c r="H2488" s="1">
        <v>0.0</v>
      </c>
      <c r="I2488" s="1">
        <v>3.81</v>
      </c>
      <c r="J2488" s="1" t="s">
        <v>8914</v>
      </c>
      <c r="K2488" s="1" t="s">
        <v>44</v>
      </c>
      <c r="L2488" s="1">
        <v>256.0</v>
      </c>
      <c r="M2488" s="1">
        <v>2017.0</v>
      </c>
      <c r="P2488" s="2">
        <v>45138.0</v>
      </c>
      <c r="Q2488" s="1" t="s">
        <v>32</v>
      </c>
      <c r="R2488" s="1" t="s">
        <v>10763</v>
      </c>
      <c r="S2488" s="1" t="s">
        <v>32</v>
      </c>
      <c r="W2488" s="1">
        <v>0.0</v>
      </c>
      <c r="X2488" s="1">
        <v>0.0</v>
      </c>
    </row>
    <row r="2489" spans="1:24" ht="15.75" customHeight="1">
      <c r="A2489" s="1">
        <v>1585295.0</v>
      </c>
      <c r="B2489" s="1" t="s">
        <v>10764</v>
      </c>
      <c r="C2489" s="1" t="s">
        <v>10765</v>
      </c>
      <c r="D2489" s="1" t="s">
        <v>10766</v>
      </c>
      <c r="E2489" s="1" t="s">
        <v>10767</v>
      </c>
      <c r="F2489" s="1" t="str">
        <f>"0899508669"</f>
        <v>0899508669</v>
      </c>
      <c r="G2489" s="1" t="str">
        <f>"9780899508665"</f>
        <v>9780899508665</v>
      </c>
      <c r="H2489" s="1">
        <v>0.0</v>
      </c>
      <c r="I2489" s="1">
        <v>4.0</v>
      </c>
      <c r="J2489" s="1" t="s">
        <v>10768</v>
      </c>
      <c r="K2489" s="1" t="s">
        <v>37</v>
      </c>
      <c r="L2489" s="1">
        <v>242.0</v>
      </c>
      <c r="M2489" s="1">
        <v>1993.0</v>
      </c>
      <c r="N2489" s="1">
        <v>1993.0</v>
      </c>
      <c r="P2489" s="2">
        <v>45137.0</v>
      </c>
      <c r="Q2489" s="1" t="s">
        <v>32</v>
      </c>
      <c r="R2489" s="1" t="s">
        <v>10769</v>
      </c>
      <c r="S2489" s="1" t="s">
        <v>32</v>
      </c>
      <c r="W2489" s="1">
        <v>0.0</v>
      </c>
      <c r="X2489" s="1">
        <v>0.0</v>
      </c>
    </row>
    <row r="2490" spans="1:24" ht="15.75" customHeight="1">
      <c r="A2490" s="1">
        <v>540494.0</v>
      </c>
      <c r="B2490" s="1" t="s">
        <v>10770</v>
      </c>
      <c r="C2490" s="1" t="s">
        <v>10771</v>
      </c>
      <c r="D2490" s="1" t="s">
        <v>10772</v>
      </c>
      <c r="F2490" s="1" t="str">
        <f>"0674743520"</f>
        <v>0674743520</v>
      </c>
      <c r="G2490" s="1" t="str">
        <f>"9780674743526"</f>
        <v>9780674743526</v>
      </c>
      <c r="H2490" s="1">
        <v>0.0</v>
      </c>
      <c r="I2490" s="1">
        <v>3.97</v>
      </c>
      <c r="J2490" s="1" t="s">
        <v>985</v>
      </c>
      <c r="K2490" s="1" t="s">
        <v>44</v>
      </c>
      <c r="L2490" s="1">
        <v>249.0</v>
      </c>
      <c r="M2490" s="1">
        <v>1989.0</v>
      </c>
      <c r="N2490" s="1">
        <v>1987.0</v>
      </c>
      <c r="P2490" s="2">
        <v>44444.0</v>
      </c>
      <c r="Q2490" s="1" t="s">
        <v>32</v>
      </c>
      <c r="R2490" s="1" t="s">
        <v>10773</v>
      </c>
      <c r="S2490" s="1" t="s">
        <v>32</v>
      </c>
      <c r="W2490" s="1">
        <v>0.0</v>
      </c>
      <c r="X2490" s="1">
        <v>0.0</v>
      </c>
    </row>
    <row r="2491" spans="1:24" ht="15.75" customHeight="1">
      <c r="A2491" s="1">
        <v>28820.0</v>
      </c>
      <c r="B2491" s="1" t="s">
        <v>10774</v>
      </c>
      <c r="C2491" s="1" t="s">
        <v>10775</v>
      </c>
      <c r="D2491" s="1" t="s">
        <v>10776</v>
      </c>
      <c r="F2491" s="1" t="str">
        <f>"1402199031"</f>
        <v>1402199031</v>
      </c>
      <c r="G2491" s="1" t="str">
        <f>"9781402199035"</f>
        <v>9781402199035</v>
      </c>
      <c r="H2491" s="1">
        <v>0.0</v>
      </c>
      <c r="I2491" s="1">
        <v>4.01</v>
      </c>
      <c r="J2491" s="1" t="s">
        <v>10777</v>
      </c>
      <c r="K2491" s="1" t="s">
        <v>44</v>
      </c>
      <c r="L2491" s="1">
        <v>519.0</v>
      </c>
      <c r="M2491" s="1">
        <v>2000.0</v>
      </c>
      <c r="N2491" s="1">
        <v>1902.0</v>
      </c>
      <c r="P2491" s="2">
        <v>45123.0</v>
      </c>
      <c r="Q2491" s="1" t="s">
        <v>32</v>
      </c>
      <c r="R2491" s="1" t="s">
        <v>10778</v>
      </c>
      <c r="S2491" s="1" t="s">
        <v>32</v>
      </c>
      <c r="W2491" s="1">
        <v>0.0</v>
      </c>
      <c r="X2491" s="1">
        <v>0.0</v>
      </c>
    </row>
    <row r="2492" spans="1:24" ht="15.75" customHeight="1">
      <c r="A2492" s="1">
        <v>2.478393E7</v>
      </c>
      <c r="B2492" s="1" t="s">
        <v>10779</v>
      </c>
      <c r="C2492" s="1" t="s">
        <v>10780</v>
      </c>
      <c r="D2492" s="1" t="s">
        <v>10781</v>
      </c>
      <c r="E2492" s="1" t="s">
        <v>7552</v>
      </c>
      <c r="F2492" s="1" t="str">
        <f>"1590179064"</f>
        <v>1590179064</v>
      </c>
      <c r="G2492" s="1" t="str">
        <f>"9781590179062"</f>
        <v>9781590179062</v>
      </c>
      <c r="H2492" s="1">
        <v>0.0</v>
      </c>
      <c r="I2492" s="1">
        <v>3.85</v>
      </c>
      <c r="J2492" s="1" t="s">
        <v>204</v>
      </c>
      <c r="K2492" s="1" t="s">
        <v>44</v>
      </c>
      <c r="L2492" s="1">
        <v>464.0</v>
      </c>
      <c r="M2492" s="1">
        <v>2015.0</v>
      </c>
      <c r="N2492" s="1">
        <v>1964.0</v>
      </c>
      <c r="P2492" s="2">
        <v>45102.0</v>
      </c>
      <c r="Q2492" s="1" t="s">
        <v>502</v>
      </c>
      <c r="R2492" s="1" t="s">
        <v>10782</v>
      </c>
      <c r="S2492" s="1" t="s">
        <v>32</v>
      </c>
      <c r="W2492" s="1">
        <v>0.0</v>
      </c>
      <c r="X2492" s="1">
        <v>0.0</v>
      </c>
    </row>
    <row r="2493" spans="1:24" ht="15.75" customHeight="1">
      <c r="A2493" s="1">
        <v>6.1052987E7</v>
      </c>
      <c r="B2493" s="1" t="s">
        <v>10783</v>
      </c>
      <c r="C2493" s="1" t="s">
        <v>10784</v>
      </c>
      <c r="D2493" s="1" t="s">
        <v>10785</v>
      </c>
      <c r="F2493" s="1" t="str">
        <f>"1350348198"</f>
        <v>1350348198</v>
      </c>
      <c r="G2493" s="1" t="str">
        <f>"9781350348196"</f>
        <v>9781350348196</v>
      </c>
      <c r="H2493" s="1">
        <v>0.0</v>
      </c>
      <c r="I2493" s="1">
        <v>4.23</v>
      </c>
      <c r="J2493" s="1" t="s">
        <v>5659</v>
      </c>
      <c r="K2493" s="1" t="s">
        <v>44</v>
      </c>
      <c r="L2493" s="1">
        <v>472.0</v>
      </c>
      <c r="M2493" s="1">
        <v>2022.0</v>
      </c>
      <c r="N2493" s="1">
        <v>1995.0</v>
      </c>
      <c r="P2493" s="3">
        <v>45271.0</v>
      </c>
      <c r="Q2493" s="1" t="s">
        <v>479</v>
      </c>
      <c r="R2493" s="1" t="s">
        <v>10786</v>
      </c>
      <c r="S2493" s="1" t="s">
        <v>32</v>
      </c>
      <c r="W2493" s="1">
        <v>0.0</v>
      </c>
      <c r="X2493" s="1">
        <v>0.0</v>
      </c>
    </row>
    <row r="2494" spans="1:24" ht="15.75" customHeight="1">
      <c r="A2494" s="1">
        <v>277658.0</v>
      </c>
      <c r="B2494" s="1" t="s">
        <v>10787</v>
      </c>
      <c r="C2494" s="1" t="s">
        <v>10788</v>
      </c>
      <c r="D2494" s="1" t="s">
        <v>10789</v>
      </c>
      <c r="F2494" s="1" t="str">
        <f>"046502596X"</f>
        <v>046502596X</v>
      </c>
      <c r="G2494" s="1" t="str">
        <f>"9780465025961"</f>
        <v>9780465025961</v>
      </c>
      <c r="H2494" s="1">
        <v>0.0</v>
      </c>
      <c r="I2494" s="1">
        <v>4.06</v>
      </c>
      <c r="J2494" s="1" t="s">
        <v>1536</v>
      </c>
      <c r="K2494" s="1" t="s">
        <v>44</v>
      </c>
      <c r="L2494" s="1">
        <v>176.0</v>
      </c>
      <c r="M2494" s="1">
        <v>1999.0</v>
      </c>
      <c r="N2494" s="1">
        <v>1998.0</v>
      </c>
      <c r="P2494" s="2">
        <v>43999.0</v>
      </c>
      <c r="Q2494" s="1" t="s">
        <v>32</v>
      </c>
      <c r="R2494" s="1" t="s">
        <v>10790</v>
      </c>
      <c r="S2494" s="1" t="s">
        <v>32</v>
      </c>
      <c r="W2494" s="1">
        <v>0.0</v>
      </c>
      <c r="X2494" s="1">
        <v>0.0</v>
      </c>
    </row>
    <row r="2495" spans="1:24" ht="15.75" customHeight="1">
      <c r="A2495" s="1">
        <v>1940270.0</v>
      </c>
      <c r="B2495" s="1" t="s">
        <v>10791</v>
      </c>
      <c r="C2495" s="1" t="s">
        <v>10792</v>
      </c>
      <c r="D2495" s="1" t="s">
        <v>10793</v>
      </c>
      <c r="E2495" s="1" t="s">
        <v>10794</v>
      </c>
      <c r="F2495" s="1" t="str">
        <f>"009134820X"</f>
        <v>009134820X</v>
      </c>
      <c r="G2495" s="1" t="str">
        <f>"9780091348205"</f>
        <v>9780091348205</v>
      </c>
      <c r="H2495" s="1">
        <v>0.0</v>
      </c>
      <c r="I2495" s="1">
        <v>3.82</v>
      </c>
      <c r="J2495" s="1" t="s">
        <v>10795</v>
      </c>
      <c r="K2495" s="1" t="s">
        <v>37</v>
      </c>
      <c r="L2495" s="1">
        <v>493.0</v>
      </c>
      <c r="M2495" s="1">
        <v>1978.0</v>
      </c>
      <c r="N2495" s="1">
        <v>1978.0</v>
      </c>
      <c r="P2495" s="2">
        <v>45299.0</v>
      </c>
      <c r="Q2495" s="1" t="s">
        <v>30</v>
      </c>
      <c r="R2495" s="1" t="s">
        <v>10796</v>
      </c>
      <c r="S2495" s="1" t="s">
        <v>32</v>
      </c>
      <c r="W2495" s="1">
        <v>0.0</v>
      </c>
      <c r="X2495" s="1">
        <v>0.0</v>
      </c>
    </row>
    <row r="2496" spans="1:24" ht="15.75" customHeight="1">
      <c r="A2496" s="1">
        <v>6.3946909E7</v>
      </c>
      <c r="B2496" s="1" t="s">
        <v>10797</v>
      </c>
      <c r="C2496" s="1" t="s">
        <v>10798</v>
      </c>
      <c r="D2496" s="1" t="s">
        <v>10799</v>
      </c>
      <c r="F2496" s="1" t="str">
        <f>"0593316304"</f>
        <v>0593316304</v>
      </c>
      <c r="G2496" s="1" t="str">
        <f>"9780593316306"</f>
        <v>9780593316306</v>
      </c>
      <c r="H2496" s="1">
        <v>0.0</v>
      </c>
      <c r="I2496" s="1">
        <v>4.25</v>
      </c>
      <c r="J2496" s="1" t="s">
        <v>772</v>
      </c>
      <c r="K2496" s="1" t="s">
        <v>37</v>
      </c>
      <c r="L2496" s="1">
        <v>368.0</v>
      </c>
      <c r="M2496" s="1">
        <v>2023.0</v>
      </c>
      <c r="P2496" s="2">
        <v>45169.0</v>
      </c>
      <c r="Q2496" s="1" t="s">
        <v>7860</v>
      </c>
      <c r="R2496" s="1" t="s">
        <v>10800</v>
      </c>
      <c r="S2496" s="1" t="s">
        <v>32</v>
      </c>
      <c r="W2496" s="1">
        <v>0.0</v>
      </c>
      <c r="X2496" s="1">
        <v>0.0</v>
      </c>
    </row>
    <row r="2497" spans="1:24" ht="15.75" customHeight="1">
      <c r="A2497" s="1">
        <v>765167.0</v>
      </c>
      <c r="B2497" s="1" t="s">
        <v>10801</v>
      </c>
      <c r="C2497" s="1" t="s">
        <v>10802</v>
      </c>
      <c r="D2497" s="1" t="s">
        <v>10803</v>
      </c>
      <c r="F2497" s="1" t="str">
        <f>"081120037X"</f>
        <v>081120037X</v>
      </c>
      <c r="G2497" s="1" t="str">
        <f>"9780811200370"</f>
        <v>9780811200370</v>
      </c>
      <c r="H2497" s="1">
        <v>0.0</v>
      </c>
      <c r="I2497" s="1">
        <v>3.82</v>
      </c>
      <c r="J2497" s="1" t="s">
        <v>419</v>
      </c>
      <c r="K2497" s="1" t="s">
        <v>44</v>
      </c>
      <c r="L2497" s="1">
        <v>256.0</v>
      </c>
      <c r="M2497" s="1">
        <v>1966.0</v>
      </c>
      <c r="N2497" s="1">
        <v>1930.0</v>
      </c>
      <c r="P2497" s="2">
        <v>45115.0</v>
      </c>
      <c r="Q2497" s="1" t="s">
        <v>32</v>
      </c>
      <c r="R2497" s="1" t="s">
        <v>10804</v>
      </c>
      <c r="S2497" s="1" t="s">
        <v>32</v>
      </c>
      <c r="W2497" s="1">
        <v>0.0</v>
      </c>
      <c r="X2497" s="1">
        <v>0.0</v>
      </c>
    </row>
    <row r="2498" spans="1:24" ht="15.75" customHeight="1">
      <c r="A2498" s="1">
        <v>2066384.0</v>
      </c>
      <c r="B2498" s="1" t="s">
        <v>10805</v>
      </c>
      <c r="C2498" s="1" t="s">
        <v>10806</v>
      </c>
      <c r="D2498" s="1" t="s">
        <v>10807</v>
      </c>
      <c r="F2498" s="1" t="str">
        <f>"0195334574"</f>
        <v>0195334574</v>
      </c>
      <c r="G2498" s="1" t="str">
        <f>"9780195334579"</f>
        <v>9780195334579</v>
      </c>
      <c r="H2498" s="1">
        <v>0.0</v>
      </c>
      <c r="I2498" s="1">
        <v>3.94</v>
      </c>
      <c r="J2498" s="1" t="s">
        <v>181</v>
      </c>
      <c r="K2498" s="1" t="s">
        <v>37</v>
      </c>
      <c r="L2498" s="1">
        <v>224.0</v>
      </c>
      <c r="M2498" s="1">
        <v>2008.0</v>
      </c>
      <c r="N2498" s="1">
        <v>2008.0</v>
      </c>
      <c r="P2498" s="2">
        <v>45126.0</v>
      </c>
      <c r="Q2498" s="1" t="s">
        <v>32</v>
      </c>
      <c r="R2498" s="1" t="s">
        <v>10808</v>
      </c>
      <c r="S2498" s="1" t="s">
        <v>32</v>
      </c>
      <c r="W2498" s="1">
        <v>0.0</v>
      </c>
      <c r="X2498" s="1">
        <v>0.0</v>
      </c>
    </row>
    <row r="2499" spans="1:24" ht="15.75" customHeight="1">
      <c r="A2499" s="1">
        <v>84943.0</v>
      </c>
      <c r="B2499" s="1" t="s">
        <v>10809</v>
      </c>
      <c r="C2499" s="1" t="s">
        <v>10810</v>
      </c>
      <c r="D2499" s="1" t="s">
        <v>10811</v>
      </c>
      <c r="E2499" s="1" t="s">
        <v>10812</v>
      </c>
      <c r="F2499" s="1" t="str">
        <f t="shared" si="191" ref="F2499:G2499">""</f>
        <v/>
      </c>
      <c r="G2499" s="1" t="str">
        <f t="shared" si="191"/>
        <v/>
      </c>
      <c r="H2499" s="1">
        <v>0.0</v>
      </c>
      <c r="I2499" s="1">
        <v>3.69</v>
      </c>
      <c r="J2499" s="1" t="s">
        <v>10813</v>
      </c>
      <c r="K2499" s="1" t="s">
        <v>1225</v>
      </c>
      <c r="L2499" s="1">
        <v>202.0</v>
      </c>
      <c r="M2499" s="1">
        <v>2003.0</v>
      </c>
      <c r="N2499" s="1">
        <v>1954.0</v>
      </c>
      <c r="P2499" s="2">
        <v>44814.0</v>
      </c>
      <c r="Q2499" s="1" t="s">
        <v>502</v>
      </c>
      <c r="R2499" s="1" t="s">
        <v>10814</v>
      </c>
      <c r="S2499" s="1" t="s">
        <v>32</v>
      </c>
      <c r="W2499" s="1">
        <v>0.0</v>
      </c>
      <c r="X2499" s="1">
        <v>0.0</v>
      </c>
    </row>
    <row r="2500" spans="1:24" ht="15.75" customHeight="1">
      <c r="A2500" s="1">
        <v>14431.0</v>
      </c>
      <c r="B2500" s="1" t="s">
        <v>10815</v>
      </c>
      <c r="C2500" s="1" t="s">
        <v>10810</v>
      </c>
      <c r="D2500" s="1" t="s">
        <v>10811</v>
      </c>
      <c r="F2500" s="1" t="str">
        <f>"0571209432"</f>
        <v>0571209432</v>
      </c>
      <c r="G2500" s="1" t="str">
        <f>"9780571209439"</f>
        <v>9780571209439</v>
      </c>
      <c r="H2500" s="1">
        <v>0.0</v>
      </c>
      <c r="I2500" s="1">
        <v>3.58</v>
      </c>
      <c r="J2500" s="1" t="s">
        <v>2187</v>
      </c>
      <c r="K2500" s="1" t="s">
        <v>44</v>
      </c>
      <c r="L2500" s="1">
        <v>278.0</v>
      </c>
      <c r="M2500" s="1">
        <v>2001.0</v>
      </c>
      <c r="N2500" s="1">
        <v>1980.0</v>
      </c>
      <c r="P2500" s="2">
        <v>45111.0</v>
      </c>
      <c r="Q2500" s="1" t="s">
        <v>261</v>
      </c>
      <c r="R2500" s="1" t="s">
        <v>10816</v>
      </c>
      <c r="S2500" s="1" t="s">
        <v>32</v>
      </c>
      <c r="W2500" s="1">
        <v>0.0</v>
      </c>
      <c r="X2500" s="1">
        <v>0.0</v>
      </c>
    </row>
    <row r="2501" spans="1:24" ht="15.75" customHeight="1">
      <c r="A2501" s="77">
        <v>1.1778315E7</v>
      </c>
      <c r="B2501" s="77" t="s">
        <v>10817</v>
      </c>
      <c r="C2501" s="77" t="s">
        <v>10818</v>
      </c>
      <c r="D2501" s="77" t="s">
        <v>10819</v>
      </c>
      <c r="E2501" s="78"/>
      <c r="F2501" s="77" t="str">
        <f>"0307595846"</f>
        <v>0307595846</v>
      </c>
      <c r="G2501" s="77" t="str">
        <f>"9780307595843"</f>
        <v>9780307595843</v>
      </c>
      <c r="H2501" s="77">
        <v>0.0</v>
      </c>
      <c r="I2501" s="77">
        <v>4.18</v>
      </c>
      <c r="J2501" s="77" t="s">
        <v>1397</v>
      </c>
      <c r="K2501" s="77" t="s">
        <v>37</v>
      </c>
      <c r="L2501" s="77">
        <v>368.0</v>
      </c>
      <c r="M2501" s="77">
        <v>2012.0</v>
      </c>
      <c r="N2501" s="77">
        <v>2012.0</v>
      </c>
      <c r="O2501" s="78"/>
      <c r="P2501" s="79">
        <v>45129.0</v>
      </c>
      <c r="Q2501" s="80" t="s">
        <v>871</v>
      </c>
      <c r="R2501" s="77" t="s">
        <v>10820</v>
      </c>
      <c r="S2501" s="77" t="s">
        <v>32</v>
      </c>
      <c r="T2501" s="78"/>
      <c r="U2501" s="78"/>
      <c r="V2501" s="78"/>
      <c r="W2501" s="77">
        <v>0.0</v>
      </c>
      <c r="X2501" s="77">
        <v>0.0</v>
      </c>
    </row>
    <row r="2502" spans="1:24" ht="15.75" customHeight="1">
      <c r="A2502" s="77">
        <v>156180.0</v>
      </c>
      <c r="B2502" s="77" t="s">
        <v>10821</v>
      </c>
      <c r="C2502" s="77" t="s">
        <v>10818</v>
      </c>
      <c r="D2502" s="77" t="s">
        <v>10819</v>
      </c>
      <c r="E2502" s="78"/>
      <c r="F2502" s="77" t="str">
        <f>"0307262863"</f>
        <v>0307262863</v>
      </c>
      <c r="G2502" s="77" t="str">
        <f>"9780307262868"</f>
        <v>9780307262868</v>
      </c>
      <c r="H2502" s="77">
        <v>0.0</v>
      </c>
      <c r="I2502" s="77">
        <v>4.14</v>
      </c>
      <c r="J2502" s="77" t="s">
        <v>1397</v>
      </c>
      <c r="K2502" s="77" t="s">
        <v>37</v>
      </c>
      <c r="L2502" s="77">
        <v>432.0</v>
      </c>
      <c r="M2502" s="77">
        <v>2006.0</v>
      </c>
      <c r="N2502" s="77">
        <v>2006.0</v>
      </c>
      <c r="O2502" s="78"/>
      <c r="P2502" s="79">
        <v>45126.0</v>
      </c>
      <c r="Q2502" s="80" t="s">
        <v>871</v>
      </c>
      <c r="R2502" s="77" t="s">
        <v>10822</v>
      </c>
      <c r="S2502" s="77" t="s">
        <v>32</v>
      </c>
      <c r="T2502" s="78"/>
      <c r="U2502" s="78"/>
      <c r="V2502" s="78"/>
      <c r="W2502" s="77">
        <v>0.0</v>
      </c>
      <c r="X2502" s="77">
        <v>0.0</v>
      </c>
    </row>
    <row r="2503" spans="1:24" ht="15.75" customHeight="1">
      <c r="A2503" s="77">
        <v>156185.0</v>
      </c>
      <c r="B2503" s="77" t="s">
        <v>10823</v>
      </c>
      <c r="C2503" s="77" t="s">
        <v>10818</v>
      </c>
      <c r="D2503" s="77" t="s">
        <v>10819</v>
      </c>
      <c r="E2503" s="78"/>
      <c r="F2503" s="77" t="str">
        <f>"0879232374"</f>
        <v>0879232374</v>
      </c>
      <c r="G2503" s="77" t="str">
        <f>"9780879232375"</f>
        <v>9780879232375</v>
      </c>
      <c r="H2503" s="77">
        <v>0.0</v>
      </c>
      <c r="I2503" s="77">
        <v>3.87</v>
      </c>
      <c r="J2503" s="77" t="s">
        <v>5770</v>
      </c>
      <c r="K2503" s="77" t="s">
        <v>44</v>
      </c>
      <c r="L2503" s="77">
        <v>91.0</v>
      </c>
      <c r="M2503" s="77">
        <v>1991.0</v>
      </c>
      <c r="N2503" s="77">
        <v>1975.0</v>
      </c>
      <c r="O2503" s="78"/>
      <c r="P2503" s="136">
        <v>44192.0</v>
      </c>
      <c r="Q2503" s="80" t="s">
        <v>871</v>
      </c>
      <c r="R2503" s="77" t="s">
        <v>10824</v>
      </c>
      <c r="S2503" s="77" t="s">
        <v>32</v>
      </c>
      <c r="T2503" s="78"/>
      <c r="U2503" s="78"/>
      <c r="V2503" s="78"/>
      <c r="W2503" s="77">
        <v>0.0</v>
      </c>
      <c r="X2503" s="77">
        <v>0.0</v>
      </c>
    </row>
    <row r="2504" spans="1:24" ht="15.75" customHeight="1">
      <c r="A2504" s="1">
        <v>1358530.0</v>
      </c>
      <c r="B2504" s="1" t="s">
        <v>10825</v>
      </c>
      <c r="C2504" s="1" t="s">
        <v>10826</v>
      </c>
      <c r="D2504" s="1" t="s">
        <v>10827</v>
      </c>
      <c r="F2504" s="1" t="str">
        <f>"048622614X"</f>
        <v>048622614X</v>
      </c>
      <c r="G2504" s="1" t="str">
        <f>"9780486226149"</f>
        <v>9780486226149</v>
      </c>
      <c r="H2504" s="1">
        <v>0.0</v>
      </c>
      <c r="I2504" s="1">
        <v>3.56</v>
      </c>
      <c r="J2504" s="1" t="s">
        <v>910</v>
      </c>
      <c r="K2504" s="1" t="s">
        <v>44</v>
      </c>
      <c r="L2504" s="1">
        <v>336.0</v>
      </c>
      <c r="M2504" s="1">
        <v>1970.0</v>
      </c>
      <c r="N2504" s="1">
        <v>1922.0</v>
      </c>
      <c r="P2504" s="2">
        <v>45145.0</v>
      </c>
      <c r="Q2504" s="1" t="s">
        <v>10828</v>
      </c>
      <c r="R2504" s="1" t="s">
        <v>10829</v>
      </c>
      <c r="S2504" s="1" t="s">
        <v>32</v>
      </c>
      <c r="W2504" s="1">
        <v>0.0</v>
      </c>
      <c r="X2504" s="1">
        <v>0.0</v>
      </c>
    </row>
    <row r="2505" spans="1:24" ht="15.75" customHeight="1">
      <c r="A2505" s="1">
        <v>5.6240358E7</v>
      </c>
      <c r="B2505" s="1" t="s">
        <v>10830</v>
      </c>
      <c r="C2505" s="1" t="s">
        <v>10831</v>
      </c>
      <c r="D2505" s="1" t="s">
        <v>10832</v>
      </c>
      <c r="F2505" s="1" t="str">
        <f>"161185444X"</f>
        <v>161185444X</v>
      </c>
      <c r="G2505" s="1" t="str">
        <f>"9781611854442"</f>
        <v>9781611854442</v>
      </c>
      <c r="H2505" s="1">
        <v>0.0</v>
      </c>
      <c r="I2505" s="1">
        <v>3.58</v>
      </c>
      <c r="J2505" s="1" t="s">
        <v>10833</v>
      </c>
      <c r="K2505" s="1" t="s">
        <v>44</v>
      </c>
      <c r="L2505" s="1">
        <v>576.0</v>
      </c>
      <c r="M2505" s="1">
        <v>2021.0</v>
      </c>
      <c r="N2505" s="1">
        <v>2021.0</v>
      </c>
      <c r="P2505" s="2">
        <v>45168.0</v>
      </c>
      <c r="Q2505" s="1" t="s">
        <v>32</v>
      </c>
      <c r="R2505" s="1" t="s">
        <v>10834</v>
      </c>
      <c r="S2505" s="1" t="s">
        <v>32</v>
      </c>
      <c r="W2505" s="1">
        <v>0.0</v>
      </c>
      <c r="X2505" s="1">
        <v>0.0</v>
      </c>
    </row>
    <row r="2506" spans="1:24" ht="15.75" customHeight="1">
      <c r="A2506" s="1">
        <v>19802.0</v>
      </c>
      <c r="B2506" s="1" t="s">
        <v>10835</v>
      </c>
      <c r="C2506" s="1" t="s">
        <v>10836</v>
      </c>
      <c r="D2506" s="1" t="s">
        <v>10837</v>
      </c>
      <c r="F2506" s="1" t="str">
        <f>"0316545562"</f>
        <v>0316545562</v>
      </c>
      <c r="G2506" s="1" t="str">
        <f>"9780316545563"</f>
        <v>9780316545563</v>
      </c>
      <c r="H2506" s="1">
        <v>0.0</v>
      </c>
      <c r="I2506" s="1">
        <v>3.83</v>
      </c>
      <c r="J2506" s="1" t="s">
        <v>1963</v>
      </c>
      <c r="K2506" s="1" t="s">
        <v>44</v>
      </c>
      <c r="L2506" s="1">
        <v>322.0</v>
      </c>
      <c r="M2506" s="1">
        <v>1993.0</v>
      </c>
      <c r="N2506" s="1">
        <v>1992.0</v>
      </c>
      <c r="P2506" s="2">
        <v>45154.0</v>
      </c>
      <c r="Q2506" s="1" t="s">
        <v>463</v>
      </c>
      <c r="R2506" s="1" t="s">
        <v>10838</v>
      </c>
      <c r="S2506" s="1" t="s">
        <v>32</v>
      </c>
      <c r="W2506" s="1">
        <v>0.0</v>
      </c>
      <c r="X2506" s="1">
        <v>0.0</v>
      </c>
    </row>
    <row r="2507" spans="1:24" ht="15.75" customHeight="1">
      <c r="A2507" s="1">
        <v>621477.0</v>
      </c>
      <c r="B2507" s="1" t="s">
        <v>10839</v>
      </c>
      <c r="C2507" s="1" t="s">
        <v>10840</v>
      </c>
      <c r="D2507" s="1" t="s">
        <v>10841</v>
      </c>
      <c r="F2507" s="1" t="str">
        <f>"1770070923"</f>
        <v>1770070923</v>
      </c>
      <c r="G2507" s="1" t="str">
        <f>"9781770070929"</f>
        <v>9781770070929</v>
      </c>
      <c r="H2507" s="1">
        <v>0.0</v>
      </c>
      <c r="I2507" s="1">
        <v>3.78</v>
      </c>
      <c r="J2507" s="1" t="s">
        <v>10842</v>
      </c>
      <c r="K2507" s="1" t="s">
        <v>44</v>
      </c>
      <c r="L2507" s="1">
        <v>384.0</v>
      </c>
      <c r="M2507" s="1">
        <v>2005.0</v>
      </c>
      <c r="N2507" s="1">
        <v>2005.0</v>
      </c>
      <c r="P2507" s="3">
        <v>45274.0</v>
      </c>
      <c r="Q2507" s="1" t="s">
        <v>479</v>
      </c>
      <c r="R2507" s="1" t="s">
        <v>10843</v>
      </c>
      <c r="S2507" s="1" t="s">
        <v>32</v>
      </c>
      <c r="W2507" s="1">
        <v>0.0</v>
      </c>
      <c r="X2507" s="1">
        <v>0.0</v>
      </c>
    </row>
    <row r="2508" spans="1:24" ht="15.75" customHeight="1">
      <c r="A2508" s="1">
        <v>5.7693395E7</v>
      </c>
      <c r="B2508" s="1" t="s">
        <v>10844</v>
      </c>
      <c r="C2508" s="1" t="s">
        <v>10845</v>
      </c>
      <c r="D2508" s="1" t="s">
        <v>10846</v>
      </c>
      <c r="F2508" s="1" t="str">
        <f>"1250266165"</f>
        <v>1250266165</v>
      </c>
      <c r="G2508" s="1" t="str">
        <f>"9781250266163"</f>
        <v>9781250266163</v>
      </c>
      <c r="H2508" s="1">
        <v>0.0</v>
      </c>
      <c r="I2508" s="1">
        <v>4.12</v>
      </c>
      <c r="J2508" s="1" t="s">
        <v>2484</v>
      </c>
      <c r="K2508" s="1" t="s">
        <v>37</v>
      </c>
      <c r="L2508" s="1">
        <v>352.0</v>
      </c>
      <c r="M2508" s="1">
        <v>2022.0</v>
      </c>
      <c r="N2508" s="1">
        <v>2022.0</v>
      </c>
      <c r="P2508" s="2">
        <v>45235.0</v>
      </c>
      <c r="Q2508" s="1" t="s">
        <v>55</v>
      </c>
      <c r="R2508" s="1" t="s">
        <v>10847</v>
      </c>
      <c r="S2508" s="1" t="s">
        <v>32</v>
      </c>
      <c r="W2508" s="1">
        <v>0.0</v>
      </c>
      <c r="X2508" s="1">
        <v>0.0</v>
      </c>
    </row>
    <row r="2509" spans="1:24" ht="15.75" customHeight="1">
      <c r="A2509" s="1">
        <v>179780.0</v>
      </c>
      <c r="B2509" s="1" t="s">
        <v>10848</v>
      </c>
      <c r="C2509" s="1" t="s">
        <v>10849</v>
      </c>
      <c r="D2509" s="1" t="s">
        <v>10850</v>
      </c>
      <c r="F2509" s="1" t="str">
        <f t="shared" si="192" ref="F2509:G2509">""</f>
        <v/>
      </c>
      <c r="G2509" s="1" t="str">
        <f t="shared" si="192"/>
        <v/>
      </c>
      <c r="H2509" s="1">
        <v>0.0</v>
      </c>
      <c r="I2509" s="1">
        <v>4.2</v>
      </c>
      <c r="J2509" s="1" t="s">
        <v>10851</v>
      </c>
      <c r="K2509" s="1" t="s">
        <v>1225</v>
      </c>
      <c r="L2509" s="1">
        <v>385.0</v>
      </c>
      <c r="M2509" s="1">
        <v>1994.0</v>
      </c>
      <c r="N2509" s="1">
        <v>1971.0</v>
      </c>
      <c r="P2509" s="2">
        <v>41035.0</v>
      </c>
      <c r="Q2509" s="1" t="s">
        <v>502</v>
      </c>
      <c r="R2509" s="1" t="s">
        <v>10852</v>
      </c>
      <c r="S2509" s="1" t="s">
        <v>32</v>
      </c>
      <c r="W2509" s="1">
        <v>0.0</v>
      </c>
      <c r="X2509" s="1">
        <v>0.0</v>
      </c>
    </row>
    <row r="2510" spans="1:24" ht="15.75" customHeight="1">
      <c r="A2510" s="1">
        <v>1553525.0</v>
      </c>
      <c r="B2510" s="1" t="s">
        <v>10853</v>
      </c>
      <c r="C2510" s="1" t="s">
        <v>10854</v>
      </c>
      <c r="D2510" s="1" t="s">
        <v>10855</v>
      </c>
      <c r="F2510" s="1" t="str">
        <f>"0226576965"</f>
        <v>0226576965</v>
      </c>
      <c r="G2510" s="1" t="str">
        <f>"9780226576961"</f>
        <v>9780226576961</v>
      </c>
      <c r="H2510" s="1">
        <v>0.0</v>
      </c>
      <c r="I2510" s="1">
        <v>4.36</v>
      </c>
      <c r="J2510" s="1" t="s">
        <v>78</v>
      </c>
      <c r="K2510" s="1" t="s">
        <v>37</v>
      </c>
      <c r="L2510" s="1">
        <v>235.0</v>
      </c>
      <c r="M2510" s="1">
        <v>2006.0</v>
      </c>
      <c r="N2510" s="1">
        <v>2006.0</v>
      </c>
      <c r="P2510" s="2">
        <v>44812.0</v>
      </c>
      <c r="Q2510" s="1" t="s">
        <v>32</v>
      </c>
      <c r="R2510" s="1" t="s">
        <v>10856</v>
      </c>
      <c r="S2510" s="1" t="s">
        <v>32</v>
      </c>
      <c r="W2510" s="1">
        <v>0.0</v>
      </c>
      <c r="X2510" s="1">
        <v>0.0</v>
      </c>
    </row>
    <row r="2511" spans="1:24" ht="15.75" customHeight="1">
      <c r="A2511" s="1">
        <v>563798.0</v>
      </c>
      <c r="B2511" s="1" t="s">
        <v>10857</v>
      </c>
      <c r="C2511" s="1" t="s">
        <v>10858</v>
      </c>
      <c r="D2511" s="1" t="s">
        <v>10859</v>
      </c>
      <c r="F2511" s="1" t="str">
        <f>"0802132952"</f>
        <v>0802132952</v>
      </c>
      <c r="G2511" s="1" t="str">
        <f>"9780802132956"</f>
        <v>9780802132956</v>
      </c>
      <c r="H2511" s="1">
        <v>0.0</v>
      </c>
      <c r="I2511" s="1">
        <v>3.46</v>
      </c>
      <c r="J2511" s="1" t="s">
        <v>10860</v>
      </c>
      <c r="K2511" s="1" t="s">
        <v>44</v>
      </c>
      <c r="L2511" s="1">
        <v>255.0</v>
      </c>
      <c r="M2511" s="1">
        <v>1992.0</v>
      </c>
      <c r="N2511" s="1">
        <v>1959.0</v>
      </c>
      <c r="P2511" s="2">
        <v>40986.0</v>
      </c>
      <c r="Q2511" s="1" t="s">
        <v>594</v>
      </c>
      <c r="R2511" s="1" t="s">
        <v>10861</v>
      </c>
      <c r="S2511" s="1" t="s">
        <v>271</v>
      </c>
      <c r="W2511" s="1">
        <v>1.0</v>
      </c>
      <c r="X2511" s="1">
        <v>1.0</v>
      </c>
    </row>
    <row r="2512" spans="1:24" ht="15.75" customHeight="1">
      <c r="A2512" s="1">
        <v>2.9330467E7</v>
      </c>
      <c r="B2512" s="1" t="s">
        <v>10862</v>
      </c>
      <c r="C2512" s="1" t="s">
        <v>10863</v>
      </c>
      <c r="D2512" s="1" t="s">
        <v>10864</v>
      </c>
      <c r="F2512" s="1" t="str">
        <f>"1530107261"</f>
        <v>1530107261</v>
      </c>
      <c r="G2512" s="1" t="str">
        <f>"9781530107261"</f>
        <v>9781530107261</v>
      </c>
      <c r="H2512" s="1">
        <v>0.0</v>
      </c>
      <c r="I2512" s="1">
        <v>3.74</v>
      </c>
      <c r="J2512" s="1" t="s">
        <v>10865</v>
      </c>
      <c r="K2512" s="1" t="s">
        <v>44</v>
      </c>
      <c r="L2512" s="1">
        <v>166.0</v>
      </c>
      <c r="M2512" s="1">
        <v>2016.0</v>
      </c>
      <c r="N2512" s="1">
        <v>1597.0</v>
      </c>
      <c r="P2512" s="2">
        <v>45163.0</v>
      </c>
      <c r="Q2512" s="1" t="s">
        <v>1149</v>
      </c>
      <c r="R2512" s="1" t="s">
        <v>10866</v>
      </c>
      <c r="S2512" s="1" t="s">
        <v>32</v>
      </c>
      <c r="V2512" s="1" t="s">
        <v>3620</v>
      </c>
      <c r="W2512" s="1">
        <v>0.0</v>
      </c>
      <c r="X2512" s="1">
        <v>1.0</v>
      </c>
    </row>
    <row r="2513" spans="1:24" ht="15.75" customHeight="1">
      <c r="A2513" s="1">
        <v>4.1038427E7</v>
      </c>
      <c r="B2513" s="1" t="s">
        <v>10867</v>
      </c>
      <c r="C2513" s="1" t="s">
        <v>10863</v>
      </c>
      <c r="D2513" s="1" t="s">
        <v>10864</v>
      </c>
      <c r="F2513" s="1" t="str">
        <f>"0329706535"</f>
        <v>0329706535</v>
      </c>
      <c r="G2513" s="1" t="str">
        <f>"9780329706531"</f>
        <v>9780329706531</v>
      </c>
      <c r="H2513" s="1">
        <v>0.0</v>
      </c>
      <c r="I2513" s="1">
        <v>3.9</v>
      </c>
      <c r="K2513" s="1" t="s">
        <v>37</v>
      </c>
      <c r="L2513" s="1">
        <v>0.0</v>
      </c>
      <c r="M2513" s="1">
        <v>2013.0</v>
      </c>
      <c r="N2513" s="1">
        <v>1606.0</v>
      </c>
      <c r="P2513" s="2">
        <v>45113.0</v>
      </c>
      <c r="Q2513" s="1" t="s">
        <v>1149</v>
      </c>
      <c r="R2513" s="1" t="s">
        <v>10868</v>
      </c>
      <c r="S2513" s="1" t="s">
        <v>32</v>
      </c>
      <c r="W2513" s="1">
        <v>0.0</v>
      </c>
      <c r="X2513" s="1">
        <v>1.0</v>
      </c>
    </row>
    <row r="2514" spans="1:24" ht="15.75" customHeight="1">
      <c r="A2514" s="1">
        <v>670089.0</v>
      </c>
      <c r="B2514" s="1" t="s">
        <v>10869</v>
      </c>
      <c r="C2514" s="1" t="s">
        <v>10870</v>
      </c>
      <c r="D2514" s="1" t="s">
        <v>10871</v>
      </c>
      <c r="E2514" s="1" t="s">
        <v>10872</v>
      </c>
      <c r="F2514" s="1" t="str">
        <f>"0767900464"</f>
        <v>0767900464</v>
      </c>
      <c r="G2514" s="1" t="str">
        <f>"9780767900461"</f>
        <v>9780767900461</v>
      </c>
      <c r="H2514" s="1">
        <v>0.0</v>
      </c>
      <c r="I2514" s="1">
        <v>3.89</v>
      </c>
      <c r="J2514" s="1" t="s">
        <v>5356</v>
      </c>
      <c r="K2514" s="1" t="s">
        <v>44</v>
      </c>
      <c r="L2514" s="1">
        <v>400.0</v>
      </c>
      <c r="M2514" s="1">
        <v>1997.0</v>
      </c>
      <c r="N2514" s="1">
        <v>1996.0</v>
      </c>
      <c r="P2514" s="2">
        <v>44107.0</v>
      </c>
      <c r="Q2514" s="1" t="s">
        <v>32</v>
      </c>
      <c r="R2514" s="1" t="s">
        <v>10873</v>
      </c>
      <c r="S2514" s="1" t="s">
        <v>32</v>
      </c>
      <c r="W2514" s="1">
        <v>0.0</v>
      </c>
      <c r="X2514" s="1">
        <v>0.0</v>
      </c>
    </row>
    <row r="2515" spans="1:24" ht="15.75" customHeight="1">
      <c r="A2515" s="1">
        <v>249042.0</v>
      </c>
      <c r="B2515" s="1" t="s">
        <v>10874</v>
      </c>
      <c r="C2515" s="1" t="s">
        <v>10875</v>
      </c>
      <c r="D2515" s="1" t="s">
        <v>10876</v>
      </c>
      <c r="F2515" s="1" t="str">
        <f>"0679736395"</f>
        <v>0679736395</v>
      </c>
      <c r="G2515" s="1" t="str">
        <f>"9780679736394"</f>
        <v>9780679736394</v>
      </c>
      <c r="H2515" s="1">
        <v>0.0</v>
      </c>
      <c r="I2515" s="1">
        <v>3.99</v>
      </c>
      <c r="J2515" s="1" t="s">
        <v>69</v>
      </c>
      <c r="K2515" s="1" t="s">
        <v>44</v>
      </c>
      <c r="L2515" s="1">
        <v>84.0</v>
      </c>
      <c r="M2515" s="1">
        <v>1992.0</v>
      </c>
      <c r="N2515" s="1">
        <v>1990.0</v>
      </c>
      <c r="P2515" s="2">
        <v>45129.0</v>
      </c>
      <c r="Q2515" s="1" t="s">
        <v>32</v>
      </c>
      <c r="R2515" s="1" t="s">
        <v>10877</v>
      </c>
      <c r="S2515" s="1" t="s">
        <v>32</v>
      </c>
      <c r="W2515" s="1">
        <v>0.0</v>
      </c>
      <c r="X2515" s="1">
        <v>0.0</v>
      </c>
    </row>
    <row r="2516" spans="1:24" ht="15.75" customHeight="1">
      <c r="A2516" s="1">
        <v>1.0473365E7</v>
      </c>
      <c r="B2516" s="1" t="s">
        <v>10878</v>
      </c>
      <c r="C2516" s="1" t="s">
        <v>10879</v>
      </c>
      <c r="D2516" s="1" t="s">
        <v>10880</v>
      </c>
      <c r="F2516" s="1" t="str">
        <f>"1608195198"</f>
        <v>1608195198</v>
      </c>
      <c r="G2516" s="1" t="str">
        <f>"9781608195190"</f>
        <v>9781608195190</v>
      </c>
      <c r="H2516" s="1">
        <v>0.0</v>
      </c>
      <c r="I2516" s="1">
        <v>3.5</v>
      </c>
      <c r="J2516" s="1" t="s">
        <v>2489</v>
      </c>
      <c r="K2516" s="1" t="s">
        <v>37</v>
      </c>
      <c r="L2516" s="1">
        <v>256.0</v>
      </c>
      <c r="M2516" s="1">
        <v>2011.0</v>
      </c>
      <c r="N2516" s="1">
        <v>2011.0</v>
      </c>
      <c r="P2516" s="2">
        <v>44242.0</v>
      </c>
      <c r="Q2516" s="1" t="s">
        <v>5993</v>
      </c>
      <c r="R2516" s="1" t="s">
        <v>10881</v>
      </c>
      <c r="S2516" s="1" t="s">
        <v>32</v>
      </c>
      <c r="W2516" s="1">
        <v>0.0</v>
      </c>
      <c r="X2516" s="1">
        <v>0.0</v>
      </c>
    </row>
    <row r="2517" spans="1:24" ht="15.75" customHeight="1">
      <c r="A2517" s="1">
        <v>585474.0</v>
      </c>
      <c r="B2517" s="1" t="s">
        <v>10882</v>
      </c>
      <c r="C2517" s="1" t="s">
        <v>10883</v>
      </c>
      <c r="D2517" s="1" t="s">
        <v>10884</v>
      </c>
      <c r="F2517" s="1" t="str">
        <f>"0062720406"</f>
        <v>0062720406</v>
      </c>
      <c r="G2517" s="1" t="str">
        <f>"9780062720405"</f>
        <v>9780062720405</v>
      </c>
      <c r="H2517" s="1">
        <v>0.0</v>
      </c>
      <c r="I2517" s="1">
        <v>3.88</v>
      </c>
      <c r="J2517" s="1" t="s">
        <v>917</v>
      </c>
      <c r="K2517" s="1" t="s">
        <v>44</v>
      </c>
      <c r="L2517" s="1">
        <v>272.0</v>
      </c>
      <c r="M2517" s="1">
        <v>1993.0</v>
      </c>
      <c r="N2517" s="1">
        <v>1988.0</v>
      </c>
      <c r="P2517" s="2">
        <v>43921.0</v>
      </c>
      <c r="Q2517" s="1" t="s">
        <v>55</v>
      </c>
      <c r="R2517" s="1" t="s">
        <v>10885</v>
      </c>
      <c r="S2517" s="1" t="s">
        <v>32</v>
      </c>
      <c r="W2517" s="1">
        <v>0.0</v>
      </c>
      <c r="X2517" s="1">
        <v>0.0</v>
      </c>
    </row>
    <row r="2518" spans="1:24" ht="15.75" customHeight="1">
      <c r="A2518" s="1">
        <v>53343.0</v>
      </c>
      <c r="B2518" s="1" t="s">
        <v>10886</v>
      </c>
      <c r="C2518" s="1" t="s">
        <v>10883</v>
      </c>
      <c r="D2518" s="1" t="s">
        <v>10884</v>
      </c>
      <c r="F2518" s="1" t="str">
        <f>"0060891548"</f>
        <v>0060891548</v>
      </c>
      <c r="G2518" s="1" t="str">
        <f>"9780060891541"</f>
        <v>9780060891541</v>
      </c>
      <c r="H2518" s="1">
        <v>0.0</v>
      </c>
      <c r="I2518" s="1">
        <v>4.24</v>
      </c>
      <c r="J2518" s="1" t="s">
        <v>917</v>
      </c>
      <c r="K2518" s="1" t="s">
        <v>44</v>
      </c>
      <c r="L2518" s="1">
        <v>321.0</v>
      </c>
      <c r="M2518" s="1">
        <v>2006.0</v>
      </c>
      <c r="N2518" s="1">
        <v>1976.0</v>
      </c>
      <c r="P2518" s="2">
        <v>43921.0</v>
      </c>
      <c r="Q2518" s="1" t="s">
        <v>32</v>
      </c>
      <c r="R2518" s="1" t="s">
        <v>10887</v>
      </c>
      <c r="S2518" s="1" t="s">
        <v>32</v>
      </c>
      <c r="W2518" s="1">
        <v>0.0</v>
      </c>
      <c r="X2518" s="1">
        <v>0.0</v>
      </c>
    </row>
    <row r="2519" spans="1:24" ht="15.75" customHeight="1">
      <c r="A2519" s="1">
        <v>90018.0</v>
      </c>
      <c r="B2519" s="1" t="s">
        <v>10888</v>
      </c>
      <c r="C2519" s="1" t="s">
        <v>10889</v>
      </c>
      <c r="D2519" s="1" t="s">
        <v>10890</v>
      </c>
      <c r="E2519" s="1" t="s">
        <v>10891</v>
      </c>
      <c r="F2519" s="1" t="str">
        <f>"1590301994"</f>
        <v>1590301994</v>
      </c>
      <c r="G2519" s="1" t="str">
        <f>"9781590301999"</f>
        <v>9781590301999</v>
      </c>
      <c r="H2519" s="1">
        <v>0.0</v>
      </c>
      <c r="I2519" s="1">
        <v>4.19</v>
      </c>
      <c r="J2519" s="1" t="s">
        <v>10892</v>
      </c>
      <c r="K2519" s="1" t="s">
        <v>44</v>
      </c>
      <c r="L2519" s="1">
        <v>880.0</v>
      </c>
      <c r="M2519" s="1">
        <v>2006.0</v>
      </c>
      <c r="N2519" s="1">
        <v>2003.0</v>
      </c>
      <c r="P2519" s="2">
        <v>45070.0</v>
      </c>
      <c r="Q2519" s="1" t="s">
        <v>32</v>
      </c>
      <c r="R2519" s="1" t="s">
        <v>10893</v>
      </c>
      <c r="S2519" s="1" t="s">
        <v>32</v>
      </c>
      <c r="W2519" s="1">
        <v>0.0</v>
      </c>
      <c r="X2519" s="1">
        <v>0.0</v>
      </c>
    </row>
    <row r="2520" spans="1:24" ht="15.75" customHeight="1">
      <c r="A2520" s="1">
        <v>1.25076611E8</v>
      </c>
      <c r="B2520" s="1" t="s">
        <v>10894</v>
      </c>
      <c r="C2520" s="1" t="s">
        <v>10895</v>
      </c>
      <c r="D2520" s="1" t="s">
        <v>10896</v>
      </c>
      <c r="F2520" s="1" t="str">
        <f>"0593297466"</f>
        <v>0593297466</v>
      </c>
      <c r="G2520" s="1" t="str">
        <f>"9780593297469"</f>
        <v>9780593297469</v>
      </c>
      <c r="H2520" s="1">
        <v>0.0</v>
      </c>
      <c r="I2520" s="1">
        <v>3.93</v>
      </c>
      <c r="J2520" s="1" t="s">
        <v>54</v>
      </c>
      <c r="K2520" s="1" t="s">
        <v>44</v>
      </c>
      <c r="L2520" s="1">
        <v>399.0</v>
      </c>
      <c r="M2520" s="1">
        <v>2023.0</v>
      </c>
      <c r="N2520" s="1">
        <v>2020.0</v>
      </c>
      <c r="P2520" s="2">
        <v>45312.0</v>
      </c>
      <c r="Q2520" s="1" t="s">
        <v>55</v>
      </c>
      <c r="R2520" s="1" t="s">
        <v>10897</v>
      </c>
      <c r="S2520" s="1" t="s">
        <v>32</v>
      </c>
      <c r="W2520" s="1">
        <v>0.0</v>
      </c>
      <c r="X2520" s="1">
        <v>0.0</v>
      </c>
    </row>
    <row r="2521" spans="1:24" ht="15.75" customHeight="1">
      <c r="A2521" s="1">
        <v>4.909979E7</v>
      </c>
      <c r="B2521" s="1" t="s">
        <v>10898</v>
      </c>
      <c r="C2521" s="1" t="s">
        <v>10895</v>
      </c>
      <c r="D2521" s="1" t="s">
        <v>10896</v>
      </c>
      <c r="F2521" s="1" t="str">
        <f>"0525559663"</f>
        <v>0525559663</v>
      </c>
      <c r="G2521" s="1" t="str">
        <f>"9780525559665"</f>
        <v>9780525559665</v>
      </c>
      <c r="H2521" s="1">
        <v>0.0</v>
      </c>
      <c r="I2521" s="1">
        <v>3.91</v>
      </c>
      <c r="J2521" s="1" t="s">
        <v>54</v>
      </c>
      <c r="K2521" s="1" t="s">
        <v>37</v>
      </c>
      <c r="L2521" s="1">
        <v>432.0</v>
      </c>
      <c r="M2521" s="1">
        <v>2020.0</v>
      </c>
      <c r="N2521" s="1">
        <v>2018.0</v>
      </c>
      <c r="P2521" s="2">
        <v>44258.0</v>
      </c>
      <c r="Q2521" s="1" t="s">
        <v>32</v>
      </c>
      <c r="R2521" s="1" t="s">
        <v>10899</v>
      </c>
      <c r="S2521" s="1" t="s">
        <v>32</v>
      </c>
      <c r="W2521" s="1">
        <v>0.0</v>
      </c>
      <c r="X2521" s="1">
        <v>0.0</v>
      </c>
    </row>
    <row r="2522" spans="1:24" ht="15.75" customHeight="1">
      <c r="A2522" s="1">
        <v>1.8406708E7</v>
      </c>
      <c r="B2522" s="1" t="s">
        <v>10900</v>
      </c>
      <c r="C2522" s="1" t="s">
        <v>10901</v>
      </c>
      <c r="D2522" s="1" t="s">
        <v>10902</v>
      </c>
      <c r="E2522" s="1" t="s">
        <v>10903</v>
      </c>
      <c r="F2522" s="1" t="str">
        <f>"193188336X"</f>
        <v>193188336X</v>
      </c>
      <c r="G2522" s="1" t="str">
        <f>"9781931883368"</f>
        <v>9781931883368</v>
      </c>
      <c r="H2522" s="1">
        <v>2.0</v>
      </c>
      <c r="I2522" s="1">
        <v>3.35</v>
      </c>
      <c r="J2522" s="1" t="s">
        <v>1440</v>
      </c>
      <c r="K2522" s="1" t="s">
        <v>44</v>
      </c>
      <c r="L2522" s="1">
        <v>176.0</v>
      </c>
      <c r="M2522" s="1">
        <v>2014.0</v>
      </c>
      <c r="N2522" s="1">
        <v>2008.0</v>
      </c>
      <c r="P2522" s="2">
        <v>41951.0</v>
      </c>
      <c r="Q2522" s="1" t="s">
        <v>594</v>
      </c>
      <c r="R2522" s="1" t="s">
        <v>10904</v>
      </c>
      <c r="S2522" s="1" t="s">
        <v>271</v>
      </c>
      <c r="W2522" s="1">
        <v>1.0</v>
      </c>
      <c r="X2522" s="1">
        <v>1.0</v>
      </c>
    </row>
    <row r="2523" spans="1:24" ht="15.75" customHeight="1">
      <c r="A2523" s="1">
        <v>5.331751E7</v>
      </c>
      <c r="B2523" s="1" t="s">
        <v>10905</v>
      </c>
      <c r="C2523" s="1" t="s">
        <v>10906</v>
      </c>
      <c r="D2523" s="1" t="s">
        <v>10907</v>
      </c>
      <c r="E2523" s="1" t="s">
        <v>10908</v>
      </c>
      <c r="F2523" s="1" t="str">
        <f>"0374293139"</f>
        <v>0374293139</v>
      </c>
      <c r="G2523" s="1" t="str">
        <f>"9780374293130"</f>
        <v>9780374293130</v>
      </c>
      <c r="H2523" s="1">
        <v>0.0</v>
      </c>
      <c r="I2523" s="1">
        <v>4.0</v>
      </c>
      <c r="J2523" s="1" t="s">
        <v>438</v>
      </c>
      <c r="K2523" s="1" t="s">
        <v>37</v>
      </c>
      <c r="L2523" s="1">
        <v>768.0</v>
      </c>
      <c r="M2523" s="1">
        <v>2021.0</v>
      </c>
      <c r="N2523" s="1">
        <v>2021.0</v>
      </c>
      <c r="P2523" s="2">
        <v>45168.0</v>
      </c>
      <c r="Q2523" s="1" t="s">
        <v>32</v>
      </c>
      <c r="R2523" s="1" t="s">
        <v>10909</v>
      </c>
      <c r="S2523" s="1" t="s">
        <v>32</v>
      </c>
      <c r="W2523" s="1">
        <v>0.0</v>
      </c>
      <c r="X2523" s="1">
        <v>0.0</v>
      </c>
    </row>
    <row r="2524" spans="1:24" ht="15.75" customHeight="1">
      <c r="A2524" s="1">
        <v>3.6992441E7</v>
      </c>
      <c r="B2524" s="1" t="s">
        <v>10910</v>
      </c>
      <c r="C2524" s="1" t="s">
        <v>10911</v>
      </c>
      <c r="D2524" s="1" t="s">
        <v>10912</v>
      </c>
      <c r="E2524" s="1" t="s">
        <v>10913</v>
      </c>
      <c r="F2524" s="1" t="str">
        <f t="shared" si="193" ref="F2524:G2524">""</f>
        <v/>
      </c>
      <c r="G2524" s="1" t="str">
        <f t="shared" si="193"/>
        <v/>
      </c>
      <c r="H2524" s="1">
        <v>0.0</v>
      </c>
      <c r="I2524" s="1">
        <v>4.12</v>
      </c>
      <c r="J2524" s="1" t="s">
        <v>9107</v>
      </c>
      <c r="K2524" s="1" t="s">
        <v>37</v>
      </c>
      <c r="L2524" s="1">
        <v>288.0</v>
      </c>
      <c r="M2524" s="1">
        <v>2018.0</v>
      </c>
      <c r="N2524" s="1">
        <v>2013.0</v>
      </c>
      <c r="P2524" s="2">
        <v>45163.0</v>
      </c>
      <c r="Q2524" s="1" t="s">
        <v>32</v>
      </c>
      <c r="R2524" s="1" t="s">
        <v>10914</v>
      </c>
      <c r="S2524" s="1" t="s">
        <v>32</v>
      </c>
      <c r="W2524" s="1">
        <v>0.0</v>
      </c>
      <c r="X2524" s="1">
        <v>0.0</v>
      </c>
    </row>
    <row r="2525" spans="1:24" ht="15.75" customHeight="1">
      <c r="A2525" s="1">
        <v>4214.0</v>
      </c>
      <c r="B2525" s="1" t="s">
        <v>10915</v>
      </c>
      <c r="C2525" s="1" t="s">
        <v>10916</v>
      </c>
      <c r="D2525" s="1" t="s">
        <v>10917</v>
      </c>
      <c r="F2525" s="1" t="str">
        <f>"0770430074"</f>
        <v>0770430074</v>
      </c>
      <c r="G2525" s="1" t="str">
        <f>"9780770430078"</f>
        <v>9780770430078</v>
      </c>
      <c r="H2525" s="1">
        <v>0.0</v>
      </c>
      <c r="I2525" s="1">
        <v>3.94</v>
      </c>
      <c r="J2525" s="1" t="s">
        <v>10918</v>
      </c>
      <c r="K2525" s="1" t="s">
        <v>44</v>
      </c>
      <c r="L2525" s="1">
        <v>460.0</v>
      </c>
      <c r="M2525" s="1">
        <v>2006.0</v>
      </c>
      <c r="N2525" s="1">
        <v>2001.0</v>
      </c>
      <c r="P2525" s="2">
        <v>45111.0</v>
      </c>
      <c r="Q2525" s="1" t="s">
        <v>261</v>
      </c>
      <c r="R2525" s="1" t="s">
        <v>10919</v>
      </c>
      <c r="S2525" s="1" t="s">
        <v>32</v>
      </c>
      <c r="W2525" s="1">
        <v>0.0</v>
      </c>
      <c r="X2525" s="1">
        <v>0.0</v>
      </c>
    </row>
    <row r="2526" spans="1:24" ht="15.75" customHeight="1">
      <c r="A2526" s="1">
        <v>3.1682981E7</v>
      </c>
      <c r="B2526" s="1" t="s">
        <v>10920</v>
      </c>
      <c r="C2526" s="1" t="s">
        <v>10921</v>
      </c>
      <c r="D2526" s="1" t="s">
        <v>10922</v>
      </c>
      <c r="F2526" s="1" t="str">
        <f>"208139409X"</f>
        <v>208139409X</v>
      </c>
      <c r="G2526" s="1" t="str">
        <f>"9782081375994"</f>
        <v>9782081375994</v>
      </c>
      <c r="H2526" s="1">
        <v>0.0</v>
      </c>
      <c r="I2526" s="1">
        <v>3.4</v>
      </c>
      <c r="J2526" s="1" t="s">
        <v>10923</v>
      </c>
      <c r="K2526" s="1" t="s">
        <v>44</v>
      </c>
      <c r="L2526" s="1">
        <v>219.0</v>
      </c>
      <c r="M2526" s="1">
        <v>2016.0</v>
      </c>
      <c r="N2526" s="1">
        <v>2016.0</v>
      </c>
      <c r="P2526" s="2">
        <v>43332.0</v>
      </c>
      <c r="Q2526" s="1" t="s">
        <v>32</v>
      </c>
      <c r="R2526" s="1" t="s">
        <v>10924</v>
      </c>
      <c r="S2526" s="1" t="s">
        <v>32</v>
      </c>
      <c r="W2526" s="1">
        <v>0.0</v>
      </c>
      <c r="X2526" s="1">
        <v>0.0</v>
      </c>
    </row>
    <row r="2527" spans="1:24" ht="15.75" customHeight="1">
      <c r="A2527" s="1">
        <v>5.3401989E7</v>
      </c>
      <c r="B2527" s="1" t="s">
        <v>10925</v>
      </c>
      <c r="C2527" s="1" t="s">
        <v>10926</v>
      </c>
      <c r="D2527" s="1" t="s">
        <v>10927</v>
      </c>
      <c r="E2527" s="1" t="s">
        <v>10928</v>
      </c>
      <c r="F2527" s="1" t="str">
        <f>"1632062712"</f>
        <v>1632062712</v>
      </c>
      <c r="G2527" s="1" t="str">
        <f>"9781632062710"</f>
        <v>9781632062710</v>
      </c>
      <c r="H2527" s="1">
        <v>0.0</v>
      </c>
      <c r="I2527" s="1">
        <v>4.06</v>
      </c>
      <c r="J2527" s="1" t="s">
        <v>701</v>
      </c>
      <c r="K2527" s="1" t="s">
        <v>37</v>
      </c>
      <c r="L2527" s="1">
        <v>176.0</v>
      </c>
      <c r="M2527" s="1">
        <v>2020.0</v>
      </c>
      <c r="N2527" s="1">
        <v>2017.0</v>
      </c>
      <c r="P2527" s="3">
        <v>44155.0</v>
      </c>
      <c r="Q2527" s="1" t="s">
        <v>32</v>
      </c>
      <c r="R2527" s="1" t="s">
        <v>10929</v>
      </c>
      <c r="S2527" s="1" t="s">
        <v>32</v>
      </c>
      <c r="W2527" s="1">
        <v>0.0</v>
      </c>
      <c r="X2527" s="1">
        <v>0.0</v>
      </c>
    </row>
    <row r="2528" spans="1:24" ht="15.75" customHeight="1">
      <c r="A2528" s="1">
        <v>3.228404E7</v>
      </c>
      <c r="B2528" s="1" t="s">
        <v>10930</v>
      </c>
      <c r="C2528" s="1" t="s">
        <v>10931</v>
      </c>
      <c r="D2528" s="1" t="s">
        <v>10932</v>
      </c>
      <c r="F2528" s="1" t="str">
        <f>"0738752282"</f>
        <v>0738752282</v>
      </c>
      <c r="G2528" s="1" t="str">
        <f>"9780738752280"</f>
        <v>9780738752280</v>
      </c>
      <c r="H2528" s="1">
        <v>0.0</v>
      </c>
      <c r="I2528" s="1">
        <v>4.38</v>
      </c>
      <c r="J2528" s="1" t="s">
        <v>1267</v>
      </c>
      <c r="K2528" s="1" t="s">
        <v>44</v>
      </c>
      <c r="L2528" s="1">
        <v>384.0</v>
      </c>
      <c r="M2528" s="1">
        <v>2017.0</v>
      </c>
      <c r="N2528" s="1">
        <v>2013.0</v>
      </c>
      <c r="P2528" s="2">
        <v>44790.0</v>
      </c>
      <c r="Q2528" s="1" t="s">
        <v>935</v>
      </c>
      <c r="R2528" s="1" t="s">
        <v>10933</v>
      </c>
      <c r="S2528" s="1" t="s">
        <v>32</v>
      </c>
      <c r="W2528" s="1">
        <v>0.0</v>
      </c>
      <c r="X2528" s="1">
        <v>0.0</v>
      </c>
    </row>
    <row r="2529" spans="1:24" ht="15.75" customHeight="1">
      <c r="A2529" s="1">
        <v>6713015.0</v>
      </c>
      <c r="B2529" s="1" t="s">
        <v>10934</v>
      </c>
      <c r="C2529" s="1" t="s">
        <v>10935</v>
      </c>
      <c r="D2529" s="1" t="s">
        <v>10936</v>
      </c>
      <c r="E2529" s="1" t="s">
        <v>10937</v>
      </c>
      <c r="F2529" s="1" t="str">
        <f>"0312425244"</f>
        <v>0312425244</v>
      </c>
      <c r="G2529" s="1" t="str">
        <f>"9780312425241"</f>
        <v>9780312425241</v>
      </c>
      <c r="H2529" s="1">
        <v>0.0</v>
      </c>
      <c r="I2529" s="1">
        <v>3.32</v>
      </c>
      <c r="J2529" s="1" t="s">
        <v>1006</v>
      </c>
      <c r="K2529" s="1" t="s">
        <v>44</v>
      </c>
      <c r="L2529" s="1">
        <v>164.0</v>
      </c>
      <c r="M2529" s="1">
        <v>2010.0</v>
      </c>
      <c r="N2529" s="1">
        <v>1996.0</v>
      </c>
      <c r="P2529" s="2">
        <v>44340.0</v>
      </c>
      <c r="Q2529" s="1" t="s">
        <v>32</v>
      </c>
      <c r="R2529" s="1" t="s">
        <v>10938</v>
      </c>
      <c r="S2529" s="1" t="s">
        <v>32</v>
      </c>
      <c r="W2529" s="1">
        <v>0.0</v>
      </c>
      <c r="X2529" s="1">
        <v>0.0</v>
      </c>
    </row>
    <row r="2530" spans="1:24" ht="15.75" customHeight="1">
      <c r="A2530" s="1">
        <v>2.8010264E7</v>
      </c>
      <c r="B2530" s="1" t="s">
        <v>10939</v>
      </c>
      <c r="C2530" s="1" t="s">
        <v>10940</v>
      </c>
      <c r="D2530" s="1" t="s">
        <v>10941</v>
      </c>
      <c r="E2530" s="1" t="s">
        <v>10942</v>
      </c>
      <c r="F2530" s="1" t="str">
        <f>"1632060922"</f>
        <v>1632060922</v>
      </c>
      <c r="G2530" s="1" t="str">
        <f>"9781632060921"</f>
        <v>9781632060921</v>
      </c>
      <c r="H2530" s="1">
        <v>0.0</v>
      </c>
      <c r="I2530" s="1">
        <v>3.56</v>
      </c>
      <c r="J2530" s="1" t="s">
        <v>701</v>
      </c>
      <c r="K2530" s="1" t="s">
        <v>37</v>
      </c>
      <c r="L2530" s="1">
        <v>222.0</v>
      </c>
      <c r="M2530" s="1">
        <v>2016.0</v>
      </c>
      <c r="N2530" s="1">
        <v>2007.0</v>
      </c>
      <c r="P2530" s="2">
        <v>42883.0</v>
      </c>
      <c r="Q2530" s="1" t="s">
        <v>32</v>
      </c>
      <c r="R2530" s="1" t="s">
        <v>10943</v>
      </c>
      <c r="S2530" s="1" t="s">
        <v>32</v>
      </c>
      <c r="W2530" s="1">
        <v>0.0</v>
      </c>
      <c r="X2530" s="1">
        <v>0.0</v>
      </c>
    </row>
    <row r="2531" spans="1:24" ht="15.75" customHeight="1">
      <c r="A2531" s="1">
        <v>4.3398196E7</v>
      </c>
      <c r="B2531" s="1" t="s">
        <v>10944</v>
      </c>
      <c r="C2531" s="1" t="s">
        <v>10945</v>
      </c>
      <c r="D2531" s="1" t="s">
        <v>10946</v>
      </c>
      <c r="E2531" s="1" t="s">
        <v>10947</v>
      </c>
      <c r="F2531" s="1" t="str">
        <f>"1911284169"</f>
        <v>1911284169</v>
      </c>
      <c r="G2531" s="1" t="str">
        <f>"9781911284161"</f>
        <v>9781911284161</v>
      </c>
      <c r="H2531" s="1">
        <v>0.0</v>
      </c>
      <c r="I2531" s="1">
        <v>3.48</v>
      </c>
      <c r="J2531" s="1" t="s">
        <v>10948</v>
      </c>
      <c r="K2531" s="1" t="s">
        <v>44</v>
      </c>
      <c r="L2531" s="1">
        <v>168.0</v>
      </c>
      <c r="M2531" s="1">
        <v>2019.0</v>
      </c>
      <c r="N2531" s="1">
        <v>2014.0</v>
      </c>
      <c r="P2531" s="2">
        <v>43934.0</v>
      </c>
      <c r="Q2531" s="1" t="s">
        <v>32</v>
      </c>
      <c r="R2531" s="1" t="s">
        <v>10949</v>
      </c>
      <c r="S2531" s="1" t="s">
        <v>32</v>
      </c>
      <c r="W2531" s="1">
        <v>0.0</v>
      </c>
      <c r="X2531" s="1">
        <v>0.0</v>
      </c>
    </row>
    <row r="2532" spans="1:24" ht="15.75" customHeight="1">
      <c r="A2532" s="1">
        <v>62794.0</v>
      </c>
      <c r="B2532" s="1" t="s">
        <v>10950</v>
      </c>
      <c r="C2532" s="1" t="s">
        <v>10951</v>
      </c>
      <c r="D2532" s="1" t="s">
        <v>10952</v>
      </c>
      <c r="E2532" s="1" t="s">
        <v>10953</v>
      </c>
      <c r="F2532" s="1" t="str">
        <f>"0720610311"</f>
        <v>0720610311</v>
      </c>
      <c r="G2532" s="1" t="str">
        <f>"9780720610314"</f>
        <v>9780720610314</v>
      </c>
      <c r="H2532" s="1">
        <v>0.0</v>
      </c>
      <c r="I2532" s="1">
        <v>3.95</v>
      </c>
      <c r="J2532" s="1" t="s">
        <v>4952</v>
      </c>
      <c r="K2532" s="1" t="s">
        <v>44</v>
      </c>
      <c r="L2532" s="1">
        <v>224.0</v>
      </c>
      <c r="M2532" s="1">
        <v>1998.0</v>
      </c>
      <c r="N2532" s="1">
        <v>1949.0</v>
      </c>
      <c r="P2532" s="3">
        <v>45278.0</v>
      </c>
      <c r="Q2532" s="1" t="s">
        <v>145</v>
      </c>
      <c r="R2532" s="1" t="s">
        <v>10954</v>
      </c>
      <c r="S2532" s="1" t="s">
        <v>32</v>
      </c>
      <c r="W2532" s="1">
        <v>0.0</v>
      </c>
      <c r="X2532" s="1">
        <v>0.0</v>
      </c>
    </row>
    <row r="2533" spans="1:24" ht="15.75" customHeight="1">
      <c r="A2533" s="1">
        <v>5.7321632E7</v>
      </c>
      <c r="B2533" s="1" t="s">
        <v>10955</v>
      </c>
      <c r="C2533" s="1" t="s">
        <v>10956</v>
      </c>
      <c r="D2533" s="1" t="s">
        <v>10957</v>
      </c>
      <c r="E2533" s="1" t="s">
        <v>10958</v>
      </c>
      <c r="F2533" s="1" t="str">
        <f>"1681375974"</f>
        <v>1681375974</v>
      </c>
      <c r="G2533" s="1" t="str">
        <f>"9781681375977"</f>
        <v>9781681375977</v>
      </c>
      <c r="H2533" s="1">
        <v>0.0</v>
      </c>
      <c r="I2533" s="1">
        <v>3.86</v>
      </c>
      <c r="J2533" s="1" t="s">
        <v>823</v>
      </c>
      <c r="K2533" s="1" t="s">
        <v>44</v>
      </c>
      <c r="L2533" s="1">
        <v>275.0</v>
      </c>
      <c r="M2533" s="1">
        <v>2022.0</v>
      </c>
      <c r="N2533" s="1">
        <v>1980.0</v>
      </c>
      <c r="P2533" s="2">
        <v>45102.0</v>
      </c>
      <c r="Q2533" s="1" t="s">
        <v>32</v>
      </c>
      <c r="R2533" s="1" t="s">
        <v>10959</v>
      </c>
      <c r="S2533" s="1" t="s">
        <v>32</v>
      </c>
      <c r="W2533" s="1">
        <v>0.0</v>
      </c>
      <c r="X2533" s="1">
        <v>0.0</v>
      </c>
    </row>
    <row r="2534" spans="1:24" ht="15.75" customHeight="1">
      <c r="A2534" s="1">
        <v>6.0784737E7</v>
      </c>
      <c r="B2534" s="1" t="s">
        <v>10960</v>
      </c>
      <c r="C2534" s="1" t="s">
        <v>10961</v>
      </c>
      <c r="D2534" s="1" t="s">
        <v>10962</v>
      </c>
      <c r="E2534" s="1" t="s">
        <v>10963</v>
      </c>
      <c r="F2534" s="1" t="str">
        <f>"1644452235"</f>
        <v>1644452235</v>
      </c>
      <c r="G2534" s="1" t="str">
        <f>"9781644452233"</f>
        <v>9781644452233</v>
      </c>
      <c r="H2534" s="1">
        <v>0.0</v>
      </c>
      <c r="I2534" s="1">
        <v>3.55</v>
      </c>
      <c r="J2534" s="1" t="s">
        <v>337</v>
      </c>
      <c r="K2534" s="1" t="s">
        <v>44</v>
      </c>
      <c r="L2534" s="1">
        <v>112.0</v>
      </c>
      <c r="M2534" s="1">
        <v>2023.0</v>
      </c>
      <c r="N2534" s="1">
        <v>2019.0</v>
      </c>
      <c r="P2534" s="2">
        <v>45175.0</v>
      </c>
      <c r="Q2534" s="1" t="s">
        <v>7860</v>
      </c>
      <c r="R2534" s="1" t="s">
        <v>10964</v>
      </c>
      <c r="S2534" s="1" t="s">
        <v>32</v>
      </c>
      <c r="W2534" s="1">
        <v>0.0</v>
      </c>
      <c r="X2534" s="1">
        <v>0.0</v>
      </c>
    </row>
    <row r="2535" spans="1:24" ht="15.75" customHeight="1">
      <c r="A2535" s="1">
        <v>2.1535546E7</v>
      </c>
      <c r="B2535" s="1" t="s">
        <v>10965</v>
      </c>
      <c r="C2535" s="1" t="s">
        <v>10961</v>
      </c>
      <c r="D2535" s="1" t="s">
        <v>10962</v>
      </c>
      <c r="E2535" s="1" t="s">
        <v>10963</v>
      </c>
      <c r="F2535" s="1" t="str">
        <f>"1908276428"</f>
        <v>1908276428</v>
      </c>
      <c r="G2535" s="1" t="str">
        <f>"9781908276421"</f>
        <v>9781908276421</v>
      </c>
      <c r="H2535" s="1">
        <v>4.0</v>
      </c>
      <c r="I2535" s="1">
        <v>3.91</v>
      </c>
      <c r="J2535" s="1" t="s">
        <v>2598</v>
      </c>
      <c r="K2535" s="1" t="s">
        <v>44</v>
      </c>
      <c r="L2535" s="1">
        <v>114.0</v>
      </c>
      <c r="M2535" s="1">
        <v>2015.0</v>
      </c>
      <c r="N2535" s="1">
        <v>2009.0</v>
      </c>
      <c r="O2535" s="2">
        <v>43900.0</v>
      </c>
      <c r="P2535" s="2">
        <v>43901.0</v>
      </c>
      <c r="Q2535" s="1" t="s">
        <v>818</v>
      </c>
      <c r="R2535" s="1" t="s">
        <v>10966</v>
      </c>
      <c r="S2535" s="1" t="s">
        <v>32</v>
      </c>
      <c r="W2535" s="1">
        <v>1.0</v>
      </c>
      <c r="X2535" s="1">
        <v>1.0</v>
      </c>
    </row>
    <row r="2536" spans="1:24" ht="15.75" customHeight="1">
      <c r="A2536" s="1">
        <v>2814428.0</v>
      </c>
      <c r="B2536" s="1" t="s">
        <v>10967</v>
      </c>
      <c r="C2536" s="1" t="s">
        <v>10968</v>
      </c>
      <c r="D2536" s="1" t="s">
        <v>10969</v>
      </c>
      <c r="E2536" s="1" t="s">
        <v>10970</v>
      </c>
      <c r="F2536" s="1" t="str">
        <f>"0226144267"</f>
        <v>0226144267</v>
      </c>
      <c r="G2536" s="1" t="str">
        <f>"9780226144269"</f>
        <v>9780226144269</v>
      </c>
      <c r="H2536" s="1">
        <v>0.0</v>
      </c>
      <c r="I2536" s="1">
        <v>3.27</v>
      </c>
      <c r="J2536" s="1" t="s">
        <v>78</v>
      </c>
      <c r="K2536" s="1" t="s">
        <v>44</v>
      </c>
      <c r="L2536" s="1">
        <v>347.0</v>
      </c>
      <c r="M2536" s="1">
        <v>2002.0</v>
      </c>
      <c r="N2536" s="1">
        <v>2002.0</v>
      </c>
      <c r="P2536" s="3">
        <v>45270.0</v>
      </c>
      <c r="Q2536" s="1" t="s">
        <v>479</v>
      </c>
      <c r="R2536" s="1" t="s">
        <v>10971</v>
      </c>
      <c r="S2536" s="1" t="s">
        <v>32</v>
      </c>
      <c r="W2536" s="1">
        <v>0.0</v>
      </c>
      <c r="X2536" s="1">
        <v>0.0</v>
      </c>
    </row>
    <row r="2537" spans="1:24" ht="15.75" customHeight="1">
      <c r="A2537" s="1">
        <v>2199365.0</v>
      </c>
      <c r="B2537" s="1" t="s">
        <v>10972</v>
      </c>
      <c r="C2537" s="1" t="s">
        <v>10973</v>
      </c>
      <c r="D2537" s="1" t="s">
        <v>10974</v>
      </c>
      <c r="F2537" s="1" t="str">
        <f>"097888115X"</f>
        <v>097888115X</v>
      </c>
      <c r="G2537" s="1" t="str">
        <f>"9780978881153"</f>
        <v>9780978881153</v>
      </c>
      <c r="H2537" s="1">
        <v>0.0</v>
      </c>
      <c r="I2537" s="1">
        <v>3.92</v>
      </c>
      <c r="J2537" s="1" t="s">
        <v>10975</v>
      </c>
      <c r="K2537" s="1" t="s">
        <v>44</v>
      </c>
      <c r="L2537" s="1">
        <v>256.0</v>
      </c>
      <c r="M2537" s="1">
        <v>2008.0</v>
      </c>
      <c r="N2537" s="1">
        <v>2007.0</v>
      </c>
      <c r="P2537" s="2">
        <v>45112.0</v>
      </c>
      <c r="Q2537" s="1" t="s">
        <v>32</v>
      </c>
      <c r="R2537" s="1" t="s">
        <v>10976</v>
      </c>
      <c r="S2537" s="1" t="s">
        <v>32</v>
      </c>
      <c r="W2537" s="1">
        <v>0.0</v>
      </c>
      <c r="X2537" s="1">
        <v>0.0</v>
      </c>
    </row>
    <row r="2538" spans="1:24" ht="15.75" customHeight="1">
      <c r="A2538" s="1">
        <v>3711.0</v>
      </c>
      <c r="B2538" s="1" t="s">
        <v>10977</v>
      </c>
      <c r="C2538" s="1" t="s">
        <v>10978</v>
      </c>
      <c r="D2538" s="1" t="s">
        <v>10979</v>
      </c>
      <c r="F2538" s="1" t="str">
        <f>"0375703861"</f>
        <v>0375703861</v>
      </c>
      <c r="G2538" s="1" t="str">
        <f>"9780375703867"</f>
        <v>9780375703867</v>
      </c>
      <c r="H2538" s="1">
        <v>0.0</v>
      </c>
      <c r="I2538" s="1">
        <v>3.79</v>
      </c>
      <c r="J2538" s="1" t="s">
        <v>69</v>
      </c>
      <c r="K2538" s="1" t="s">
        <v>44</v>
      </c>
      <c r="L2538" s="1">
        <v>448.0</v>
      </c>
      <c r="M2538" s="1">
        <v>2001.0</v>
      </c>
      <c r="N2538" s="1">
        <v>2000.0</v>
      </c>
      <c r="P2538" s="2">
        <v>45152.0</v>
      </c>
      <c r="Q2538" s="1" t="s">
        <v>818</v>
      </c>
      <c r="R2538" s="1" t="s">
        <v>10980</v>
      </c>
      <c r="S2538" s="1" t="s">
        <v>32</v>
      </c>
      <c r="W2538" s="1">
        <v>0.0</v>
      </c>
      <c r="X2538" s="1">
        <v>1.0</v>
      </c>
    </row>
    <row r="2539" spans="1:24" ht="15.75" customHeight="1">
      <c r="A2539" s="1">
        <v>27194.0</v>
      </c>
      <c r="B2539" s="1" t="s">
        <v>10981</v>
      </c>
      <c r="C2539" s="1" t="s">
        <v>10982</v>
      </c>
      <c r="D2539" s="1" t="s">
        <v>10983</v>
      </c>
      <c r="E2539" s="1" t="s">
        <v>10984</v>
      </c>
      <c r="F2539" s="1" t="str">
        <f>"0977312798"</f>
        <v>0977312798</v>
      </c>
      <c r="G2539" s="1" t="str">
        <f>"9780977312795"</f>
        <v>9780977312795</v>
      </c>
      <c r="H2539" s="1">
        <v>0.0</v>
      </c>
      <c r="I2539" s="1">
        <v>4.09</v>
      </c>
      <c r="J2539" s="1" t="s">
        <v>3038</v>
      </c>
      <c r="K2539" s="1" t="s">
        <v>44</v>
      </c>
      <c r="L2539" s="1">
        <v>784.0</v>
      </c>
      <c r="M2539" s="1">
        <v>2006.0</v>
      </c>
      <c r="N2539" s="1">
        <v>2006.0</v>
      </c>
      <c r="P2539" s="2">
        <v>45175.0</v>
      </c>
      <c r="Q2539" s="1" t="s">
        <v>32</v>
      </c>
      <c r="R2539" s="1" t="s">
        <v>10985</v>
      </c>
      <c r="S2539" s="1" t="s">
        <v>32</v>
      </c>
      <c r="W2539" s="1">
        <v>0.0</v>
      </c>
      <c r="X2539" s="1">
        <v>0.0</v>
      </c>
    </row>
  </sheetData>
  <hyperlinks>
    <hyperlink ref="J1122" r:id="rId1" display="Olympiapress.com"/>
    <hyperlink ref="J1447" r:id="rId2" display="YogaVidya.com"/>
    <hyperlink ref="J1855" r:id="rId3" display="https://www.circleandtriangle.com"/>
  </hyperlinks>
  <pageMargins left="0.75" right="0.75" top="1" bottom="1" header="0" footer="0"/>
  <pageSetup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f88a21f2-3dba-4b73-9e8e-c05521de516c}">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f6964d8a-1e84-4e38-985a-6a4651393a91}">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608b78ca-9d33-4657-a7a0-8f2b958a19dc}">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7ae30d89-8d5b-46e8-a56d-6771cea49427}">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ed6a2822-430e-4f46-9359-ac4b17803ce4}">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371e4e86-93ed-48ef-a439-8b3019d13363}">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0da94100-2ce5-44f9-810b-8a7c29d4e27a}">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f9bf1c2f-b8f5-4eb4-b1b7-295f0d597913}">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fd8e96fa-ad7c-4826-82b5-b5c5b4f75ed6}">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b4312936-649a-4ad5-80cd-b9d20d1fed7f}">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2998fc66-23c1-485a-869f-d4b68bcb116b}">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fd70e401-f756-4e5a-aad8-9fcea253c7d8}">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b0e696dd-6bca-44be-908f-4473002f918d}">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548d36af-9da3-439c-85f2-cb80028f4180}">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f5e662c1-fe52-4d43-b2a2-fb3eb46c98bc}">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3034c9b1-dff5-4005-8d95-668d56d259da}">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835ca29e-6e2d-4f84-ac55-ab8e08da7d83}">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246271bb-1f7f-410a-acf6-e1b5b7e23ee7}">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bba3b109-7b10-4d98-a3d3-374031e3d9fa}">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74c34523-0e3c-4e81-a946-d91c95468ae1}">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f8b53d41-e387-468c-8fa5-14294e018bdf}">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a3194326-27af-400e-b481-f32ec9da0964}">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2921dcab-ca37-4f0c-9c8a-f5bfe07b3b66}">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20f352d2-f79c-49ed-ba38-34c9781e0462}">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5cf2543d-81ab-4b87-8ddf-5a22cd6c4caf}">
  <dimension ref="A5"/>
  <sheetViews>
    <sheetView workbookViewId="0" topLeftCell="A1"/>
  </sheetViews>
  <sheetFormatPr defaultRowHeight="12.75"/>
  <sheetData>
    <row r="5" spans="1:1" ht="23.25" customHeight="1">
      <c r="A5" s="138" t="s">
        <v>10986</v>
      </c>
    </row>
  </sheetData>
  <pageMargins left="0.75" right="0.75" top="1" bottom="1" header="0.5" footer="0.5"/>
  <pageSetup orientation="portrai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969c4e3c-5ea3-4b62-8272-30b040404ae4}">
  <dimension ref="A5"/>
  <sheetViews>
    <sheetView tabSelected="1" workbookViewId="0" topLeftCell="A1"/>
  </sheetViews>
  <sheetFormatPr defaultRowHeight="12.75"/>
  <sheetData>
    <row r="5" spans="1:1" ht="23.25" customHeight="1">
      <c r="A5" s="138" t="s">
        <v>10986</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a9abe91c-1467-4692-bce2-2e807ce32b21}">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260fe669-1956-4599-ba42-9ea193a52f09}">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9a4e8506-dece-400f-b267-31bd8f295101}">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4f07d626-93ae-45f2-9a00-b79833dfb075}">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85373d3a-d6bf-4228-abd3-5f88fdd3335d}">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f3dc0910-b66a-4ff6-8353-62344f6ac815}">
  <dimension ref="A5"/>
  <sheetViews>
    <sheetView workbookViewId="0" topLeftCell="A1"/>
  </sheetViews>
  <sheetFormatPr defaultColWidth="12.634285714285713" defaultRowHeight="15" customHeight="1"/>
  <cols>
    <col min="1" max="26" width="8.571428571428571" customWidth="1"/>
  </cols>
  <sheetData>
    <row r="1" ht="12.75" customHeight="1"/>
    <row r="2" ht="12.75" customHeight="1"/>
    <row r="3" ht="12.75" customHeight="1"/>
    <row r="4" ht="12.75" customHeight="1"/>
    <row r="5" spans="1:1" ht="23.25" customHeight="1">
      <c r="A5" s="137" t="s">
        <v>10986</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
  <AppVersion>14.0300</AppVersion>
  <DocSecurity>0</DocSecurity>
  <HeadingPairs>
    <vt:vector size="2" baseType="variant">
      <vt:variant>
        <vt:lpstr>Worksheets</vt:lpstr>
      </vt:variant>
      <vt:variant>
        <vt:i4>33</vt:i4>
      </vt:variant>
    </vt:vector>
  </HeadingPairs>
  <TitlesOfParts>
    <vt:vector size="33" baseType="lpstr">
      <vt:lpstr>GOODREADS_DATA</vt:lpstr>
      <vt:lpstr>Evaluation Warning</vt:lpstr>
      <vt:lpstr>Evaluation Warning (1)</vt:lpstr>
      <vt:lpstr>Evaluation Warning (2)</vt:lpstr>
      <vt:lpstr>Evaluation Warning (3)</vt:lpstr>
      <vt:lpstr>Evaluation Warning (4)</vt:lpstr>
      <vt:lpstr>Evaluation Warning (5)</vt:lpstr>
      <vt:lpstr>Evaluation Warning (6)</vt:lpstr>
      <vt:lpstr>Evaluation Warning (7)</vt:lpstr>
      <vt:lpstr>Evaluation Warning (8)</vt:lpstr>
      <vt:lpstr>Evaluation Warning (9)</vt:lpstr>
      <vt:lpstr>Evaluation Warning (10)</vt:lpstr>
      <vt:lpstr>Evaluation Warning (11)</vt:lpstr>
      <vt:lpstr>Evaluation Warning (12)</vt:lpstr>
      <vt:lpstr>Evaluation Warning (13)</vt:lpstr>
      <vt:lpstr>Evaluation Warning (14)</vt:lpstr>
      <vt:lpstr>Evaluation Warning (15)</vt:lpstr>
      <vt:lpstr>Evaluation Warning (16)</vt:lpstr>
      <vt:lpstr>Evaluation Warning (17)</vt:lpstr>
      <vt:lpstr>Evaluation Warning (18)</vt:lpstr>
      <vt:lpstr>Evaluation Warning (19)</vt:lpstr>
      <vt:lpstr>Evaluation Warning (20)</vt:lpstr>
      <vt:lpstr>Evaluation Warning (21)</vt:lpstr>
      <vt:lpstr>Evaluation Warning (22)</vt:lpstr>
      <vt:lpstr>Evaluation Warning (23)</vt:lpstr>
      <vt:lpstr>Evaluation Warning (24)</vt:lpstr>
      <vt:lpstr>Evaluation Warning (25)</vt:lpstr>
      <vt:lpstr>Evaluation Warning (26)</vt:lpstr>
      <vt:lpstr>Evaluation Warning (27)</vt:lpstr>
      <vt:lpstr>Evaluation Warning (28)</vt:lpstr>
      <vt:lpstr>Evaluation Warning (29)</vt:lpstr>
      <vt:lpstr>Evaluation Warning (30)</vt:lpstr>
      <vt:lpstr>Evaluation Warning (31)</vt:lpstr>
    </vt:vector>
  </TitlesOfParts>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