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ink/ink1.xml" ContentType="application/inkml+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ugus\OneDrive - Marquette University\Desktop\Equity Research\Pitch Ideas\Goosehead - 03.25.2022\Final\"/>
    </mc:Choice>
  </mc:AlternateContent>
  <xr:revisionPtr revIDLastSave="0" documentId="13_ncr:1_{888B6DA3-C952-40C9-9640-0DD5E10A68BF}" xr6:coauthVersionLast="47" xr6:coauthVersionMax="47" xr10:uidLastSave="{00000000-0000-0000-0000-000000000000}"/>
  <bookViews>
    <workbookView xWindow="-108" yWindow="-108" windowWidth="23256" windowHeight="12576" tabRatio="631" xr2:uid="{00E2C693-9403-4034-884E-B80D9566AC06}"/>
  </bookViews>
  <sheets>
    <sheet name="Summary" sheetId="7" r:id="rId1"/>
    <sheet name="DCF" sheetId="4" r:id="rId2"/>
    <sheet name="Wacc &amp; Beta" sheetId="9" r:id="rId3"/>
    <sheet name="Pro Forma" sheetId="2" r:id="rId4"/>
    <sheet name="Franchise Revenue" sheetId="5" r:id="rId5"/>
    <sheet name="Churn Analysis" sheetId="11" r:id="rId6"/>
    <sheet name="Peer Comp." sheetId="10" r:id="rId7"/>
    <sheet name="Tables" sheetId="13" r:id="rId8"/>
  </sheets>
  <definedNames>
    <definedName name="solver_adj" localSheetId="5" hidden="1">'Churn Analysis'!#REF!</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'Churn Analysis'!#REF!</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3</definedName>
    <definedName name="solver_val" localSheetId="5" hidden="1">213</definedName>
    <definedName name="solver_ver" localSheetId="5" hidden="1">3</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8" i="4" l="1"/>
  <c r="O29" i="4"/>
  <c r="Q87" i="2"/>
  <c r="AA94" i="2"/>
  <c r="AA91" i="2"/>
  <c r="AA82" i="2"/>
  <c r="P40" i="5"/>
  <c r="E42" i="5"/>
  <c r="E40" i="5"/>
  <c r="E36" i="5"/>
  <c r="I37" i="5"/>
  <c r="G36" i="5"/>
  <c r="F42" i="5"/>
  <c r="F40" i="5"/>
  <c r="X9" i="13"/>
  <c r="Q27" i="13"/>
  <c r="Q26" i="13"/>
  <c r="Q25" i="13"/>
  <c r="Q24" i="13"/>
  <c r="Q23" i="13"/>
  <c r="Q22" i="13"/>
  <c r="Q21" i="13"/>
  <c r="I9" i="7"/>
  <c r="I8" i="7"/>
  <c r="P70" i="10"/>
  <c r="K70" i="10"/>
  <c r="O70" i="10"/>
  <c r="N70" i="10"/>
  <c r="M70" i="10"/>
  <c r="L70" i="10"/>
  <c r="J70" i="10"/>
  <c r="T55" i="10"/>
  <c r="T61" i="10" s="1"/>
  <c r="T56" i="10" l="1"/>
  <c r="T57" i="10" s="1"/>
  <c r="K59" i="10"/>
  <c r="K47" i="10"/>
  <c r="K61" i="10" s="1"/>
  <c r="K41" i="10"/>
  <c r="K40" i="10"/>
  <c r="K39" i="10"/>
  <c r="K60" i="10" s="1"/>
  <c r="K32" i="10"/>
  <c r="K29" i="10"/>
  <c r="K34" i="10" s="1"/>
  <c r="K23" i="10"/>
  <c r="K22" i="10"/>
  <c r="K21" i="10"/>
  <c r="K57" i="10" s="1"/>
  <c r="K20" i="10"/>
  <c r="K19" i="10"/>
  <c r="K12" i="10"/>
  <c r="K11" i="10"/>
  <c r="K56" i="10" s="1"/>
  <c r="K10" i="10"/>
  <c r="K55" i="10" s="1"/>
  <c r="K9" i="10"/>
  <c r="K8" i="10"/>
  <c r="D13" i="11"/>
  <c r="R55" i="10"/>
  <c r="O103" i="2"/>
  <c r="J103" i="2"/>
  <c r="E103" i="2"/>
  <c r="D103" i="2"/>
  <c r="J89" i="2"/>
  <c r="J90" i="2"/>
  <c r="C4" i="9"/>
  <c r="C10" i="9" s="1"/>
  <c r="C5" i="9"/>
  <c r="P52" i="2"/>
  <c r="P51" i="2" s="1"/>
  <c r="R53" i="2"/>
  <c r="S53" i="2" s="1"/>
  <c r="T53" i="2" s="1"/>
  <c r="U53" i="2" s="1"/>
  <c r="V53" i="2" s="1"/>
  <c r="W53" i="2" s="1"/>
  <c r="X53" i="2" s="1"/>
  <c r="Y53" i="2" s="1"/>
  <c r="Q53" i="2"/>
  <c r="K25" i="10" l="1"/>
  <c r="K15" i="10"/>
  <c r="K43" i="10"/>
  <c r="T62" i="10"/>
  <c r="K58" i="10"/>
  <c r="K63" i="10" s="1"/>
  <c r="K52" i="10"/>
  <c r="S55" i="10"/>
  <c r="S56" i="10" s="1"/>
  <c r="R56" i="10"/>
  <c r="S40" i="5"/>
  <c r="F24" i="13"/>
  <c r="G24" i="13"/>
  <c r="J24" i="13"/>
  <c r="I24" i="13"/>
  <c r="E4" i="13"/>
  <c r="E16" i="13" s="1"/>
  <c r="B4" i="13"/>
  <c r="B16" i="13" s="1"/>
  <c r="O8" i="13"/>
  <c r="R245" i="2"/>
  <c r="S245" i="2" s="1"/>
  <c r="T245" i="2" s="1"/>
  <c r="U245" i="2" s="1"/>
  <c r="V245" i="2" s="1"/>
  <c r="W245" i="2" s="1"/>
  <c r="X245" i="2" s="1"/>
  <c r="Y245" i="2" s="1"/>
  <c r="O247" i="2"/>
  <c r="J247" i="2"/>
  <c r="E247" i="2"/>
  <c r="O246" i="2"/>
  <c r="J246" i="2"/>
  <c r="E246" i="2"/>
  <c r="O244" i="2"/>
  <c r="J244" i="2"/>
  <c r="E244" i="2"/>
  <c r="D247" i="2"/>
  <c r="D246" i="2"/>
  <c r="D244" i="2"/>
  <c r="C247" i="2"/>
  <c r="C246" i="2"/>
  <c r="C244" i="2"/>
  <c r="K24" i="7"/>
  <c r="O5" i="13" s="1"/>
  <c r="O7" i="13"/>
  <c r="O4" i="13"/>
  <c r="O2" i="13"/>
  <c r="P61" i="10"/>
  <c r="O61" i="10"/>
  <c r="J11" i="13" s="1"/>
  <c r="N61" i="10"/>
  <c r="I11" i="13" s="1"/>
  <c r="L61" i="10"/>
  <c r="H11" i="13" s="1"/>
  <c r="H61" i="10"/>
  <c r="G11" i="13" s="1"/>
  <c r="G61" i="10"/>
  <c r="H23" i="13" s="1"/>
  <c r="F61" i="10"/>
  <c r="E61" i="10"/>
  <c r="F11" i="13" s="1"/>
  <c r="D61" i="10"/>
  <c r="C61" i="10"/>
  <c r="E11" i="13" s="1"/>
  <c r="E23" i="13" s="1"/>
  <c r="P60" i="10"/>
  <c r="O60" i="10"/>
  <c r="J10" i="13" s="1"/>
  <c r="N60" i="10"/>
  <c r="I10" i="13" s="1"/>
  <c r="L60" i="10"/>
  <c r="H10" i="13" s="1"/>
  <c r="J60" i="10"/>
  <c r="H60" i="10"/>
  <c r="G10" i="13" s="1"/>
  <c r="G60" i="10"/>
  <c r="H22" i="13" s="1"/>
  <c r="F60" i="10"/>
  <c r="E60" i="10"/>
  <c r="F10" i="13" s="1"/>
  <c r="D60" i="10"/>
  <c r="C60" i="10"/>
  <c r="E10" i="13" s="1"/>
  <c r="E22" i="13" s="1"/>
  <c r="P59" i="10"/>
  <c r="O59" i="10"/>
  <c r="J9" i="13" s="1"/>
  <c r="N59" i="10"/>
  <c r="I9" i="13" s="1"/>
  <c r="L59" i="10"/>
  <c r="H9" i="13" s="1"/>
  <c r="J59" i="10"/>
  <c r="H59" i="10"/>
  <c r="G9" i="13" s="1"/>
  <c r="G59" i="10"/>
  <c r="H21" i="13" s="1"/>
  <c r="F59" i="10"/>
  <c r="E59" i="10"/>
  <c r="F9" i="13" s="1"/>
  <c r="D59" i="10"/>
  <c r="C59" i="10"/>
  <c r="E9" i="13" s="1"/>
  <c r="E21" i="13" s="1"/>
  <c r="P58" i="10"/>
  <c r="O58" i="10"/>
  <c r="J8" i="13" s="1"/>
  <c r="N58" i="10"/>
  <c r="I8" i="13" s="1"/>
  <c r="L58" i="10"/>
  <c r="H8" i="13" s="1"/>
  <c r="J58" i="10"/>
  <c r="H58" i="10"/>
  <c r="G8" i="13" s="1"/>
  <c r="G58" i="10"/>
  <c r="H20" i="13" s="1"/>
  <c r="F58" i="10"/>
  <c r="E58" i="10"/>
  <c r="F8" i="13" s="1"/>
  <c r="D58" i="10"/>
  <c r="C58" i="10"/>
  <c r="E8" i="13" s="1"/>
  <c r="E20" i="13" s="1"/>
  <c r="P57" i="10"/>
  <c r="O57" i="10"/>
  <c r="J7" i="13" s="1"/>
  <c r="N57" i="10"/>
  <c r="I7" i="13" s="1"/>
  <c r="L57" i="10"/>
  <c r="H7" i="13" s="1"/>
  <c r="J57" i="10"/>
  <c r="H57" i="10"/>
  <c r="G7" i="13" s="1"/>
  <c r="G57" i="10"/>
  <c r="H19" i="13" s="1"/>
  <c r="F57" i="10"/>
  <c r="E57" i="10"/>
  <c r="F7" i="13" s="1"/>
  <c r="D57" i="10"/>
  <c r="C57" i="10"/>
  <c r="E7" i="13" s="1"/>
  <c r="E19" i="13" s="1"/>
  <c r="P56" i="10"/>
  <c r="O56" i="10"/>
  <c r="J6" i="13" s="1"/>
  <c r="N56" i="10"/>
  <c r="I6" i="13" s="1"/>
  <c r="L56" i="10"/>
  <c r="H6" i="13" s="1"/>
  <c r="J56" i="10"/>
  <c r="H56" i="10"/>
  <c r="G6" i="13" s="1"/>
  <c r="G56" i="10"/>
  <c r="H18" i="13" s="1"/>
  <c r="F56" i="10"/>
  <c r="E56" i="10"/>
  <c r="F6" i="13" s="1"/>
  <c r="D56" i="10"/>
  <c r="C56" i="10"/>
  <c r="E6" i="13" s="1"/>
  <c r="E18" i="13" s="1"/>
  <c r="B61" i="10"/>
  <c r="B11" i="13" s="1"/>
  <c r="B23" i="13" s="1"/>
  <c r="B60" i="10"/>
  <c r="B10" i="13" s="1"/>
  <c r="B22" i="13" s="1"/>
  <c r="B59" i="10"/>
  <c r="B9" i="13" s="1"/>
  <c r="B21" i="13" s="1"/>
  <c r="B58" i="10"/>
  <c r="B8" i="13" s="1"/>
  <c r="B20" i="13" s="1"/>
  <c r="B57" i="10"/>
  <c r="B7" i="13" s="1"/>
  <c r="B19" i="13" s="1"/>
  <c r="B56" i="10"/>
  <c r="B6" i="13" s="1"/>
  <c r="B18" i="13" s="1"/>
  <c r="P55" i="10"/>
  <c r="O55" i="10"/>
  <c r="J5" i="13" s="1"/>
  <c r="N55" i="10"/>
  <c r="I5" i="13" s="1"/>
  <c r="L55" i="10"/>
  <c r="J55" i="10"/>
  <c r="H55" i="10"/>
  <c r="G5" i="13" s="1"/>
  <c r="G55" i="10"/>
  <c r="H17" i="13" s="1"/>
  <c r="F55" i="10"/>
  <c r="E55" i="10"/>
  <c r="F5" i="13" s="1"/>
  <c r="D55" i="10"/>
  <c r="C55" i="10"/>
  <c r="E5" i="13" s="1"/>
  <c r="E17" i="13" s="1"/>
  <c r="B55" i="10"/>
  <c r="B5" i="13" s="1"/>
  <c r="B17" i="13" s="1"/>
  <c r="P63" i="10" l="1"/>
  <c r="H24" i="13"/>
  <c r="H5" i="13"/>
  <c r="S57" i="10"/>
  <c r="L73" i="10" s="1"/>
  <c r="R57" i="10"/>
  <c r="N67" i="10" s="1"/>
  <c r="R62" i="10"/>
  <c r="C248" i="2"/>
  <c r="D248" i="2"/>
  <c r="E248" i="2"/>
  <c r="E249" i="2" s="1"/>
  <c r="K25" i="7"/>
  <c r="O248" i="2"/>
  <c r="J248" i="2"/>
  <c r="L63" i="10"/>
  <c r="N63" i="10"/>
  <c r="O63" i="10"/>
  <c r="H63" i="10"/>
  <c r="G63" i="10"/>
  <c r="F63" i="10"/>
  <c r="E63" i="10"/>
  <c r="P67" i="10" l="1"/>
  <c r="J67" i="10"/>
  <c r="O67" i="10"/>
  <c r="O73" i="10"/>
  <c r="S62" i="10"/>
  <c r="K73" i="10"/>
  <c r="K67" i="10"/>
  <c r="L67" i="10"/>
  <c r="P73" i="10"/>
  <c r="J73" i="10"/>
  <c r="N73" i="10"/>
  <c r="J249" i="2"/>
  <c r="O249" i="2"/>
  <c r="J47" i="10" l="1"/>
  <c r="J61" i="10" s="1"/>
  <c r="M50" i="10"/>
  <c r="M49" i="10"/>
  <c r="M48" i="10"/>
  <c r="M47" i="10"/>
  <c r="M61" i="10" s="1"/>
  <c r="M41" i="10"/>
  <c r="M40" i="10"/>
  <c r="M39" i="10"/>
  <c r="M60" i="10" s="1"/>
  <c r="M32" i="10"/>
  <c r="M30" i="10"/>
  <c r="M59" i="10" s="1"/>
  <c r="M29" i="10"/>
  <c r="M58" i="10" s="1"/>
  <c r="M23" i="10"/>
  <c r="M22" i="10"/>
  <c r="M21" i="10"/>
  <c r="M57" i="10" s="1"/>
  <c r="M20" i="10"/>
  <c r="M19" i="10"/>
  <c r="M13" i="10"/>
  <c r="M12" i="10"/>
  <c r="M11" i="10"/>
  <c r="M56" i="10" s="1"/>
  <c r="M10" i="10"/>
  <c r="M55" i="10" s="1"/>
  <c r="M9" i="10"/>
  <c r="M8" i="10"/>
  <c r="J38" i="10"/>
  <c r="J43" i="10" s="1"/>
  <c r="N38" i="10"/>
  <c r="N43" i="10" s="1"/>
  <c r="H38" i="10"/>
  <c r="H43" i="10" s="1"/>
  <c r="O52" i="10"/>
  <c r="N52" i="10"/>
  <c r="L52" i="10"/>
  <c r="H52" i="10"/>
  <c r="G52" i="10"/>
  <c r="E52" i="10"/>
  <c r="P43" i="10"/>
  <c r="O43" i="10"/>
  <c r="L43" i="10"/>
  <c r="G43" i="10"/>
  <c r="F43" i="10"/>
  <c r="E43" i="10"/>
  <c r="P34" i="10"/>
  <c r="O34" i="10"/>
  <c r="N34" i="10"/>
  <c r="L34" i="10"/>
  <c r="J34" i="10"/>
  <c r="H34" i="10"/>
  <c r="G34" i="10"/>
  <c r="F34" i="10"/>
  <c r="E34" i="10"/>
  <c r="P25" i="10"/>
  <c r="O25" i="10"/>
  <c r="N25" i="10"/>
  <c r="L25" i="10"/>
  <c r="J25" i="10"/>
  <c r="H25" i="10"/>
  <c r="G25" i="10"/>
  <c r="F25" i="10"/>
  <c r="E25" i="10"/>
  <c r="P15" i="10"/>
  <c r="O15" i="10"/>
  <c r="N15" i="10"/>
  <c r="L15" i="10"/>
  <c r="J15" i="10"/>
  <c r="H15" i="10"/>
  <c r="G15" i="10"/>
  <c r="F15" i="10"/>
  <c r="E15" i="10"/>
  <c r="M67" i="10" l="1"/>
  <c r="M73" i="10"/>
  <c r="J63" i="10"/>
  <c r="M63" i="10"/>
  <c r="J52" i="10"/>
  <c r="M52" i="10"/>
  <c r="M43" i="10"/>
  <c r="M34" i="10"/>
  <c r="M25" i="10"/>
  <c r="M15" i="10"/>
  <c r="F13" i="11"/>
  <c r="E13" i="11"/>
  <c r="D7" i="11"/>
  <c r="F7" i="11"/>
  <c r="E7" i="11"/>
  <c r="F25" i="11"/>
  <c r="E25" i="11"/>
  <c r="D25" i="11"/>
  <c r="F21" i="11"/>
  <c r="E21" i="11"/>
  <c r="D21" i="11"/>
  <c r="C227" i="2" l="1"/>
  <c r="D227" i="2"/>
  <c r="E227" i="2"/>
  <c r="F227" i="2"/>
  <c r="G227" i="2"/>
  <c r="H227" i="2"/>
  <c r="J227" i="2"/>
  <c r="K227" i="2"/>
  <c r="L227" i="2"/>
  <c r="M227" i="2"/>
  <c r="O227" i="2"/>
  <c r="Y220" i="2"/>
  <c r="X220" i="2"/>
  <c r="W220" i="2"/>
  <c r="V220" i="2"/>
  <c r="U220" i="2"/>
  <c r="T220" i="2"/>
  <c r="S220" i="2"/>
  <c r="O210" i="2"/>
  <c r="P210" i="2" s="1"/>
  <c r="J210" i="2"/>
  <c r="E210" i="2"/>
  <c r="D210" i="2"/>
  <c r="O209" i="2"/>
  <c r="M209" i="2"/>
  <c r="L209" i="2"/>
  <c r="K209" i="2"/>
  <c r="J209" i="2"/>
  <c r="H209" i="2"/>
  <c r="G209" i="2"/>
  <c r="F209" i="2"/>
  <c r="E209" i="2"/>
  <c r="D209" i="2"/>
  <c r="C209" i="2"/>
  <c r="Q206" i="2"/>
  <c r="R206" i="2" s="1"/>
  <c r="S206" i="2" s="1"/>
  <c r="T206" i="2" s="1"/>
  <c r="U206" i="2" s="1"/>
  <c r="V206" i="2" s="1"/>
  <c r="W206" i="2" s="1"/>
  <c r="X206" i="2" s="1"/>
  <c r="Y206" i="2" s="1"/>
  <c r="O206" i="2"/>
  <c r="J206" i="2"/>
  <c r="E206" i="2"/>
  <c r="D206" i="2"/>
  <c r="C205" i="2"/>
  <c r="O205" i="2"/>
  <c r="M205" i="2"/>
  <c r="L205" i="2"/>
  <c r="K205" i="2"/>
  <c r="J205" i="2"/>
  <c r="H205" i="2"/>
  <c r="G205" i="2"/>
  <c r="F205" i="2"/>
  <c r="E205" i="2"/>
  <c r="D205" i="2"/>
  <c r="E197" i="2"/>
  <c r="D197" i="2"/>
  <c r="O193" i="2"/>
  <c r="Q193" i="2"/>
  <c r="D193" i="2"/>
  <c r="E193" i="2"/>
  <c r="Q212" i="2"/>
  <c r="R212" i="2"/>
  <c r="S212" i="2"/>
  <c r="T212" i="2"/>
  <c r="U212" i="2" s="1"/>
  <c r="V212" i="2" s="1"/>
  <c r="W212" i="2" s="1"/>
  <c r="X212" i="2" s="1"/>
  <c r="Y212" i="2" s="1"/>
  <c r="Y222" i="2"/>
  <c r="X222" i="2"/>
  <c r="W222" i="2"/>
  <c r="V222" i="2"/>
  <c r="U222" i="2"/>
  <c r="T222" i="2"/>
  <c r="S222" i="2"/>
  <c r="R222" i="2"/>
  <c r="Q222" i="2"/>
  <c r="P222" i="2"/>
  <c r="P179" i="2" s="1"/>
  <c r="R220" i="2"/>
  <c r="Q220" i="2"/>
  <c r="P220" i="2"/>
  <c r="W120" i="2"/>
  <c r="V120" i="2"/>
  <c r="U120" i="2"/>
  <c r="T120" i="2"/>
  <c r="S120" i="2"/>
  <c r="R120" i="2"/>
  <c r="Q120" i="2"/>
  <c r="P120" i="2"/>
  <c r="P121" i="2" s="1"/>
  <c r="O121" i="2"/>
  <c r="J121" i="2"/>
  <c r="Q152" i="2"/>
  <c r="R152" i="2" s="1"/>
  <c r="O148" i="2"/>
  <c r="J148" i="2"/>
  <c r="H148" i="2"/>
  <c r="G148" i="2"/>
  <c r="F148" i="2"/>
  <c r="E148" i="2"/>
  <c r="E149" i="2" s="1"/>
  <c r="D152" i="2"/>
  <c r="E152" i="2"/>
  <c r="F152" i="2"/>
  <c r="G152" i="2"/>
  <c r="H152" i="2"/>
  <c r="J152" i="2"/>
  <c r="K152" i="2"/>
  <c r="L152" i="2"/>
  <c r="M152" i="2"/>
  <c r="O152" i="2"/>
  <c r="P152" i="2"/>
  <c r="M144" i="2"/>
  <c r="L144" i="2"/>
  <c r="K144" i="2"/>
  <c r="H144" i="2"/>
  <c r="G144" i="2"/>
  <c r="F144" i="2"/>
  <c r="Q151" i="2"/>
  <c r="Q136" i="2" s="1"/>
  <c r="P151" i="2"/>
  <c r="P136" i="2" s="1"/>
  <c r="P146" i="2"/>
  <c r="P147" i="2" s="1"/>
  <c r="P148" i="2" s="1"/>
  <c r="Q146" i="2"/>
  <c r="O146" i="2"/>
  <c r="J146" i="2"/>
  <c r="E146" i="2"/>
  <c r="J119" i="2"/>
  <c r="Q210" i="2" l="1"/>
  <c r="R210" i="2" s="1"/>
  <c r="S210" i="2" s="1"/>
  <c r="T210" i="2" s="1"/>
  <c r="U210" i="2" s="1"/>
  <c r="V210" i="2" s="1"/>
  <c r="W210" i="2" s="1"/>
  <c r="X210" i="2" s="1"/>
  <c r="Y210" i="2" s="1"/>
  <c r="R193" i="2"/>
  <c r="P173" i="2"/>
  <c r="U223" i="2"/>
  <c r="Q179" i="2"/>
  <c r="R179" i="2" s="1"/>
  <c r="S179" i="2" s="1"/>
  <c r="T179" i="2" s="1"/>
  <c r="U179" i="2" s="1"/>
  <c r="V179" i="2" s="1"/>
  <c r="W179" i="2" s="1"/>
  <c r="X179" i="2" s="1"/>
  <c r="Y179" i="2" s="1"/>
  <c r="V223" i="2"/>
  <c r="S223" i="2"/>
  <c r="P223" i="2"/>
  <c r="Q223" i="2"/>
  <c r="W223" i="2"/>
  <c r="T223" i="2"/>
  <c r="Y223" i="2"/>
  <c r="R223" i="2"/>
  <c r="X223" i="2"/>
  <c r="J149" i="2"/>
  <c r="R121" i="2"/>
  <c r="T121" i="2"/>
  <c r="U121" i="2"/>
  <c r="V121" i="2"/>
  <c r="Q121" i="2"/>
  <c r="S121" i="2"/>
  <c r="W121" i="2"/>
  <c r="P149" i="2"/>
  <c r="H149" i="2"/>
  <c r="S152" i="2"/>
  <c r="F149" i="2"/>
  <c r="O149" i="2"/>
  <c r="G149" i="2"/>
  <c r="Q147" i="2"/>
  <c r="Q148" i="2" s="1"/>
  <c r="P246" i="2" l="1"/>
  <c r="Q173" i="2"/>
  <c r="R173" i="2" s="1"/>
  <c r="S173" i="2" s="1"/>
  <c r="T173" i="2" s="1"/>
  <c r="U173" i="2" s="1"/>
  <c r="V173" i="2" s="1"/>
  <c r="W173" i="2" s="1"/>
  <c r="X173" i="2" s="1"/>
  <c r="Y173" i="2" s="1"/>
  <c r="S193" i="2"/>
  <c r="R148" i="2"/>
  <c r="Q149" i="2"/>
  <c r="T152" i="2"/>
  <c r="U152" i="2" s="1"/>
  <c r="V152" i="2" s="1"/>
  <c r="W152" i="2" s="1"/>
  <c r="X152" i="2" s="1"/>
  <c r="Y152" i="2" s="1"/>
  <c r="Q246" i="2" l="1"/>
  <c r="R246" i="2"/>
  <c r="T193" i="2"/>
  <c r="S148" i="2"/>
  <c r="R149" i="2"/>
  <c r="S246" i="2" l="1"/>
  <c r="U193" i="2"/>
  <c r="S149" i="2"/>
  <c r="T148" i="2"/>
  <c r="T246" i="2" l="1"/>
  <c r="V193" i="2"/>
  <c r="U148" i="2"/>
  <c r="T149" i="2"/>
  <c r="U246" i="2" l="1"/>
  <c r="W193" i="2"/>
  <c r="V148" i="2"/>
  <c r="U149" i="2"/>
  <c r="V246" i="2" l="1"/>
  <c r="X193" i="2"/>
  <c r="W148" i="2"/>
  <c r="V149" i="2"/>
  <c r="W246" i="2" l="1"/>
  <c r="Y193" i="2"/>
  <c r="W149" i="2"/>
  <c r="X148" i="2"/>
  <c r="X246" i="2" l="1"/>
  <c r="X149" i="2"/>
  <c r="Y148" i="2"/>
  <c r="Y149" i="2" s="1"/>
  <c r="Y246" i="2" l="1"/>
  <c r="D84" i="2" l="1"/>
  <c r="D105" i="2" s="1"/>
  <c r="N120" i="2"/>
  <c r="I120" i="2"/>
  <c r="O84" i="2"/>
  <c r="O105" i="2" s="1"/>
  <c r="J84" i="2"/>
  <c r="J105" i="2" s="1"/>
  <c r="M105" i="2"/>
  <c r="L105" i="2"/>
  <c r="K105" i="2"/>
  <c r="H105" i="2"/>
  <c r="G105" i="2"/>
  <c r="F105" i="2"/>
  <c r="E84" i="2"/>
  <c r="E105" i="2" s="1"/>
  <c r="D151" i="2"/>
  <c r="J151" i="2"/>
  <c r="E151" i="2"/>
  <c r="O125" i="2"/>
  <c r="M125" i="2"/>
  <c r="L125" i="2"/>
  <c r="K125" i="2"/>
  <c r="J125" i="2"/>
  <c r="H125" i="2"/>
  <c r="G125" i="2"/>
  <c r="F125" i="2"/>
  <c r="E125" i="2"/>
  <c r="D125" i="2"/>
  <c r="P233" i="2"/>
  <c r="Q233" i="2" s="1"/>
  <c r="R233" i="2" s="1"/>
  <c r="S233" i="2" s="1"/>
  <c r="T233" i="2" s="1"/>
  <c r="U233" i="2" s="1"/>
  <c r="V233" i="2" s="1"/>
  <c r="W233" i="2" s="1"/>
  <c r="X233" i="2" s="1"/>
  <c r="Y233" i="2" s="1"/>
  <c r="O151" i="2"/>
  <c r="D33" i="4"/>
  <c r="D34" i="4" s="1"/>
  <c r="D31" i="4"/>
  <c r="D30" i="4" s="1"/>
  <c r="H29" i="4"/>
  <c r="I29" i="4" s="1"/>
  <c r="F29" i="4"/>
  <c r="E29" i="4" s="1"/>
  <c r="N20" i="7"/>
  <c r="N19" i="7"/>
  <c r="N15" i="7"/>
  <c r="N14" i="7"/>
  <c r="N10" i="7"/>
  <c r="N8" i="7"/>
  <c r="P42" i="2"/>
  <c r="P125" i="2" l="1"/>
  <c r="Q125" i="2" s="1"/>
  <c r="R125" i="2" s="1"/>
  <c r="P48" i="2"/>
  <c r="S125" i="2" l="1"/>
  <c r="T125" i="2" l="1"/>
  <c r="U125" i="2" l="1"/>
  <c r="D4" i="10"/>
  <c r="K17" i="9"/>
  <c r="M17" i="9" s="1"/>
  <c r="K16" i="9"/>
  <c r="M16" i="9" s="1"/>
  <c r="K15" i="9"/>
  <c r="M15" i="9" s="1"/>
  <c r="M20" i="9"/>
  <c r="M19" i="9"/>
  <c r="M18" i="9"/>
  <c r="M14" i="9"/>
  <c r="T207" i="9"/>
  <c r="S207" i="9"/>
  <c r="T206" i="9"/>
  <c r="S206" i="9"/>
  <c r="T205" i="9"/>
  <c r="S205" i="9"/>
  <c r="T204" i="9"/>
  <c r="S204" i="9"/>
  <c r="T203" i="9"/>
  <c r="S203" i="9"/>
  <c r="T202" i="9"/>
  <c r="S202" i="9"/>
  <c r="T201" i="9"/>
  <c r="S201" i="9"/>
  <c r="T200" i="9"/>
  <c r="S200" i="9"/>
  <c r="T199" i="9"/>
  <c r="S199" i="9"/>
  <c r="T198" i="9"/>
  <c r="S198" i="9"/>
  <c r="T197" i="9"/>
  <c r="S197" i="9"/>
  <c r="T196" i="9"/>
  <c r="S196" i="9"/>
  <c r="T195" i="9"/>
  <c r="S195" i="9"/>
  <c r="T194" i="9"/>
  <c r="S194" i="9"/>
  <c r="T193" i="9"/>
  <c r="S193" i="9"/>
  <c r="T192" i="9"/>
  <c r="S192" i="9"/>
  <c r="T191" i="9"/>
  <c r="S191" i="9"/>
  <c r="T190" i="9"/>
  <c r="S190" i="9"/>
  <c r="T189" i="9"/>
  <c r="S189" i="9"/>
  <c r="T188" i="9"/>
  <c r="S188" i="9"/>
  <c r="T187" i="9"/>
  <c r="S187" i="9"/>
  <c r="T186" i="9"/>
  <c r="S186" i="9"/>
  <c r="T185" i="9"/>
  <c r="S185" i="9"/>
  <c r="T184" i="9"/>
  <c r="S184" i="9"/>
  <c r="T183" i="9"/>
  <c r="S183" i="9"/>
  <c r="T182" i="9"/>
  <c r="S182" i="9"/>
  <c r="T181" i="9"/>
  <c r="S181" i="9"/>
  <c r="T180" i="9"/>
  <c r="S180" i="9"/>
  <c r="T179" i="9"/>
  <c r="S179" i="9"/>
  <c r="T178" i="9"/>
  <c r="S178" i="9"/>
  <c r="T177" i="9"/>
  <c r="S177" i="9"/>
  <c r="T176" i="9"/>
  <c r="S176" i="9"/>
  <c r="T175" i="9"/>
  <c r="S175" i="9"/>
  <c r="T174" i="9"/>
  <c r="S174" i="9"/>
  <c r="T173" i="9"/>
  <c r="S173" i="9"/>
  <c r="T172" i="9"/>
  <c r="S172" i="9"/>
  <c r="T171" i="9"/>
  <c r="S171" i="9"/>
  <c r="T170" i="9"/>
  <c r="S170" i="9"/>
  <c r="T169" i="9"/>
  <c r="S169" i="9"/>
  <c r="T168" i="9"/>
  <c r="S168" i="9"/>
  <c r="T167" i="9"/>
  <c r="S167" i="9"/>
  <c r="T166" i="9"/>
  <c r="S166" i="9"/>
  <c r="T165" i="9"/>
  <c r="S165" i="9"/>
  <c r="T164" i="9"/>
  <c r="S164" i="9"/>
  <c r="T163" i="9"/>
  <c r="S163" i="9"/>
  <c r="T162" i="9"/>
  <c r="S162" i="9"/>
  <c r="T161" i="9"/>
  <c r="S161" i="9"/>
  <c r="T160" i="9"/>
  <c r="S160" i="9"/>
  <c r="T159" i="9"/>
  <c r="S159" i="9"/>
  <c r="T158" i="9"/>
  <c r="S158" i="9"/>
  <c r="T157" i="9"/>
  <c r="S157" i="9"/>
  <c r="T156" i="9"/>
  <c r="S156" i="9"/>
  <c r="T155" i="9"/>
  <c r="S155" i="9"/>
  <c r="T154" i="9"/>
  <c r="S154" i="9"/>
  <c r="T153" i="9"/>
  <c r="S153" i="9"/>
  <c r="T152" i="9"/>
  <c r="S152" i="9"/>
  <c r="T151" i="9"/>
  <c r="S151" i="9"/>
  <c r="T150" i="9"/>
  <c r="S150" i="9"/>
  <c r="T149" i="9"/>
  <c r="S149" i="9"/>
  <c r="T148" i="9"/>
  <c r="S148" i="9"/>
  <c r="T147" i="9"/>
  <c r="S147" i="9"/>
  <c r="T146" i="9"/>
  <c r="S146" i="9"/>
  <c r="T145" i="9"/>
  <c r="S145" i="9"/>
  <c r="T144" i="9"/>
  <c r="S144" i="9"/>
  <c r="T143" i="9"/>
  <c r="S143" i="9"/>
  <c r="T142" i="9"/>
  <c r="S142" i="9"/>
  <c r="T141" i="9"/>
  <c r="S141" i="9"/>
  <c r="T140" i="9"/>
  <c r="S140" i="9"/>
  <c r="T139" i="9"/>
  <c r="S139" i="9"/>
  <c r="T138" i="9"/>
  <c r="S138" i="9"/>
  <c r="T137" i="9"/>
  <c r="S137" i="9"/>
  <c r="T136" i="9"/>
  <c r="S136" i="9"/>
  <c r="T135" i="9"/>
  <c r="S135" i="9"/>
  <c r="T134" i="9"/>
  <c r="S134" i="9"/>
  <c r="T133" i="9"/>
  <c r="S133" i="9"/>
  <c r="T132" i="9"/>
  <c r="S132" i="9"/>
  <c r="T131" i="9"/>
  <c r="S131" i="9"/>
  <c r="T130" i="9"/>
  <c r="S130" i="9"/>
  <c r="T129" i="9"/>
  <c r="S129" i="9"/>
  <c r="T128" i="9"/>
  <c r="S128" i="9"/>
  <c r="T127" i="9"/>
  <c r="S127" i="9"/>
  <c r="T126" i="9"/>
  <c r="S126" i="9"/>
  <c r="T125" i="9"/>
  <c r="S125" i="9"/>
  <c r="T124" i="9"/>
  <c r="S124" i="9"/>
  <c r="T123" i="9"/>
  <c r="S123" i="9"/>
  <c r="T122" i="9"/>
  <c r="S122" i="9"/>
  <c r="T121" i="9"/>
  <c r="S121" i="9"/>
  <c r="T120" i="9"/>
  <c r="S120" i="9"/>
  <c r="T119" i="9"/>
  <c r="S119" i="9"/>
  <c r="T118" i="9"/>
  <c r="S118" i="9"/>
  <c r="T117" i="9"/>
  <c r="S117" i="9"/>
  <c r="T116" i="9"/>
  <c r="S116" i="9"/>
  <c r="T115" i="9"/>
  <c r="S115" i="9"/>
  <c r="T114" i="9"/>
  <c r="S114" i="9"/>
  <c r="T113" i="9"/>
  <c r="S113" i="9"/>
  <c r="T112" i="9"/>
  <c r="S112" i="9"/>
  <c r="T111" i="9"/>
  <c r="S111" i="9"/>
  <c r="T110" i="9"/>
  <c r="S110" i="9"/>
  <c r="T109" i="9"/>
  <c r="S109" i="9"/>
  <c r="T108" i="9"/>
  <c r="S108" i="9"/>
  <c r="T107" i="9"/>
  <c r="S107" i="9"/>
  <c r="T106" i="9"/>
  <c r="S106" i="9"/>
  <c r="T105" i="9"/>
  <c r="S105" i="9"/>
  <c r="T104" i="9"/>
  <c r="S104" i="9"/>
  <c r="T103" i="9"/>
  <c r="S103" i="9"/>
  <c r="T102" i="9"/>
  <c r="S102" i="9"/>
  <c r="T101" i="9"/>
  <c r="S101" i="9"/>
  <c r="T100" i="9"/>
  <c r="S100" i="9"/>
  <c r="T99" i="9"/>
  <c r="S99" i="9"/>
  <c r="T98" i="9"/>
  <c r="S98" i="9"/>
  <c r="T97" i="9"/>
  <c r="S97" i="9"/>
  <c r="T96" i="9"/>
  <c r="S96" i="9"/>
  <c r="T95" i="9"/>
  <c r="S95" i="9"/>
  <c r="T94" i="9"/>
  <c r="S94" i="9"/>
  <c r="T93" i="9"/>
  <c r="S93" i="9"/>
  <c r="T92" i="9"/>
  <c r="S92" i="9"/>
  <c r="T91" i="9"/>
  <c r="S91" i="9"/>
  <c r="T90" i="9"/>
  <c r="S90" i="9"/>
  <c r="T89" i="9"/>
  <c r="S89" i="9"/>
  <c r="T88" i="9"/>
  <c r="S88" i="9"/>
  <c r="T87" i="9"/>
  <c r="S87" i="9"/>
  <c r="T86" i="9"/>
  <c r="S86" i="9"/>
  <c r="T85" i="9"/>
  <c r="S85" i="9"/>
  <c r="T84" i="9"/>
  <c r="S84" i="9"/>
  <c r="T83" i="9"/>
  <c r="S83" i="9"/>
  <c r="T82" i="9"/>
  <c r="S82" i="9"/>
  <c r="T81" i="9"/>
  <c r="S81" i="9"/>
  <c r="T80" i="9"/>
  <c r="S80" i="9"/>
  <c r="T79" i="9"/>
  <c r="S79" i="9"/>
  <c r="T78" i="9"/>
  <c r="S78" i="9"/>
  <c r="T77" i="9"/>
  <c r="S77" i="9"/>
  <c r="T76" i="9"/>
  <c r="S76" i="9"/>
  <c r="T75" i="9"/>
  <c r="S75" i="9"/>
  <c r="T74" i="9"/>
  <c r="S74" i="9"/>
  <c r="T73" i="9"/>
  <c r="S73" i="9"/>
  <c r="T72" i="9"/>
  <c r="S72" i="9"/>
  <c r="T71" i="9"/>
  <c r="S71" i="9"/>
  <c r="T70" i="9"/>
  <c r="S70" i="9"/>
  <c r="T69" i="9"/>
  <c r="S69" i="9"/>
  <c r="T68" i="9"/>
  <c r="S68" i="9"/>
  <c r="T67" i="9"/>
  <c r="S67" i="9"/>
  <c r="T66" i="9"/>
  <c r="S66" i="9"/>
  <c r="T65" i="9"/>
  <c r="S65" i="9"/>
  <c r="T64" i="9"/>
  <c r="S64" i="9"/>
  <c r="T63" i="9"/>
  <c r="S63" i="9"/>
  <c r="T62" i="9"/>
  <c r="S62" i="9"/>
  <c r="T61" i="9"/>
  <c r="S61" i="9"/>
  <c r="T60" i="9"/>
  <c r="S60" i="9"/>
  <c r="T59" i="9"/>
  <c r="S59" i="9"/>
  <c r="T58" i="9"/>
  <c r="S58" i="9"/>
  <c r="T57" i="9"/>
  <c r="S57" i="9"/>
  <c r="T56" i="9"/>
  <c r="S56" i="9"/>
  <c r="T55" i="9"/>
  <c r="S55" i="9"/>
  <c r="T54" i="9"/>
  <c r="S54" i="9"/>
  <c r="T53" i="9"/>
  <c r="S53" i="9"/>
  <c r="T52" i="9"/>
  <c r="S52" i="9"/>
  <c r="T51" i="9"/>
  <c r="S51" i="9"/>
  <c r="T50" i="9"/>
  <c r="S50" i="9"/>
  <c r="T49" i="9"/>
  <c r="S49" i="9"/>
  <c r="T48" i="9"/>
  <c r="S48" i="9"/>
  <c r="T47" i="9"/>
  <c r="S47" i="9"/>
  <c r="T46" i="9"/>
  <c r="S46" i="9"/>
  <c r="T45" i="9"/>
  <c r="S45" i="9"/>
  <c r="T44" i="9"/>
  <c r="S44" i="9"/>
  <c r="T43" i="9"/>
  <c r="S43" i="9"/>
  <c r="T42" i="9"/>
  <c r="S42" i="9"/>
  <c r="T41" i="9"/>
  <c r="S41" i="9"/>
  <c r="T40" i="9"/>
  <c r="S40" i="9"/>
  <c r="T39" i="9"/>
  <c r="S39" i="9"/>
  <c r="T38" i="9"/>
  <c r="S38" i="9"/>
  <c r="T37" i="9"/>
  <c r="S37" i="9"/>
  <c r="T36" i="9"/>
  <c r="S36" i="9"/>
  <c r="T35" i="9"/>
  <c r="S35" i="9"/>
  <c r="T34" i="9"/>
  <c r="S34" i="9"/>
  <c r="T33" i="9"/>
  <c r="S33" i="9"/>
  <c r="T32" i="9"/>
  <c r="S32" i="9"/>
  <c r="T31" i="9"/>
  <c r="S31" i="9"/>
  <c r="T30" i="9"/>
  <c r="S30" i="9"/>
  <c r="T29" i="9"/>
  <c r="S29" i="9"/>
  <c r="T28" i="9"/>
  <c r="S28" i="9"/>
  <c r="T27" i="9"/>
  <c r="S27" i="9"/>
  <c r="T26" i="9"/>
  <c r="S26" i="9"/>
  <c r="T25" i="9"/>
  <c r="S25" i="9"/>
  <c r="T24" i="9"/>
  <c r="S24" i="9"/>
  <c r="T23" i="9"/>
  <c r="S23" i="9"/>
  <c r="T22" i="9"/>
  <c r="S22" i="9"/>
  <c r="T21" i="9"/>
  <c r="S21" i="9"/>
  <c r="T20" i="9"/>
  <c r="S20" i="9"/>
  <c r="T19" i="9"/>
  <c r="S19" i="9"/>
  <c r="T18" i="9"/>
  <c r="S18" i="9"/>
  <c r="T17" i="9"/>
  <c r="S17" i="9"/>
  <c r="T16" i="9"/>
  <c r="S16" i="9"/>
  <c r="T15" i="9"/>
  <c r="S15" i="9"/>
  <c r="T14" i="9"/>
  <c r="S14" i="9"/>
  <c r="T13" i="9"/>
  <c r="S13" i="9"/>
  <c r="T12" i="9"/>
  <c r="S12" i="9"/>
  <c r="T11" i="9"/>
  <c r="S11" i="9"/>
  <c r="T10" i="9"/>
  <c r="S10" i="9"/>
  <c r="T9" i="9"/>
  <c r="S9" i="9"/>
  <c r="T8" i="9"/>
  <c r="S8" i="9"/>
  <c r="T7" i="9"/>
  <c r="S7" i="9"/>
  <c r="T6" i="9"/>
  <c r="S6" i="9"/>
  <c r="C14" i="9"/>
  <c r="C15" i="9" s="1"/>
  <c r="C13" i="9"/>
  <c r="R25" i="4"/>
  <c r="K22" i="7"/>
  <c r="C18" i="9"/>
  <c r="C8" i="9"/>
  <c r="J5" i="9" l="1"/>
  <c r="J4" i="9" s="1"/>
  <c r="T2" i="13" s="1"/>
  <c r="V125" i="2"/>
  <c r="E4" i="10"/>
  <c r="F4" i="13" s="1"/>
  <c r="C11" i="9"/>
  <c r="C16" i="9"/>
  <c r="C19" i="9" s="1"/>
  <c r="K21" i="9"/>
  <c r="M21" i="9"/>
  <c r="T6" i="13" l="1"/>
  <c r="C21" i="9"/>
  <c r="F4" i="10"/>
  <c r="W125" i="2"/>
  <c r="C22" i="9"/>
  <c r="C24" i="9" l="1"/>
  <c r="C26" i="9" s="1"/>
  <c r="X125" i="2"/>
  <c r="N12" i="7"/>
  <c r="N201" i="2"/>
  <c r="M201" i="2"/>
  <c r="L201" i="2"/>
  <c r="K201" i="2"/>
  <c r="I201" i="2"/>
  <c r="H201" i="2"/>
  <c r="G201" i="2"/>
  <c r="F201" i="2"/>
  <c r="Q90" i="2"/>
  <c r="R90" i="2" s="1"/>
  <c r="S90" i="2" s="1"/>
  <c r="T90" i="2" s="1"/>
  <c r="U90" i="2" s="1"/>
  <c r="V90" i="2" s="1"/>
  <c r="W90" i="2" s="1"/>
  <c r="X90" i="2" s="1"/>
  <c r="Y90" i="2" s="1"/>
  <c r="Q97" i="2"/>
  <c r="R97" i="2" s="1"/>
  <c r="S97" i="2" s="1"/>
  <c r="T97" i="2" s="1"/>
  <c r="U97" i="2" s="1"/>
  <c r="V97" i="2" s="1"/>
  <c r="W97" i="2" s="1"/>
  <c r="X97" i="2" s="1"/>
  <c r="Y97" i="2" s="1"/>
  <c r="O219" i="2"/>
  <c r="P219" i="2" s="1"/>
  <c r="M219" i="2"/>
  <c r="L219" i="2"/>
  <c r="K219" i="2"/>
  <c r="J219" i="2"/>
  <c r="H219" i="2"/>
  <c r="G219" i="2"/>
  <c r="F219" i="2"/>
  <c r="E219" i="2"/>
  <c r="U214" i="2"/>
  <c r="T214" i="2"/>
  <c r="S214" i="2"/>
  <c r="R214" i="2"/>
  <c r="Q214" i="2"/>
  <c r="P214" i="2"/>
  <c r="O214" i="2"/>
  <c r="E214" i="2"/>
  <c r="D214" i="2"/>
  <c r="O200" i="2"/>
  <c r="M200" i="2"/>
  <c r="L200" i="2"/>
  <c r="K200" i="2"/>
  <c r="J200" i="2"/>
  <c r="H200" i="2"/>
  <c r="G200" i="2"/>
  <c r="F200" i="2"/>
  <c r="E200" i="2"/>
  <c r="D200" i="2"/>
  <c r="C200" i="2"/>
  <c r="O197" i="2"/>
  <c r="J197" i="2"/>
  <c r="O196" i="2"/>
  <c r="M196" i="2"/>
  <c r="L196" i="2"/>
  <c r="K196" i="2"/>
  <c r="J196" i="2"/>
  <c r="H196" i="2"/>
  <c r="G196" i="2"/>
  <c r="F196" i="2"/>
  <c r="E196" i="2"/>
  <c r="D196" i="2"/>
  <c r="C196" i="2"/>
  <c r="J193" i="2"/>
  <c r="O192" i="2"/>
  <c r="M192" i="2"/>
  <c r="L192" i="2"/>
  <c r="K192" i="2"/>
  <c r="J192" i="2"/>
  <c r="E192" i="2"/>
  <c r="D192" i="2"/>
  <c r="C192" i="2"/>
  <c r="O189" i="2"/>
  <c r="M189" i="2"/>
  <c r="L189" i="2"/>
  <c r="K189" i="2"/>
  <c r="J189" i="2"/>
  <c r="E189" i="2"/>
  <c r="D189" i="2"/>
  <c r="C189" i="2"/>
  <c r="H189" i="2"/>
  <c r="G189" i="2"/>
  <c r="F189" i="2"/>
  <c r="N224" i="2"/>
  <c r="M224" i="2"/>
  <c r="L224" i="2"/>
  <c r="K224" i="2"/>
  <c r="I224" i="2"/>
  <c r="H224" i="2"/>
  <c r="G224" i="2"/>
  <c r="F224" i="2"/>
  <c r="T3" i="13" l="1"/>
  <c r="Y125" i="2"/>
  <c r="E106" i="2"/>
  <c r="O106" i="2"/>
  <c r="J106" i="2"/>
  <c r="G225" i="2"/>
  <c r="Y214" i="2"/>
  <c r="T200" i="2"/>
  <c r="N225" i="2"/>
  <c r="Q219" i="2"/>
  <c r="V214" i="2"/>
  <c r="H225" i="2"/>
  <c r="U189" i="2"/>
  <c r="Y200" i="2"/>
  <c r="X214" i="2"/>
  <c r="W214" i="2"/>
  <c r="U200" i="2"/>
  <c r="W200" i="2"/>
  <c r="R200" i="2"/>
  <c r="X200" i="2"/>
  <c r="P200" i="2"/>
  <c r="V200" i="2"/>
  <c r="Q200" i="2"/>
  <c r="I225" i="2"/>
  <c r="S200" i="2"/>
  <c r="V189" i="2"/>
  <c r="K225" i="2"/>
  <c r="W189" i="2"/>
  <c r="P189" i="2"/>
  <c r="X189" i="2"/>
  <c r="Q189" i="2"/>
  <c r="R189" i="2"/>
  <c r="F225" i="2"/>
  <c r="M225" i="2"/>
  <c r="T189" i="2"/>
  <c r="S189" i="2"/>
  <c r="Y189" i="2"/>
  <c r="L225" i="2"/>
  <c r="R219" i="2" l="1"/>
  <c r="O232" i="2"/>
  <c r="Y231" i="2"/>
  <c r="X231" i="2"/>
  <c r="W231" i="2"/>
  <c r="V231" i="2"/>
  <c r="U231" i="2"/>
  <c r="T231" i="2"/>
  <c r="S231" i="2"/>
  <c r="R231" i="2"/>
  <c r="Q231" i="2"/>
  <c r="P231" i="2"/>
  <c r="P232" i="2" s="1"/>
  <c r="G8" i="4"/>
  <c r="F8" i="4"/>
  <c r="Q5" i="4"/>
  <c r="P5" i="4"/>
  <c r="O5" i="4"/>
  <c r="N5" i="4"/>
  <c r="M5" i="4"/>
  <c r="L5" i="4"/>
  <c r="K5" i="4"/>
  <c r="J5" i="4"/>
  <c r="I5" i="4"/>
  <c r="H5" i="4"/>
  <c r="J232" i="2"/>
  <c r="E232" i="2"/>
  <c r="D232" i="2"/>
  <c r="O234" i="2"/>
  <c r="J234" i="2"/>
  <c r="E234" i="2"/>
  <c r="D234" i="2"/>
  <c r="O237" i="2"/>
  <c r="J237" i="2"/>
  <c r="E237" i="2"/>
  <c r="D237" i="2"/>
  <c r="O236" i="2"/>
  <c r="M236" i="2"/>
  <c r="L236" i="2"/>
  <c r="K236" i="2"/>
  <c r="J236" i="2"/>
  <c r="H236" i="2"/>
  <c r="G236" i="2"/>
  <c r="F236" i="2"/>
  <c r="E236" i="2"/>
  <c r="D236" i="2"/>
  <c r="C236" i="2"/>
  <c r="O238" i="2"/>
  <c r="N21" i="7" s="1"/>
  <c r="N238" i="2"/>
  <c r="M238" i="2"/>
  <c r="M239" i="2" s="1"/>
  <c r="L238" i="2"/>
  <c r="L239" i="2" s="1"/>
  <c r="K238" i="2"/>
  <c r="K239" i="2" s="1"/>
  <c r="J238" i="2"/>
  <c r="F10" i="4" s="1"/>
  <c r="I238" i="2"/>
  <c r="H238" i="2"/>
  <c r="H239" i="2" s="1"/>
  <c r="G238" i="2"/>
  <c r="G239" i="2" s="1"/>
  <c r="F238" i="2"/>
  <c r="F239" i="2" s="1"/>
  <c r="E238" i="2"/>
  <c r="E10" i="4" s="1"/>
  <c r="D238" i="2"/>
  <c r="D10" i="4" s="1"/>
  <c r="C238" i="2"/>
  <c r="C239" i="2" s="1"/>
  <c r="V232" i="2" l="1"/>
  <c r="S219" i="2"/>
  <c r="X232" i="2"/>
  <c r="W232" i="2"/>
  <c r="Q232" i="2"/>
  <c r="R232" i="2"/>
  <c r="S232" i="2"/>
  <c r="Y232" i="2"/>
  <c r="T232" i="2"/>
  <c r="U232" i="2"/>
  <c r="O240" i="2"/>
  <c r="O239" i="2"/>
  <c r="C10" i="4"/>
  <c r="D239" i="2"/>
  <c r="D240" i="2"/>
  <c r="J239" i="2"/>
  <c r="J240" i="2"/>
  <c r="G10" i="4"/>
  <c r="E239" i="2"/>
  <c r="E240" i="2"/>
  <c r="O156" i="2"/>
  <c r="J156" i="2"/>
  <c r="E156" i="2"/>
  <c r="D156" i="2"/>
  <c r="O177" i="2"/>
  <c r="J177" i="2"/>
  <c r="E177" i="2"/>
  <c r="D177" i="2"/>
  <c r="Y221" i="2"/>
  <c r="X221" i="2"/>
  <c r="W221" i="2"/>
  <c r="V221" i="2"/>
  <c r="U221" i="2"/>
  <c r="T221" i="2"/>
  <c r="S221" i="2"/>
  <c r="R221" i="2"/>
  <c r="Q221" i="2"/>
  <c r="P221" i="2"/>
  <c r="O221" i="2"/>
  <c r="J221" i="2"/>
  <c r="E221" i="2"/>
  <c r="D221" i="2"/>
  <c r="O218" i="2"/>
  <c r="J218" i="2"/>
  <c r="E218" i="2"/>
  <c r="D218" i="2"/>
  <c r="Y213" i="2"/>
  <c r="X213" i="2"/>
  <c r="W213" i="2"/>
  <c r="V213" i="2"/>
  <c r="U213" i="2"/>
  <c r="T213" i="2"/>
  <c r="S213" i="2"/>
  <c r="R213" i="2"/>
  <c r="Q213" i="2"/>
  <c r="P213" i="2"/>
  <c r="O213" i="2"/>
  <c r="J213" i="2"/>
  <c r="E213" i="2"/>
  <c r="D213" i="2"/>
  <c r="O208" i="2"/>
  <c r="J208" i="2"/>
  <c r="E208" i="2"/>
  <c r="D208" i="2"/>
  <c r="O204" i="2"/>
  <c r="J204" i="2"/>
  <c r="E204" i="2"/>
  <c r="D204" i="2"/>
  <c r="O199" i="2"/>
  <c r="J199" i="2"/>
  <c r="E199" i="2"/>
  <c r="D199" i="2"/>
  <c r="O195" i="2"/>
  <c r="J195" i="2"/>
  <c r="E195" i="2"/>
  <c r="D195" i="2"/>
  <c r="O191" i="2"/>
  <c r="J191" i="2"/>
  <c r="E191" i="2"/>
  <c r="D191" i="2"/>
  <c r="O188" i="2"/>
  <c r="J188" i="2"/>
  <c r="E188" i="2"/>
  <c r="D188" i="2"/>
  <c r="O185" i="2"/>
  <c r="J185" i="2"/>
  <c r="E185" i="2"/>
  <c r="D185" i="2"/>
  <c r="Y180" i="2"/>
  <c r="X180" i="2"/>
  <c r="W180" i="2"/>
  <c r="V180" i="2"/>
  <c r="U180" i="2"/>
  <c r="T180" i="2"/>
  <c r="S180" i="2"/>
  <c r="R180" i="2"/>
  <c r="Q180" i="2"/>
  <c r="P180" i="2"/>
  <c r="O180" i="2"/>
  <c r="J180" i="2"/>
  <c r="E180" i="2"/>
  <c r="D180" i="2"/>
  <c r="Y174" i="2"/>
  <c r="X174" i="2"/>
  <c r="W174" i="2"/>
  <c r="V174" i="2"/>
  <c r="U174" i="2"/>
  <c r="T174" i="2"/>
  <c r="S174" i="2"/>
  <c r="R174" i="2"/>
  <c r="Q174" i="2"/>
  <c r="P174" i="2"/>
  <c r="O174" i="2"/>
  <c r="J174" i="2"/>
  <c r="E174" i="2"/>
  <c r="D174" i="2"/>
  <c r="V38" i="5"/>
  <c r="E8" i="4"/>
  <c r="D8" i="4"/>
  <c r="C8" i="4"/>
  <c r="P176" i="2"/>
  <c r="P244" i="2" s="1"/>
  <c r="Y119" i="2"/>
  <c r="X119" i="2"/>
  <c r="W119" i="2"/>
  <c r="V119" i="2"/>
  <c r="U119" i="2"/>
  <c r="T119" i="2"/>
  <c r="S119" i="2"/>
  <c r="R119" i="2"/>
  <c r="Q119" i="2"/>
  <c r="P119" i="2"/>
  <c r="O119" i="2"/>
  <c r="M119" i="2"/>
  <c r="L119" i="2"/>
  <c r="K119" i="2"/>
  <c r="H119" i="2"/>
  <c r="G119" i="2"/>
  <c r="F119" i="2"/>
  <c r="E119" i="2"/>
  <c r="D119" i="2"/>
  <c r="C119" i="2"/>
  <c r="O168" i="2"/>
  <c r="O171" i="2" s="1"/>
  <c r="J168" i="2"/>
  <c r="J171" i="2" s="1"/>
  <c r="E168" i="2"/>
  <c r="D168" i="2"/>
  <c r="D171" i="2" s="1"/>
  <c r="O157" i="2"/>
  <c r="J157" i="2"/>
  <c r="E157" i="2"/>
  <c r="D157" i="2"/>
  <c r="O124" i="2"/>
  <c r="J124" i="2"/>
  <c r="E124" i="2"/>
  <c r="D124" i="2"/>
  <c r="P98" i="2"/>
  <c r="Q98" i="2" s="1"/>
  <c r="R98" i="2" s="1"/>
  <c r="S98" i="2" s="1"/>
  <c r="T98" i="2" s="1"/>
  <c r="U98" i="2" s="1"/>
  <c r="V98" i="2" s="1"/>
  <c r="W98" i="2" s="1"/>
  <c r="X98" i="2" s="1"/>
  <c r="Y98" i="2" s="1"/>
  <c r="C89" i="2"/>
  <c r="C94" i="2"/>
  <c r="C96" i="2" s="1"/>
  <c r="M86" i="2"/>
  <c r="L86" i="2"/>
  <c r="K86" i="2"/>
  <c r="H86" i="2"/>
  <c r="G86" i="2"/>
  <c r="F86" i="2"/>
  <c r="C84" i="2"/>
  <c r="C39" i="5"/>
  <c r="C38" i="5"/>
  <c r="D87" i="2" s="1"/>
  <c r="D94" i="2" s="1"/>
  <c r="D96" i="2" s="1"/>
  <c r="O92" i="2"/>
  <c r="J92" i="2"/>
  <c r="E92" i="2"/>
  <c r="D92" i="2"/>
  <c r="E86" i="2"/>
  <c r="O86" i="2"/>
  <c r="P86" i="2" s="1"/>
  <c r="J86" i="2"/>
  <c r="D86" i="2"/>
  <c r="Q176" i="2" l="1"/>
  <c r="D224" i="2"/>
  <c r="C86" i="2"/>
  <c r="C105" i="2"/>
  <c r="D106" i="2" s="1"/>
  <c r="O201" i="2"/>
  <c r="J201" i="2"/>
  <c r="D201" i="2"/>
  <c r="T219" i="2"/>
  <c r="E201" i="2"/>
  <c r="O224" i="2"/>
  <c r="E224" i="2"/>
  <c r="J224" i="2"/>
  <c r="P177" i="2"/>
  <c r="P118" i="2"/>
  <c r="D163" i="2"/>
  <c r="D165" i="2"/>
  <c r="D167" i="2"/>
  <c r="E171" i="2"/>
  <c r="D159" i="2"/>
  <c r="D161" i="2"/>
  <c r="O170" i="2"/>
  <c r="D170" i="2"/>
  <c r="J170" i="2"/>
  <c r="E170" i="2"/>
  <c r="Q86" i="2"/>
  <c r="J85" i="2"/>
  <c r="O85" i="2"/>
  <c r="D88" i="2"/>
  <c r="D95" i="2" s="1"/>
  <c r="D89" i="2"/>
  <c r="D90" i="2" s="1"/>
  <c r="D85" i="2"/>
  <c r="E85" i="2"/>
  <c r="Q177" i="2" l="1"/>
  <c r="Q244" i="2"/>
  <c r="Q118" i="2"/>
  <c r="R176" i="2"/>
  <c r="R244" i="2" s="1"/>
  <c r="O225" i="2"/>
  <c r="G9" i="4" s="1"/>
  <c r="U219" i="2"/>
  <c r="J225" i="2"/>
  <c r="F9" i="4" s="1"/>
  <c r="D225" i="2"/>
  <c r="D9" i="4" s="1"/>
  <c r="E225" i="2"/>
  <c r="E9" i="4" s="1"/>
  <c r="P170" i="2"/>
  <c r="Q170" i="2" s="1"/>
  <c r="R170" i="2" s="1"/>
  <c r="S170" i="2" s="1"/>
  <c r="T170" i="2" s="1"/>
  <c r="U170" i="2" s="1"/>
  <c r="V170" i="2" s="1"/>
  <c r="W170" i="2" s="1"/>
  <c r="X170" i="2" s="1"/>
  <c r="Y170" i="2" s="1"/>
  <c r="D97" i="2"/>
  <c r="R86" i="2"/>
  <c r="S176" i="2" l="1"/>
  <c r="S244" i="2" s="1"/>
  <c r="R118" i="2"/>
  <c r="R177" i="2"/>
  <c r="V219" i="2"/>
  <c r="S86" i="2"/>
  <c r="T176" i="2" l="1"/>
  <c r="T244" i="2" s="1"/>
  <c r="S177" i="2"/>
  <c r="S118" i="2"/>
  <c r="W219" i="2"/>
  <c r="T86" i="2"/>
  <c r="T177" i="2" l="1"/>
  <c r="O20" i="7"/>
  <c r="U178" i="2"/>
  <c r="U176" i="2" s="1"/>
  <c r="U244" i="2" s="1"/>
  <c r="T118" i="2"/>
  <c r="X219" i="2"/>
  <c r="U86" i="2"/>
  <c r="U177" i="2" l="1"/>
  <c r="V176" i="2"/>
  <c r="V244" i="2" s="1"/>
  <c r="U118" i="2"/>
  <c r="Y219" i="2"/>
  <c r="V86" i="2"/>
  <c r="V177" i="2" l="1"/>
  <c r="W176" i="2"/>
  <c r="W244" i="2" s="1"/>
  <c r="V118" i="2"/>
  <c r="W86" i="2"/>
  <c r="W177" i="2" l="1"/>
  <c r="X176" i="2"/>
  <c r="X244" i="2" s="1"/>
  <c r="W118" i="2"/>
  <c r="X86" i="2"/>
  <c r="X177" i="2" l="1"/>
  <c r="Y176" i="2"/>
  <c r="Y244" i="2" s="1"/>
  <c r="X118" i="2"/>
  <c r="Y86" i="2"/>
  <c r="Y118" i="2" l="1"/>
  <c r="P20" i="7"/>
  <c r="R20" i="4"/>
  <c r="Y177" i="2"/>
  <c r="M38" i="2" l="1"/>
  <c r="L38" i="2"/>
  <c r="K38" i="2"/>
  <c r="H38" i="2"/>
  <c r="G38" i="2"/>
  <c r="F38" i="2"/>
  <c r="Q32" i="2"/>
  <c r="R32" i="2" s="1"/>
  <c r="O48" i="2"/>
  <c r="O49" i="2" s="1"/>
  <c r="J48" i="2"/>
  <c r="J49" i="2" s="1"/>
  <c r="E48" i="2"/>
  <c r="E49" i="2" s="1"/>
  <c r="D32" i="2"/>
  <c r="D48" i="2" s="1"/>
  <c r="D49" i="2" s="1"/>
  <c r="O61" i="2"/>
  <c r="M61" i="2"/>
  <c r="L61" i="2"/>
  <c r="K61" i="2"/>
  <c r="J61" i="2"/>
  <c r="H61" i="2"/>
  <c r="G61" i="2"/>
  <c r="F61" i="2"/>
  <c r="E61" i="2"/>
  <c r="D61" i="2"/>
  <c r="C61" i="2"/>
  <c r="D42" i="2"/>
  <c r="R31" i="5"/>
  <c r="H31" i="5" s="1"/>
  <c r="I31" i="5" s="1"/>
  <c r="J31" i="5" s="1"/>
  <c r="K31" i="5" s="1"/>
  <c r="L31" i="5" s="1"/>
  <c r="M31" i="5" s="1"/>
  <c r="N31" i="5" s="1"/>
  <c r="O31" i="5" s="1"/>
  <c r="P31" i="5" s="1"/>
  <c r="Q31" i="5" s="1"/>
  <c r="R27" i="5"/>
  <c r="H27" i="5" s="1"/>
  <c r="I27" i="5" s="1"/>
  <c r="J27" i="5" s="1"/>
  <c r="K27" i="5" s="1"/>
  <c r="L27" i="5" s="1"/>
  <c r="M27" i="5" s="1"/>
  <c r="N27" i="5" s="1"/>
  <c r="O27" i="5" s="1"/>
  <c r="P27" i="5" s="1"/>
  <c r="Q27" i="5" s="1"/>
  <c r="G30" i="5"/>
  <c r="G26" i="5"/>
  <c r="F36" i="5"/>
  <c r="O67" i="2" s="1"/>
  <c r="P67" i="2" s="1"/>
  <c r="F34" i="5"/>
  <c r="F29" i="5"/>
  <c r="E29" i="5"/>
  <c r="D29" i="5"/>
  <c r="F25" i="5"/>
  <c r="E25" i="5"/>
  <c r="D25" i="5"/>
  <c r="F23" i="5"/>
  <c r="E23" i="5"/>
  <c r="D23" i="5"/>
  <c r="F21" i="5"/>
  <c r="G21" i="5" s="1"/>
  <c r="F19" i="5"/>
  <c r="E19" i="5"/>
  <c r="F17" i="5"/>
  <c r="E17" i="5"/>
  <c r="D17" i="5"/>
  <c r="F15" i="5"/>
  <c r="E15" i="5"/>
  <c r="D15" i="5"/>
  <c r="F13" i="5"/>
  <c r="E13" i="5"/>
  <c r="D13" i="5"/>
  <c r="F11" i="5"/>
  <c r="E11" i="5"/>
  <c r="D11" i="5"/>
  <c r="F9" i="5"/>
  <c r="E9" i="5"/>
  <c r="D9" i="5"/>
  <c r="F7" i="5"/>
  <c r="E7" i="5"/>
  <c r="D7" i="5"/>
  <c r="F5" i="5"/>
  <c r="E5" i="5"/>
  <c r="D5" i="5"/>
  <c r="F38" i="5"/>
  <c r="E38" i="5"/>
  <c r="D38" i="5"/>
  <c r="E87" i="2" s="1"/>
  <c r="O57" i="5"/>
  <c r="N57" i="5"/>
  <c r="M57" i="5"/>
  <c r="L57" i="5"/>
  <c r="K57" i="5"/>
  <c r="J57" i="5"/>
  <c r="I57" i="5"/>
  <c r="H57" i="5"/>
  <c r="G57" i="5"/>
  <c r="F57" i="5"/>
  <c r="E57" i="5"/>
  <c r="D57" i="5"/>
  <c r="G38" i="5" l="1"/>
  <c r="O87" i="2"/>
  <c r="E94" i="2"/>
  <c r="E89" i="2"/>
  <c r="E88" i="2"/>
  <c r="E95" i="2" s="1"/>
  <c r="J87" i="2"/>
  <c r="Q67" i="2"/>
  <c r="O50" i="2"/>
  <c r="P49" i="2" s="1"/>
  <c r="G5" i="5"/>
  <c r="G4" i="5" s="1"/>
  <c r="G13" i="5"/>
  <c r="R13" i="5" s="1"/>
  <c r="G17" i="5"/>
  <c r="G16" i="5" s="1"/>
  <c r="G23" i="5"/>
  <c r="G22" i="5" s="1"/>
  <c r="G29" i="5"/>
  <c r="G28" i="5" s="1"/>
  <c r="G9" i="5"/>
  <c r="G8" i="5" s="1"/>
  <c r="G11" i="5"/>
  <c r="G10" i="5" s="1"/>
  <c r="G15" i="5"/>
  <c r="G14" i="5" s="1"/>
  <c r="G25" i="5"/>
  <c r="G24" i="5" s="1"/>
  <c r="G7" i="5"/>
  <c r="R7" i="5" s="1"/>
  <c r="H7" i="5" s="1"/>
  <c r="I7" i="5" s="1"/>
  <c r="J7" i="5" s="1"/>
  <c r="K7" i="5" s="1"/>
  <c r="L7" i="5" s="1"/>
  <c r="M7" i="5" s="1"/>
  <c r="N7" i="5" s="1"/>
  <c r="O7" i="5" s="1"/>
  <c r="P7" i="5" s="1"/>
  <c r="Q7" i="5" s="1"/>
  <c r="G19" i="5"/>
  <c r="G18" i="5" s="1"/>
  <c r="G20" i="5"/>
  <c r="R21" i="5"/>
  <c r="H21" i="5" s="1"/>
  <c r="I21" i="5" s="1"/>
  <c r="J21" i="5" s="1"/>
  <c r="K21" i="5" s="1"/>
  <c r="L21" i="5" s="1"/>
  <c r="M21" i="5" s="1"/>
  <c r="N21" i="5" s="1"/>
  <c r="O21" i="5" s="1"/>
  <c r="P21" i="5" s="1"/>
  <c r="Q21" i="5" s="1"/>
  <c r="K58" i="5"/>
  <c r="F58" i="5"/>
  <c r="L58" i="5"/>
  <c r="H30" i="5"/>
  <c r="I30" i="5" s="1"/>
  <c r="J30" i="5" s="1"/>
  <c r="K30" i="5" s="1"/>
  <c r="L30" i="5" s="1"/>
  <c r="M30" i="5" s="1"/>
  <c r="N30" i="5" s="1"/>
  <c r="O30" i="5" s="1"/>
  <c r="P30" i="5" s="1"/>
  <c r="Q30" i="5" s="1"/>
  <c r="H26" i="5"/>
  <c r="I26" i="5" s="1"/>
  <c r="J26" i="5" s="1"/>
  <c r="K26" i="5" s="1"/>
  <c r="L26" i="5" s="1"/>
  <c r="M26" i="5" s="1"/>
  <c r="N26" i="5" s="1"/>
  <c r="O26" i="5" s="1"/>
  <c r="P26" i="5" s="1"/>
  <c r="Q26" i="5" s="1"/>
  <c r="I58" i="5"/>
  <c r="M58" i="5"/>
  <c r="E58" i="5"/>
  <c r="J58" i="5"/>
  <c r="H58" i="5"/>
  <c r="N58" i="5"/>
  <c r="G58" i="5"/>
  <c r="O58" i="5"/>
  <c r="E90" i="2" l="1"/>
  <c r="E96" i="2"/>
  <c r="E97" i="2" s="1"/>
  <c r="E159" i="2"/>
  <c r="E163" i="2"/>
  <c r="E165" i="2"/>
  <c r="E167" i="2"/>
  <c r="E161" i="2"/>
  <c r="O94" i="2"/>
  <c r="O88" i="2"/>
  <c r="O95" i="2" s="1"/>
  <c r="O89" i="2"/>
  <c r="J94" i="2"/>
  <c r="J88" i="2"/>
  <c r="J95" i="2" s="1"/>
  <c r="H38" i="5"/>
  <c r="Q49" i="2"/>
  <c r="R49" i="2" s="1"/>
  <c r="S49" i="2" s="1"/>
  <c r="T49" i="2" s="1"/>
  <c r="U49" i="2" s="1"/>
  <c r="V49" i="2" s="1"/>
  <c r="W49" i="2" s="1"/>
  <c r="X49" i="2" s="1"/>
  <c r="Y49" i="2" s="1"/>
  <c r="P50" i="2"/>
  <c r="P45" i="2" s="1"/>
  <c r="R15" i="5"/>
  <c r="H15" i="5" s="1"/>
  <c r="I15" i="5" s="1"/>
  <c r="J15" i="5" s="1"/>
  <c r="K15" i="5" s="1"/>
  <c r="L15" i="5" s="1"/>
  <c r="M15" i="5" s="1"/>
  <c r="N15" i="5" s="1"/>
  <c r="O15" i="5" s="1"/>
  <c r="P15" i="5" s="1"/>
  <c r="Q15" i="5" s="1"/>
  <c r="H13" i="5"/>
  <c r="I13" i="5" s="1"/>
  <c r="J13" i="5" s="1"/>
  <c r="K13" i="5" s="1"/>
  <c r="L13" i="5" s="1"/>
  <c r="M13" i="5" s="1"/>
  <c r="N13" i="5" s="1"/>
  <c r="O13" i="5" s="1"/>
  <c r="P13" i="5" s="1"/>
  <c r="Q13" i="5" s="1"/>
  <c r="G12" i="5"/>
  <c r="R17" i="5"/>
  <c r="H17" i="5" s="1"/>
  <c r="H16" i="5" s="1"/>
  <c r="R67" i="2"/>
  <c r="G6" i="5"/>
  <c r="H6" i="5" s="1"/>
  <c r="I6" i="5" s="1"/>
  <c r="J6" i="5" s="1"/>
  <c r="K6" i="5" s="1"/>
  <c r="L6" i="5" s="1"/>
  <c r="M6" i="5" s="1"/>
  <c r="N6" i="5" s="1"/>
  <c r="O6" i="5" s="1"/>
  <c r="P6" i="5" s="1"/>
  <c r="Q6" i="5" s="1"/>
  <c r="R29" i="5"/>
  <c r="H29" i="5" s="1"/>
  <c r="I29" i="5" s="1"/>
  <c r="J29" i="5" s="1"/>
  <c r="K29" i="5" s="1"/>
  <c r="L29" i="5" s="1"/>
  <c r="M29" i="5" s="1"/>
  <c r="N29" i="5" s="1"/>
  <c r="O29" i="5" s="1"/>
  <c r="P29" i="5" s="1"/>
  <c r="Q29" i="5" s="1"/>
  <c r="R5" i="5"/>
  <c r="H5" i="5" s="1"/>
  <c r="I5" i="5" s="1"/>
  <c r="J5" i="5" s="1"/>
  <c r="K5" i="5" s="1"/>
  <c r="L5" i="5" s="1"/>
  <c r="M5" i="5" s="1"/>
  <c r="N5" i="5" s="1"/>
  <c r="O5" i="5" s="1"/>
  <c r="P5" i="5" s="1"/>
  <c r="Q5" i="5" s="1"/>
  <c r="H9" i="5"/>
  <c r="I9" i="5" s="1"/>
  <c r="J9" i="5" s="1"/>
  <c r="K9" i="5" s="1"/>
  <c r="L9" i="5" s="1"/>
  <c r="M9" i="5" s="1"/>
  <c r="N9" i="5" s="1"/>
  <c r="O9" i="5" s="1"/>
  <c r="P9" i="5" s="1"/>
  <c r="Q9" i="5" s="1"/>
  <c r="R23" i="5"/>
  <c r="H23" i="5" s="1"/>
  <c r="I23" i="5" s="1"/>
  <c r="J23" i="5" s="1"/>
  <c r="K23" i="5" s="1"/>
  <c r="L23" i="5" s="1"/>
  <c r="M23" i="5" s="1"/>
  <c r="N23" i="5" s="1"/>
  <c r="O23" i="5" s="1"/>
  <c r="P23" i="5" s="1"/>
  <c r="Q23" i="5" s="1"/>
  <c r="R11" i="5"/>
  <c r="H11" i="5" s="1"/>
  <c r="I11" i="5" s="1"/>
  <c r="J11" i="5" s="1"/>
  <c r="K11" i="5" s="1"/>
  <c r="L11" i="5" s="1"/>
  <c r="M11" i="5" s="1"/>
  <c r="N11" i="5" s="1"/>
  <c r="O11" i="5" s="1"/>
  <c r="P11" i="5" s="1"/>
  <c r="Q11" i="5" s="1"/>
  <c r="H20" i="5"/>
  <c r="I20" i="5" s="1"/>
  <c r="J20" i="5" s="1"/>
  <c r="K20" i="5" s="1"/>
  <c r="L20" i="5" s="1"/>
  <c r="M20" i="5" s="1"/>
  <c r="N20" i="5" s="1"/>
  <c r="O20" i="5" s="1"/>
  <c r="P20" i="5" s="1"/>
  <c r="Q20" i="5" s="1"/>
  <c r="R19" i="5"/>
  <c r="H19" i="5" s="1"/>
  <c r="I19" i="5" s="1"/>
  <c r="J19" i="5" s="1"/>
  <c r="K19" i="5" s="1"/>
  <c r="L19" i="5" s="1"/>
  <c r="M19" i="5" s="1"/>
  <c r="N19" i="5" s="1"/>
  <c r="O19" i="5" s="1"/>
  <c r="P19" i="5" s="1"/>
  <c r="Q19" i="5" s="1"/>
  <c r="R25" i="5"/>
  <c r="H25" i="5" s="1"/>
  <c r="I25" i="5" s="1"/>
  <c r="J25" i="5" s="1"/>
  <c r="K25" i="5" s="1"/>
  <c r="L25" i="5" s="1"/>
  <c r="M25" i="5" s="1"/>
  <c r="N25" i="5" s="1"/>
  <c r="O25" i="5" s="1"/>
  <c r="P25" i="5" s="1"/>
  <c r="Q25" i="5" s="1"/>
  <c r="I17" i="5" l="1"/>
  <c r="J17" i="5" s="1"/>
  <c r="K17" i="5" s="1"/>
  <c r="L17" i="5" s="1"/>
  <c r="M17" i="5" s="1"/>
  <c r="N17" i="5" s="1"/>
  <c r="O17" i="5" s="1"/>
  <c r="P17" i="5" s="1"/>
  <c r="Q17" i="5" s="1"/>
  <c r="J96" i="2"/>
  <c r="J97" i="2" s="1"/>
  <c r="J167" i="2"/>
  <c r="J161" i="2"/>
  <c r="J159" i="2"/>
  <c r="J163" i="2"/>
  <c r="J165" i="2"/>
  <c r="P89" i="2"/>
  <c r="Q89" i="2" s="1"/>
  <c r="R89" i="2" s="1"/>
  <c r="S89" i="2" s="1"/>
  <c r="T89" i="2" s="1"/>
  <c r="U89" i="2" s="1"/>
  <c r="V89" i="2" s="1"/>
  <c r="W89" i="2" s="1"/>
  <c r="X89" i="2" s="1"/>
  <c r="Y89" i="2" s="1"/>
  <c r="O90" i="2"/>
  <c r="I38" i="5"/>
  <c r="J38" i="5" s="1"/>
  <c r="O96" i="2"/>
  <c r="O167" i="2"/>
  <c r="O163" i="2"/>
  <c r="O165" i="2"/>
  <c r="O159" i="2"/>
  <c r="O161" i="2"/>
  <c r="H12" i="5"/>
  <c r="I12" i="5" s="1"/>
  <c r="J12" i="5" s="1"/>
  <c r="K12" i="5" s="1"/>
  <c r="L12" i="5" s="1"/>
  <c r="M12" i="5" s="1"/>
  <c r="N12" i="5" s="1"/>
  <c r="O12" i="5" s="1"/>
  <c r="P12" i="5" s="1"/>
  <c r="Q12" i="5" s="1"/>
  <c r="H14" i="5"/>
  <c r="I14" i="5" s="1"/>
  <c r="J14" i="5" s="1"/>
  <c r="K14" i="5" s="1"/>
  <c r="L14" i="5" s="1"/>
  <c r="M14" i="5" s="1"/>
  <c r="N14" i="5" s="1"/>
  <c r="O14" i="5" s="1"/>
  <c r="P14" i="5" s="1"/>
  <c r="Q14" i="5" s="1"/>
  <c r="S67" i="2"/>
  <c r="P46" i="2"/>
  <c r="H4" i="5"/>
  <c r="I4" i="5" s="1"/>
  <c r="H28" i="5"/>
  <c r="I28" i="5" s="1"/>
  <c r="J28" i="5" s="1"/>
  <c r="K28" i="5" s="1"/>
  <c r="L28" i="5" s="1"/>
  <c r="M28" i="5" s="1"/>
  <c r="N28" i="5" s="1"/>
  <c r="O28" i="5" s="1"/>
  <c r="P28" i="5" s="1"/>
  <c r="Q28" i="5" s="1"/>
  <c r="H24" i="5"/>
  <c r="I24" i="5" s="1"/>
  <c r="J24" i="5" s="1"/>
  <c r="K24" i="5" s="1"/>
  <c r="L24" i="5" s="1"/>
  <c r="M24" i="5" s="1"/>
  <c r="N24" i="5" s="1"/>
  <c r="O24" i="5" s="1"/>
  <c r="P24" i="5" s="1"/>
  <c r="Q24" i="5" s="1"/>
  <c r="H8" i="5"/>
  <c r="I8" i="5" s="1"/>
  <c r="J8" i="5" s="1"/>
  <c r="K8" i="5" s="1"/>
  <c r="L8" i="5" s="1"/>
  <c r="M8" i="5" s="1"/>
  <c r="N8" i="5" s="1"/>
  <c r="O8" i="5" s="1"/>
  <c r="P8" i="5" s="1"/>
  <c r="Q8" i="5" s="1"/>
  <c r="H22" i="5"/>
  <c r="I22" i="5" s="1"/>
  <c r="J22" i="5" s="1"/>
  <c r="K22" i="5" s="1"/>
  <c r="L22" i="5" s="1"/>
  <c r="M22" i="5" s="1"/>
  <c r="N22" i="5" s="1"/>
  <c r="O22" i="5" s="1"/>
  <c r="P22" i="5" s="1"/>
  <c r="Q22" i="5" s="1"/>
  <c r="H18" i="5"/>
  <c r="I18" i="5" s="1"/>
  <c r="J18" i="5" s="1"/>
  <c r="K18" i="5" s="1"/>
  <c r="L18" i="5" s="1"/>
  <c r="M18" i="5" s="1"/>
  <c r="N18" i="5" s="1"/>
  <c r="O18" i="5" s="1"/>
  <c r="P18" i="5" s="1"/>
  <c r="Q18" i="5" s="1"/>
  <c r="H10" i="5"/>
  <c r="I10" i="5" s="1"/>
  <c r="J10" i="5" s="1"/>
  <c r="K10" i="5" s="1"/>
  <c r="L10" i="5" s="1"/>
  <c r="M10" i="5" s="1"/>
  <c r="N10" i="5" s="1"/>
  <c r="O10" i="5" s="1"/>
  <c r="P10" i="5" s="1"/>
  <c r="Q10" i="5" s="1"/>
  <c r="P159" i="2" l="1"/>
  <c r="Q159" i="2" s="1"/>
  <c r="R159" i="2" s="1"/>
  <c r="S159" i="2" s="1"/>
  <c r="T159" i="2" s="1"/>
  <c r="U159" i="2" s="1"/>
  <c r="V159" i="2" s="1"/>
  <c r="W159" i="2" s="1"/>
  <c r="X159" i="2" s="1"/>
  <c r="Y159" i="2" s="1"/>
  <c r="I16" i="5"/>
  <c r="J16" i="5" s="1"/>
  <c r="K16" i="5" s="1"/>
  <c r="L16" i="5" s="1"/>
  <c r="M16" i="5" s="1"/>
  <c r="N16" i="5" s="1"/>
  <c r="O16" i="5" s="1"/>
  <c r="P16" i="5" s="1"/>
  <c r="Q16" i="5" s="1"/>
  <c r="P161" i="2"/>
  <c r="Q161" i="2" s="1"/>
  <c r="R161" i="2" s="1"/>
  <c r="S161" i="2" s="1"/>
  <c r="T161" i="2" s="1"/>
  <c r="U161" i="2" s="1"/>
  <c r="V161" i="2" s="1"/>
  <c r="W161" i="2" s="1"/>
  <c r="X161" i="2" s="1"/>
  <c r="Y161" i="2" s="1"/>
  <c r="P163" i="2"/>
  <c r="Q163" i="2" s="1"/>
  <c r="R163" i="2" s="1"/>
  <c r="S163" i="2" s="1"/>
  <c r="T163" i="2" s="1"/>
  <c r="U163" i="2" s="1"/>
  <c r="V163" i="2" s="1"/>
  <c r="W163" i="2" s="1"/>
  <c r="X163" i="2" s="1"/>
  <c r="Y163" i="2" s="1"/>
  <c r="P96" i="2"/>
  <c r="Q96" i="2" s="1"/>
  <c r="R96" i="2" s="1"/>
  <c r="S96" i="2" s="1"/>
  <c r="T96" i="2" s="1"/>
  <c r="U96" i="2" s="1"/>
  <c r="V96" i="2" s="1"/>
  <c r="W96" i="2" s="1"/>
  <c r="X96" i="2" s="1"/>
  <c r="Y96" i="2" s="1"/>
  <c r="O97" i="2"/>
  <c r="K38" i="5"/>
  <c r="P165" i="2"/>
  <c r="Q165" i="2" s="1"/>
  <c r="R165" i="2" s="1"/>
  <c r="S165" i="2" s="1"/>
  <c r="T165" i="2" s="1"/>
  <c r="U165" i="2" s="1"/>
  <c r="V165" i="2" s="1"/>
  <c r="W165" i="2" s="1"/>
  <c r="X165" i="2" s="1"/>
  <c r="Y165" i="2" s="1"/>
  <c r="P167" i="2"/>
  <c r="Q167" i="2" s="1"/>
  <c r="R167" i="2" s="1"/>
  <c r="S167" i="2" s="1"/>
  <c r="T167" i="2" s="1"/>
  <c r="U167" i="2" s="1"/>
  <c r="V167" i="2" s="1"/>
  <c r="W167" i="2" s="1"/>
  <c r="X167" i="2" s="1"/>
  <c r="Y167" i="2" s="1"/>
  <c r="T67" i="2"/>
  <c r="J4" i="5"/>
  <c r="L38" i="5" l="1"/>
  <c r="U67" i="2"/>
  <c r="K4" i="5"/>
  <c r="M38" i="5" l="1"/>
  <c r="V67" i="2"/>
  <c r="L4" i="5"/>
  <c r="N38" i="5" l="1"/>
  <c r="O38" i="5" s="1"/>
  <c r="P38" i="5" s="1"/>
  <c r="Q38" i="5" s="1"/>
  <c r="W67" i="2"/>
  <c r="M4" i="5"/>
  <c r="X67" i="2" l="1"/>
  <c r="N4" i="5"/>
  <c r="Y67" i="2" l="1"/>
  <c r="O4" i="5"/>
  <c r="P4" i="5" l="1"/>
  <c r="Q4" i="5" l="1"/>
  <c r="O54" i="5"/>
  <c r="N54" i="5"/>
  <c r="M54" i="5"/>
  <c r="L54" i="5"/>
  <c r="K54" i="5"/>
  <c r="J54" i="5"/>
  <c r="I54" i="5"/>
  <c r="H54" i="5"/>
  <c r="G54" i="5"/>
  <c r="F54" i="5"/>
  <c r="E54" i="5"/>
  <c r="D54" i="5"/>
  <c r="C54" i="5"/>
  <c r="O48" i="5"/>
  <c r="K48" i="5"/>
  <c r="G48" i="5"/>
  <c r="C48" i="5"/>
  <c r="C32" i="5"/>
  <c r="D32" i="5"/>
  <c r="E32" i="5"/>
  <c r="D43" i="2"/>
  <c r="E42" i="2"/>
  <c r="E43" i="2" s="1"/>
  <c r="O42" i="2"/>
  <c r="O43" i="2" s="1"/>
  <c r="J42" i="2"/>
  <c r="J43" i="2" s="1"/>
  <c r="J24" i="2"/>
  <c r="O78" i="2"/>
  <c r="M78" i="2"/>
  <c r="L78" i="2"/>
  <c r="K78" i="2"/>
  <c r="J78" i="2"/>
  <c r="H78" i="2"/>
  <c r="G78" i="2"/>
  <c r="F78" i="2"/>
  <c r="O74" i="2"/>
  <c r="M74" i="2"/>
  <c r="L74" i="2"/>
  <c r="K74" i="2"/>
  <c r="J74" i="2"/>
  <c r="H74" i="2"/>
  <c r="G74" i="2"/>
  <c r="F74" i="2"/>
  <c r="O69" i="2"/>
  <c r="M69" i="2"/>
  <c r="L69" i="2"/>
  <c r="K69" i="2"/>
  <c r="J69" i="2"/>
  <c r="H69" i="2"/>
  <c r="G69" i="2"/>
  <c r="F69" i="2"/>
  <c r="E69" i="2"/>
  <c r="D69" i="2"/>
  <c r="O65" i="2"/>
  <c r="M65" i="2"/>
  <c r="L65" i="2"/>
  <c r="K65" i="2"/>
  <c r="J65" i="2"/>
  <c r="H65" i="2"/>
  <c r="G65" i="2"/>
  <c r="F65" i="2"/>
  <c r="E65" i="2"/>
  <c r="D65" i="2"/>
  <c r="O60" i="2"/>
  <c r="M60" i="2"/>
  <c r="L60" i="2"/>
  <c r="K60" i="2"/>
  <c r="J60" i="2"/>
  <c r="H60" i="2"/>
  <c r="G60" i="2"/>
  <c r="F60" i="2"/>
  <c r="E60" i="2"/>
  <c r="D60" i="2"/>
  <c r="O57" i="2"/>
  <c r="M57" i="2"/>
  <c r="L57" i="2"/>
  <c r="K57" i="2"/>
  <c r="J57" i="2"/>
  <c r="H57" i="2"/>
  <c r="G57" i="2"/>
  <c r="F57" i="2"/>
  <c r="E57" i="2"/>
  <c r="D57" i="2"/>
  <c r="O52" i="2"/>
  <c r="M52" i="2"/>
  <c r="L52" i="2"/>
  <c r="K52" i="2"/>
  <c r="J52" i="2"/>
  <c r="H52" i="2"/>
  <c r="G52" i="2"/>
  <c r="F52" i="2"/>
  <c r="E52" i="2"/>
  <c r="D52" i="2"/>
  <c r="O46" i="2"/>
  <c r="M46" i="2"/>
  <c r="L46" i="2"/>
  <c r="K46" i="2"/>
  <c r="J46" i="2"/>
  <c r="H46" i="2"/>
  <c r="G46" i="2"/>
  <c r="F46" i="2"/>
  <c r="E46" i="2"/>
  <c r="D46" i="2"/>
  <c r="O40" i="2"/>
  <c r="M40" i="2"/>
  <c r="L40" i="2"/>
  <c r="K40" i="2"/>
  <c r="J40" i="2"/>
  <c r="H40" i="2"/>
  <c r="G40" i="2"/>
  <c r="F40" i="2"/>
  <c r="E40" i="2"/>
  <c r="D40" i="2"/>
  <c r="O27" i="2"/>
  <c r="J27" i="2"/>
  <c r="E27" i="2"/>
  <c r="D27" i="2"/>
  <c r="O24" i="2"/>
  <c r="E24" i="2"/>
  <c r="D24" i="2"/>
  <c r="O20" i="2"/>
  <c r="J20" i="2"/>
  <c r="E20" i="2"/>
  <c r="D20" i="2"/>
  <c r="O17" i="2"/>
  <c r="J17" i="2"/>
  <c r="E17" i="2"/>
  <c r="D17" i="2"/>
  <c r="O14" i="2"/>
  <c r="J14" i="2"/>
  <c r="E14" i="2"/>
  <c r="D14" i="2"/>
  <c r="O11" i="2"/>
  <c r="J11" i="2"/>
  <c r="E11" i="2"/>
  <c r="D11" i="2"/>
  <c r="N220" i="2"/>
  <c r="N217" i="2"/>
  <c r="N212" i="2"/>
  <c r="N207" i="2"/>
  <c r="N203" i="2"/>
  <c r="N198" i="2"/>
  <c r="N194" i="2"/>
  <c r="N190" i="2"/>
  <c r="N187" i="2"/>
  <c r="N184" i="2"/>
  <c r="N179" i="2"/>
  <c r="N176" i="2"/>
  <c r="N173" i="2"/>
  <c r="N155" i="2"/>
  <c r="N147" i="2"/>
  <c r="N144" i="2" s="1"/>
  <c r="N145" i="2"/>
  <c r="N135" i="2"/>
  <c r="N129" i="2"/>
  <c r="N118" i="2"/>
  <c r="N116" i="2"/>
  <c r="N123" i="2"/>
  <c r="N98" i="2"/>
  <c r="N91" i="2"/>
  <c r="N82" i="2"/>
  <c r="N77" i="2"/>
  <c r="N73" i="2"/>
  <c r="N68" i="2"/>
  <c r="N64" i="2"/>
  <c r="N59" i="2"/>
  <c r="N56" i="2"/>
  <c r="N51" i="2"/>
  <c r="N45" i="2"/>
  <c r="N39" i="2"/>
  <c r="I220" i="2"/>
  <c r="I217" i="2"/>
  <c r="I216" i="2"/>
  <c r="I215" i="2"/>
  <c r="I212" i="2"/>
  <c r="I211" i="2"/>
  <c r="I207" i="2"/>
  <c r="I203" i="2"/>
  <c r="I198" i="2"/>
  <c r="I194" i="2"/>
  <c r="I190" i="2"/>
  <c r="I187" i="2"/>
  <c r="I184" i="2"/>
  <c r="I179" i="2"/>
  <c r="I176" i="2"/>
  <c r="I175" i="2"/>
  <c r="I173" i="2"/>
  <c r="I155" i="2"/>
  <c r="I147" i="2"/>
  <c r="I145" i="2"/>
  <c r="I135" i="2"/>
  <c r="I129" i="2"/>
  <c r="I118" i="2"/>
  <c r="I116" i="2"/>
  <c r="I123" i="2"/>
  <c r="I98" i="2"/>
  <c r="I91" i="2"/>
  <c r="I82" i="2"/>
  <c r="I77" i="2"/>
  <c r="I78" i="2" s="1"/>
  <c r="I73" i="2"/>
  <c r="I68" i="2"/>
  <c r="I69" i="2" s="1"/>
  <c r="I64" i="2"/>
  <c r="I65" i="2" s="1"/>
  <c r="I59" i="2"/>
  <c r="I56" i="2"/>
  <c r="I57" i="2" s="1"/>
  <c r="I51" i="2"/>
  <c r="I52" i="2" s="1"/>
  <c r="I45" i="2"/>
  <c r="I39" i="2"/>
  <c r="H36" i="2"/>
  <c r="G36" i="2"/>
  <c r="F36" i="2"/>
  <c r="O36" i="2"/>
  <c r="F16" i="13" s="1"/>
  <c r="M36" i="2"/>
  <c r="L36" i="2"/>
  <c r="K36" i="2"/>
  <c r="J36" i="2"/>
  <c r="E36" i="2"/>
  <c r="O8" i="2"/>
  <c r="J8" i="2"/>
  <c r="E8" i="2"/>
  <c r="D73" i="2"/>
  <c r="D8" i="2"/>
  <c r="C8" i="2"/>
  <c r="C73" i="2"/>
  <c r="N4" i="10" l="1"/>
  <c r="N71" i="10" s="1"/>
  <c r="X3" i="13"/>
  <c r="N119" i="2"/>
  <c r="E228" i="2"/>
  <c r="E226" i="2"/>
  <c r="J226" i="2"/>
  <c r="J228" i="2"/>
  <c r="K228" i="2"/>
  <c r="H228" i="2"/>
  <c r="F228" i="2"/>
  <c r="G228" i="2"/>
  <c r="L228" i="2"/>
  <c r="O226" i="2"/>
  <c r="O228" i="2"/>
  <c r="M228" i="2"/>
  <c r="N227" i="2"/>
  <c r="I227" i="2"/>
  <c r="N209" i="2"/>
  <c r="I209" i="2"/>
  <c r="I205" i="2"/>
  <c r="N205" i="2"/>
  <c r="J101" i="2"/>
  <c r="J127" i="2" s="1"/>
  <c r="J122" i="2"/>
  <c r="G101" i="2"/>
  <c r="G127" i="2" s="1"/>
  <c r="G122" i="2"/>
  <c r="K101" i="2"/>
  <c r="K127" i="2" s="1"/>
  <c r="K122" i="2"/>
  <c r="H101" i="2"/>
  <c r="H127" i="2" s="1"/>
  <c r="H122" i="2"/>
  <c r="L101" i="2"/>
  <c r="L127" i="2" s="1"/>
  <c r="L122" i="2"/>
  <c r="M101" i="2"/>
  <c r="M127" i="2" s="1"/>
  <c r="M122" i="2"/>
  <c r="O101" i="2"/>
  <c r="O122" i="2"/>
  <c r="E101" i="2"/>
  <c r="E127" i="2" s="1"/>
  <c r="E122" i="2"/>
  <c r="F101" i="2"/>
  <c r="F127" i="2" s="1"/>
  <c r="F122" i="2"/>
  <c r="I152" i="2"/>
  <c r="N152" i="2"/>
  <c r="I144" i="2"/>
  <c r="I148" i="2"/>
  <c r="I149" i="2" s="1"/>
  <c r="N105" i="2"/>
  <c r="I105" i="2"/>
  <c r="I239" i="2"/>
  <c r="I125" i="2"/>
  <c r="N239" i="2"/>
  <c r="N125" i="2"/>
  <c r="J117" i="2"/>
  <c r="P117" i="2" s="1"/>
  <c r="J107" i="2"/>
  <c r="K117" i="2"/>
  <c r="K107" i="2"/>
  <c r="O117" i="2"/>
  <c r="O107" i="2"/>
  <c r="G117" i="2"/>
  <c r="G107" i="2"/>
  <c r="H117" i="2"/>
  <c r="H107" i="2"/>
  <c r="L117" i="2"/>
  <c r="L107" i="2"/>
  <c r="M117" i="2"/>
  <c r="M107" i="2"/>
  <c r="E117" i="2"/>
  <c r="E107" i="2"/>
  <c r="F117" i="2"/>
  <c r="F107" i="2"/>
  <c r="I219" i="2"/>
  <c r="N219" i="2"/>
  <c r="I196" i="2"/>
  <c r="N196" i="2"/>
  <c r="I200" i="2"/>
  <c r="N200" i="2"/>
  <c r="I192" i="2"/>
  <c r="N192" i="2"/>
  <c r="H192" i="2"/>
  <c r="F192" i="2"/>
  <c r="N189" i="2"/>
  <c r="G192" i="2"/>
  <c r="I189" i="2"/>
  <c r="C28" i="2"/>
  <c r="D25" i="2"/>
  <c r="I119" i="2"/>
  <c r="I236" i="2"/>
  <c r="N236" i="2"/>
  <c r="K99" i="2"/>
  <c r="K126" i="2"/>
  <c r="M99" i="2"/>
  <c r="M126" i="2"/>
  <c r="L99" i="2"/>
  <c r="L126" i="2"/>
  <c r="O99" i="2"/>
  <c r="O126" i="2"/>
  <c r="H99" i="2"/>
  <c r="H126" i="2"/>
  <c r="E99" i="2"/>
  <c r="E126" i="2"/>
  <c r="F99" i="2"/>
  <c r="F126" i="2"/>
  <c r="J99" i="2"/>
  <c r="J126" i="2"/>
  <c r="G99" i="2"/>
  <c r="G126" i="2"/>
  <c r="M83" i="2"/>
  <c r="M93" i="2"/>
  <c r="O83" i="2"/>
  <c r="O93" i="2"/>
  <c r="E83" i="2"/>
  <c r="E93" i="2"/>
  <c r="F83" i="2"/>
  <c r="F93" i="2"/>
  <c r="L83" i="2"/>
  <c r="L93" i="2"/>
  <c r="J83" i="2"/>
  <c r="J93" i="2"/>
  <c r="G83" i="2"/>
  <c r="G93" i="2"/>
  <c r="K83" i="2"/>
  <c r="K93" i="2"/>
  <c r="H83" i="2"/>
  <c r="H93" i="2"/>
  <c r="I86" i="2"/>
  <c r="N86" i="2"/>
  <c r="N38" i="2"/>
  <c r="I40" i="2"/>
  <c r="I38" i="2"/>
  <c r="D36" i="2"/>
  <c r="D76" i="2"/>
  <c r="I74" i="2"/>
  <c r="E21" i="2"/>
  <c r="E76" i="2"/>
  <c r="O28" i="2"/>
  <c r="O76" i="2"/>
  <c r="J25" i="2"/>
  <c r="J76" i="2"/>
  <c r="C36" i="2"/>
  <c r="C228" i="2" s="1"/>
  <c r="C76" i="2"/>
  <c r="O44" i="2"/>
  <c r="P43" i="2" s="1"/>
  <c r="I60" i="2"/>
  <c r="I61" i="2"/>
  <c r="N61" i="2"/>
  <c r="I46" i="2"/>
  <c r="E34" i="5"/>
  <c r="D36" i="5"/>
  <c r="D34" i="5"/>
  <c r="C36" i="5"/>
  <c r="C34" i="5"/>
  <c r="F33" i="5"/>
  <c r="E33" i="5"/>
  <c r="D33" i="5"/>
  <c r="O55" i="5"/>
  <c r="D55" i="5"/>
  <c r="J55" i="5"/>
  <c r="K55" i="5"/>
  <c r="F55" i="5"/>
  <c r="G55" i="5"/>
  <c r="H55" i="5"/>
  <c r="N55" i="5"/>
  <c r="E55" i="5"/>
  <c r="L55" i="5"/>
  <c r="M55" i="5"/>
  <c r="I55" i="5"/>
  <c r="G47" i="2"/>
  <c r="O58" i="2"/>
  <c r="G41" i="2"/>
  <c r="F70" i="2"/>
  <c r="G70" i="2"/>
  <c r="F75" i="2"/>
  <c r="G75" i="2"/>
  <c r="G79" i="2"/>
  <c r="F41" i="2"/>
  <c r="O66" i="2"/>
  <c r="K55" i="2"/>
  <c r="J79" i="2"/>
  <c r="L75" i="2"/>
  <c r="O41" i="2"/>
  <c r="F55" i="2"/>
  <c r="G66" i="2"/>
  <c r="M70" i="2"/>
  <c r="M75" i="2"/>
  <c r="M79" i="2"/>
  <c r="J55" i="2"/>
  <c r="K47" i="2"/>
  <c r="L41" i="2"/>
  <c r="L47" i="2"/>
  <c r="L55" i="2"/>
  <c r="K75" i="2"/>
  <c r="K79" i="2"/>
  <c r="M41" i="2"/>
  <c r="M47" i="2"/>
  <c r="M55" i="2"/>
  <c r="L70" i="2"/>
  <c r="L79" i="2"/>
  <c r="F47" i="2"/>
  <c r="G55" i="2"/>
  <c r="F58" i="2"/>
  <c r="M66" i="2"/>
  <c r="O70" i="2"/>
  <c r="P70" i="2" s="1"/>
  <c r="Q70" i="2" s="1"/>
  <c r="R70" i="2" s="1"/>
  <c r="S70" i="2" s="1"/>
  <c r="T70" i="2" s="1"/>
  <c r="U70" i="2" s="1"/>
  <c r="V70" i="2" s="1"/>
  <c r="W70" i="2" s="1"/>
  <c r="X70" i="2" s="1"/>
  <c r="Y70" i="2" s="1"/>
  <c r="F79" i="2"/>
  <c r="E47" i="2"/>
  <c r="E75" i="2"/>
  <c r="E79" i="2"/>
  <c r="H41" i="2"/>
  <c r="E58" i="2"/>
  <c r="K58" i="2"/>
  <c r="H70" i="2"/>
  <c r="H47" i="2"/>
  <c r="J41" i="2"/>
  <c r="O47" i="2"/>
  <c r="H55" i="2"/>
  <c r="G58" i="2"/>
  <c r="M58" i="2"/>
  <c r="E66" i="2"/>
  <c r="K66" i="2"/>
  <c r="J70" i="2"/>
  <c r="O75" i="2"/>
  <c r="H79" i="2"/>
  <c r="E55" i="2"/>
  <c r="J58" i="2"/>
  <c r="H66" i="2"/>
  <c r="L58" i="2"/>
  <c r="J66" i="2"/>
  <c r="H75" i="2"/>
  <c r="E41" i="2"/>
  <c r="K41" i="2"/>
  <c r="J47" i="2"/>
  <c r="O55" i="2"/>
  <c r="H58" i="2"/>
  <c r="F66" i="2"/>
  <c r="L66" i="2"/>
  <c r="E70" i="2"/>
  <c r="K70" i="2"/>
  <c r="J75" i="2"/>
  <c r="O79" i="2"/>
  <c r="J18" i="2"/>
  <c r="O12" i="2"/>
  <c r="O15" i="2"/>
  <c r="J28" i="2"/>
  <c r="N52" i="2"/>
  <c r="N78" i="2"/>
  <c r="E25" i="2"/>
  <c r="D28" i="2"/>
  <c r="J12" i="2"/>
  <c r="O18" i="2"/>
  <c r="E28" i="2"/>
  <c r="E12" i="2"/>
  <c r="J15" i="2"/>
  <c r="C12" i="2"/>
  <c r="E15" i="2"/>
  <c r="D18" i="2"/>
  <c r="C21" i="2"/>
  <c r="O21" i="2"/>
  <c r="E18" i="2"/>
  <c r="D21" i="2"/>
  <c r="J21" i="2"/>
  <c r="C25" i="2"/>
  <c r="O25" i="2"/>
  <c r="D12" i="2"/>
  <c r="C15" i="2"/>
  <c r="D15" i="2"/>
  <c r="C18" i="2"/>
  <c r="N57" i="2"/>
  <c r="N60" i="2"/>
  <c r="N69" i="2"/>
  <c r="D74" i="2"/>
  <c r="N46" i="2"/>
  <c r="N74" i="2"/>
  <c r="N65" i="2"/>
  <c r="N40" i="2"/>
  <c r="E74" i="2"/>
  <c r="J37" i="2"/>
  <c r="F37" i="2"/>
  <c r="G37" i="2"/>
  <c r="H37" i="2"/>
  <c r="K37" i="2"/>
  <c r="L37" i="2"/>
  <c r="M37" i="2"/>
  <c r="O37" i="2"/>
  <c r="X4" i="13" s="1"/>
  <c r="D9" i="2"/>
  <c r="E9" i="2"/>
  <c r="O9" i="2"/>
  <c r="J9" i="2"/>
  <c r="I36" i="2"/>
  <c r="N36" i="2"/>
  <c r="N68" i="10" l="1"/>
  <c r="H8" i="7" s="1"/>
  <c r="N74" i="10"/>
  <c r="J8" i="7" s="1"/>
  <c r="O127" i="2"/>
  <c r="T7" i="13"/>
  <c r="I4" i="13"/>
  <c r="O132" i="2"/>
  <c r="X5" i="13"/>
  <c r="X7" i="13" s="1"/>
  <c r="X10" i="13"/>
  <c r="I122" i="2"/>
  <c r="I228" i="2"/>
  <c r="N122" i="2"/>
  <c r="N228" i="2"/>
  <c r="D226" i="2"/>
  <c r="D228" i="2"/>
  <c r="C122" i="2"/>
  <c r="D122" i="2"/>
  <c r="O130" i="2"/>
  <c r="J102" i="2"/>
  <c r="E102" i="2"/>
  <c r="D107" i="2"/>
  <c r="D101" i="2"/>
  <c r="D127" i="2" s="1"/>
  <c r="N66" i="2"/>
  <c r="N101" i="2"/>
  <c r="N127" i="2" s="1"/>
  <c r="I70" i="2"/>
  <c r="I101" i="2"/>
  <c r="I127" i="2" s="1"/>
  <c r="C107" i="2"/>
  <c r="C101" i="2"/>
  <c r="C127" i="2" s="1"/>
  <c r="V117" i="2"/>
  <c r="Q43" i="2"/>
  <c r="R43" i="2" s="1"/>
  <c r="S43" i="2" s="1"/>
  <c r="T43" i="2" s="1"/>
  <c r="U43" i="2" s="1"/>
  <c r="V43" i="2" s="1"/>
  <c r="W43" i="2" s="1"/>
  <c r="X43" i="2" s="1"/>
  <c r="Y43" i="2" s="1"/>
  <c r="P44" i="2"/>
  <c r="P39" i="2" s="1"/>
  <c r="Q117" i="2"/>
  <c r="S117" i="2"/>
  <c r="Y117" i="2"/>
  <c r="W117" i="2"/>
  <c r="T117" i="2"/>
  <c r="R117" i="2"/>
  <c r="U117" i="2"/>
  <c r="X117" i="2"/>
  <c r="N107" i="2"/>
  <c r="I107" i="2"/>
  <c r="O102" i="2"/>
  <c r="I16" i="13" s="1"/>
  <c r="O4" i="10"/>
  <c r="O71" i="10" s="1"/>
  <c r="D41" i="2"/>
  <c r="D117" i="2"/>
  <c r="C70" i="2"/>
  <c r="C117" i="2"/>
  <c r="N117" i="2"/>
  <c r="I117" i="2"/>
  <c r="D58" i="2"/>
  <c r="L109" i="2"/>
  <c r="L102" i="2"/>
  <c r="D99" i="2"/>
  <c r="D126" i="2"/>
  <c r="N126" i="2"/>
  <c r="G109" i="2"/>
  <c r="G102" i="2"/>
  <c r="F109" i="2"/>
  <c r="F102" i="2"/>
  <c r="C99" i="2"/>
  <c r="C126" i="2"/>
  <c r="H109" i="2"/>
  <c r="H102" i="2"/>
  <c r="I126" i="2"/>
  <c r="K109" i="2"/>
  <c r="K102" i="2"/>
  <c r="M109" i="2"/>
  <c r="M102" i="2"/>
  <c r="E109" i="2"/>
  <c r="O109" i="2"/>
  <c r="X6" i="13"/>
  <c r="J109" i="2"/>
  <c r="N99" i="2"/>
  <c r="I99" i="2"/>
  <c r="I93" i="2"/>
  <c r="C83" i="2"/>
  <c r="C93" i="2"/>
  <c r="N93" i="2"/>
  <c r="D83" i="2"/>
  <c r="D93" i="2"/>
  <c r="I83" i="2"/>
  <c r="N83" i="2"/>
  <c r="D47" i="2"/>
  <c r="C58" i="2"/>
  <c r="C75" i="2"/>
  <c r="D75" i="2"/>
  <c r="D66" i="2"/>
  <c r="E37" i="2"/>
  <c r="D70" i="2"/>
  <c r="D55" i="2"/>
  <c r="C79" i="2"/>
  <c r="D79" i="2"/>
  <c r="C55" i="2"/>
  <c r="C47" i="2"/>
  <c r="C66" i="2"/>
  <c r="D37" i="2"/>
  <c r="C41" i="2"/>
  <c r="G33" i="5"/>
  <c r="G32" i="5" s="1"/>
  <c r="D44" i="5"/>
  <c r="D67" i="2"/>
  <c r="F37" i="5"/>
  <c r="F39" i="5" s="1"/>
  <c r="J67" i="2"/>
  <c r="E67" i="2"/>
  <c r="C44" i="5"/>
  <c r="C40" i="5"/>
  <c r="C42" i="5" s="1"/>
  <c r="C67" i="2"/>
  <c r="D40" i="5"/>
  <c r="D42" i="5" s="1"/>
  <c r="P61" i="2"/>
  <c r="Q61" i="2" s="1"/>
  <c r="R61" i="2" s="1"/>
  <c r="S61" i="2" s="1"/>
  <c r="T61" i="2" s="1"/>
  <c r="U61" i="2" s="1"/>
  <c r="V61" i="2" s="1"/>
  <c r="W61" i="2" s="1"/>
  <c r="X61" i="2" s="1"/>
  <c r="Y61" i="2" s="1"/>
  <c r="E44" i="5"/>
  <c r="D35" i="5"/>
  <c r="D37" i="5"/>
  <c r="D39" i="5" s="1"/>
  <c r="E35" i="5"/>
  <c r="F35" i="5"/>
  <c r="E37" i="5"/>
  <c r="E39" i="5" s="1"/>
  <c r="H59" i="5"/>
  <c r="M59" i="5"/>
  <c r="F59" i="5"/>
  <c r="K59" i="5"/>
  <c r="E59" i="5"/>
  <c r="J59" i="5"/>
  <c r="O59" i="5"/>
  <c r="I59" i="5"/>
  <c r="G59" i="5"/>
  <c r="L59" i="5"/>
  <c r="N59" i="5"/>
  <c r="D59" i="5"/>
  <c r="N70" i="2"/>
  <c r="I55" i="2"/>
  <c r="N55" i="2"/>
  <c r="N75" i="2"/>
  <c r="N47" i="2"/>
  <c r="I58" i="2"/>
  <c r="I79" i="2"/>
  <c r="I75" i="2"/>
  <c r="I47" i="2"/>
  <c r="I41" i="2"/>
  <c r="N58" i="2"/>
  <c r="N41" i="2"/>
  <c r="I66" i="2"/>
  <c r="N79" i="2"/>
  <c r="N37" i="2"/>
  <c r="I37" i="2"/>
  <c r="O68" i="10" l="1"/>
  <c r="H9" i="7" s="1"/>
  <c r="O74" i="10"/>
  <c r="J9" i="7" s="1"/>
  <c r="O133" i="2"/>
  <c r="J16" i="13" s="1"/>
  <c r="O134" i="2"/>
  <c r="J4" i="13"/>
  <c r="T8" i="13"/>
  <c r="T9" i="13"/>
  <c r="C109" i="2"/>
  <c r="O113" i="2"/>
  <c r="O251" i="2" s="1"/>
  <c r="T10" i="13" s="1"/>
  <c r="G16" i="13" s="1"/>
  <c r="P4" i="10"/>
  <c r="P71" i="10" s="1"/>
  <c r="M130" i="2"/>
  <c r="M110" i="2"/>
  <c r="J130" i="2"/>
  <c r="F5" i="4" s="1"/>
  <c r="J110" i="2"/>
  <c r="J111" i="2"/>
  <c r="K130" i="2"/>
  <c r="K110" i="2"/>
  <c r="O110" i="2"/>
  <c r="H4" i="10" s="1"/>
  <c r="G4" i="13" s="1"/>
  <c r="O111" i="2"/>
  <c r="F110" i="2"/>
  <c r="E110" i="2"/>
  <c r="L110" i="2"/>
  <c r="H130" i="2"/>
  <c r="H110" i="2"/>
  <c r="G130" i="2"/>
  <c r="G110" i="2"/>
  <c r="P75" i="2"/>
  <c r="Q75" i="2" s="1"/>
  <c r="R75" i="2" s="1"/>
  <c r="S75" i="2" s="1"/>
  <c r="T75" i="2" s="1"/>
  <c r="U75" i="2" s="1"/>
  <c r="V75" i="2" s="1"/>
  <c r="W75" i="2" s="1"/>
  <c r="X75" i="2" s="1"/>
  <c r="Y75" i="2" s="1"/>
  <c r="I109" i="2"/>
  <c r="I102" i="2"/>
  <c r="C102" i="2"/>
  <c r="D102" i="2"/>
  <c r="N109" i="2"/>
  <c r="N102" i="2"/>
  <c r="D109" i="2"/>
  <c r="P79" i="2"/>
  <c r="Q79" i="2" s="1"/>
  <c r="P40" i="2"/>
  <c r="R33" i="5"/>
  <c r="H33" i="5" s="1"/>
  <c r="I33" i="5" s="1"/>
  <c r="J33" i="5" s="1"/>
  <c r="K33" i="5" s="1"/>
  <c r="L33" i="5" s="1"/>
  <c r="M33" i="5" s="1"/>
  <c r="N33" i="5" s="1"/>
  <c r="O33" i="5" s="1"/>
  <c r="P33" i="5" s="1"/>
  <c r="Q33" i="5" s="1"/>
  <c r="D43" i="5"/>
  <c r="P59" i="2"/>
  <c r="P84" i="2" s="1"/>
  <c r="Q42" i="2"/>
  <c r="Q44" i="2" s="1"/>
  <c r="E43" i="5"/>
  <c r="F43" i="5"/>
  <c r="D41" i="5"/>
  <c r="E41" i="5"/>
  <c r="F41" i="5"/>
  <c r="G34" i="5"/>
  <c r="G35" i="5" s="1"/>
  <c r="K60" i="5"/>
  <c r="L60" i="5"/>
  <c r="G60" i="5"/>
  <c r="H60" i="5"/>
  <c r="J60" i="5"/>
  <c r="M60" i="5"/>
  <c r="O60" i="5"/>
  <c r="I60" i="5"/>
  <c r="E60" i="5"/>
  <c r="F60" i="5"/>
  <c r="N60" i="5"/>
  <c r="P68" i="10" l="1"/>
  <c r="P74" i="10"/>
  <c r="H16" i="13"/>
  <c r="G4" i="10"/>
  <c r="M132" i="2"/>
  <c r="J132" i="2"/>
  <c r="G132" i="2"/>
  <c r="J113" i="2"/>
  <c r="J251" i="2" s="1"/>
  <c r="M113" i="2"/>
  <c r="K113" i="2"/>
  <c r="H113" i="2"/>
  <c r="G113" i="2"/>
  <c r="K132" i="2"/>
  <c r="K134" i="2" s="1"/>
  <c r="N130" i="2"/>
  <c r="N110" i="2"/>
  <c r="F130" i="2"/>
  <c r="F132" i="2"/>
  <c r="D130" i="2"/>
  <c r="D111" i="2"/>
  <c r="D110" i="2"/>
  <c r="L130" i="2"/>
  <c r="L132" i="2"/>
  <c r="C130" i="2"/>
  <c r="C110" i="2"/>
  <c r="E111" i="2"/>
  <c r="H132" i="2"/>
  <c r="H134" i="2" s="1"/>
  <c r="G5" i="4"/>
  <c r="I110" i="2"/>
  <c r="E130" i="2"/>
  <c r="E132" i="2"/>
  <c r="P87" i="2"/>
  <c r="P82" i="2" s="1"/>
  <c r="P85" i="2"/>
  <c r="G41" i="5"/>
  <c r="H41" i="5" s="1"/>
  <c r="I41" i="5" s="1"/>
  <c r="J41" i="5" s="1"/>
  <c r="K41" i="5" s="1"/>
  <c r="L41" i="5" s="1"/>
  <c r="M41" i="5" s="1"/>
  <c r="N41" i="5" s="1"/>
  <c r="O41" i="5" s="1"/>
  <c r="P41" i="5" s="1"/>
  <c r="Q41" i="5" s="1"/>
  <c r="H32" i="5"/>
  <c r="I32" i="5" s="1"/>
  <c r="R79" i="2"/>
  <c r="S79" i="2" s="1"/>
  <c r="Q39" i="2"/>
  <c r="D3" i="4"/>
  <c r="E3" i="4" s="1"/>
  <c r="F3" i="4" s="1"/>
  <c r="G3" i="4" s="1"/>
  <c r="H3" i="4" s="1"/>
  <c r="I3" i="4" s="1"/>
  <c r="J3" i="4" s="1"/>
  <c r="K3" i="4" s="1"/>
  <c r="L3" i="4" s="1"/>
  <c r="M3" i="4" s="1"/>
  <c r="N3" i="4" s="1"/>
  <c r="O3" i="4" s="1"/>
  <c r="P3" i="4" s="1"/>
  <c r="Q3" i="4" s="1"/>
  <c r="E133" i="2" l="1"/>
  <c r="E134" i="2"/>
  <c r="J133" i="2"/>
  <c r="J134" i="2"/>
  <c r="F133" i="2"/>
  <c r="F134" i="2"/>
  <c r="M133" i="2"/>
  <c r="M134" i="2"/>
  <c r="G136" i="2"/>
  <c r="G134" i="2"/>
  <c r="L133" i="2"/>
  <c r="L134" i="2"/>
  <c r="H34" i="5"/>
  <c r="H35" i="5" s="1"/>
  <c r="M137" i="2"/>
  <c r="M142" i="2" s="1"/>
  <c r="M136" i="2"/>
  <c r="J137" i="2"/>
  <c r="J140" i="2" s="1"/>
  <c r="J141" i="2" s="1"/>
  <c r="G133" i="2"/>
  <c r="J136" i="2"/>
  <c r="F4" i="4" s="1"/>
  <c r="P94" i="2"/>
  <c r="P91" i="2" s="1"/>
  <c r="G137" i="2"/>
  <c r="G142" i="2" s="1"/>
  <c r="H137" i="2"/>
  <c r="H140" i="2" s="1"/>
  <c r="H141" i="2" s="1"/>
  <c r="H133" i="2"/>
  <c r="C113" i="2"/>
  <c r="C5" i="4"/>
  <c r="F113" i="2"/>
  <c r="N113" i="2"/>
  <c r="H136" i="2"/>
  <c r="E113" i="2"/>
  <c r="E251" i="2" s="1"/>
  <c r="E5" i="4"/>
  <c r="K137" i="2"/>
  <c r="K133" i="2"/>
  <c r="N132" i="2"/>
  <c r="N134" i="2" s="1"/>
  <c r="D113" i="2"/>
  <c r="D5" i="4"/>
  <c r="K136" i="2"/>
  <c r="O136" i="2"/>
  <c r="G4" i="4" s="1"/>
  <c r="L113" i="2"/>
  <c r="D132" i="2"/>
  <c r="I130" i="2"/>
  <c r="I132" i="2"/>
  <c r="F136" i="2"/>
  <c r="F137" i="2"/>
  <c r="L137" i="2"/>
  <c r="L136" i="2"/>
  <c r="O137" i="2"/>
  <c r="O140" i="2" s="1"/>
  <c r="O141" i="2" s="1"/>
  <c r="X8" i="13" s="1"/>
  <c r="C132" i="2"/>
  <c r="C134" i="2" s="1"/>
  <c r="E137" i="2"/>
  <c r="E136" i="2"/>
  <c r="E4" i="4" s="1"/>
  <c r="P88" i="2"/>
  <c r="P95" i="2" s="1"/>
  <c r="T79" i="2"/>
  <c r="U79" i="2" s="1"/>
  <c r="V79" i="2" s="1"/>
  <c r="W79" i="2" s="1"/>
  <c r="G40" i="5"/>
  <c r="Q40" i="2"/>
  <c r="J32" i="5"/>
  <c r="I34" i="5"/>
  <c r="D4" i="2"/>
  <c r="E4" i="2" s="1"/>
  <c r="J4" i="2" s="1"/>
  <c r="O4" i="2" s="1"/>
  <c r="D136" i="2" l="1"/>
  <c r="D134" i="2"/>
  <c r="I133" i="2"/>
  <c r="I134" i="2"/>
  <c r="I35" i="5"/>
  <c r="P4" i="2"/>
  <c r="Q4" i="2" s="1"/>
  <c r="R4" i="2" s="1"/>
  <c r="S4" i="2" s="1"/>
  <c r="T4" i="2" s="1"/>
  <c r="U4" i="2" s="1"/>
  <c r="V4" i="2" s="1"/>
  <c r="W4" i="2" s="1"/>
  <c r="X4" i="2" s="1"/>
  <c r="Y4" i="2" s="1"/>
  <c r="R151" i="2"/>
  <c r="R136" i="2" s="1"/>
  <c r="P92" i="2"/>
  <c r="P105" i="2"/>
  <c r="J142" i="2"/>
  <c r="P83" i="2"/>
  <c r="M140" i="2"/>
  <c r="M141" i="2" s="1"/>
  <c r="P160" i="2"/>
  <c r="P158" i="2"/>
  <c r="P166" i="2"/>
  <c r="P164" i="2"/>
  <c r="P162" i="2"/>
  <c r="G140" i="2"/>
  <c r="G141" i="2" s="1"/>
  <c r="H142" i="2"/>
  <c r="D4" i="4"/>
  <c r="D133" i="2"/>
  <c r="D137" i="2"/>
  <c r="D142" i="2" s="1"/>
  <c r="C136" i="2"/>
  <c r="C4" i="4" s="1"/>
  <c r="C133" i="2"/>
  <c r="K140" i="2"/>
  <c r="K141" i="2" s="1"/>
  <c r="K142" i="2"/>
  <c r="N137" i="2"/>
  <c r="N133" i="2"/>
  <c r="N136" i="2"/>
  <c r="I113" i="2"/>
  <c r="C137" i="2"/>
  <c r="L140" i="2"/>
  <c r="L141" i="2" s="1"/>
  <c r="L142" i="2"/>
  <c r="E142" i="2"/>
  <c r="E140" i="2"/>
  <c r="E141" i="2" s="1"/>
  <c r="F140" i="2"/>
  <c r="F141" i="2" s="1"/>
  <c r="F142" i="2"/>
  <c r="I137" i="2"/>
  <c r="I136" i="2"/>
  <c r="O142" i="2"/>
  <c r="X79" i="2"/>
  <c r="Y79" i="2" s="1"/>
  <c r="H40" i="5"/>
  <c r="I40" i="5" s="1"/>
  <c r="K32" i="5"/>
  <c r="J34" i="5"/>
  <c r="J35" i="5" s="1"/>
  <c r="S151" i="2" l="1"/>
  <c r="T151" i="2" s="1"/>
  <c r="T136" i="2" s="1"/>
  <c r="R150" i="2"/>
  <c r="R145" i="2" s="1"/>
  <c r="E143" i="2"/>
  <c r="O143" i="2"/>
  <c r="N18" i="7"/>
  <c r="P168" i="2"/>
  <c r="P235" i="2" s="1"/>
  <c r="J143" i="2"/>
  <c r="J40" i="5"/>
  <c r="K40" i="5" s="1"/>
  <c r="L40" i="5" s="1"/>
  <c r="M40" i="5" s="1"/>
  <c r="N40" i="5" s="1"/>
  <c r="O40" i="5" s="1"/>
  <c r="D140" i="2"/>
  <c r="D141" i="2" s="1"/>
  <c r="N142" i="2"/>
  <c r="N140" i="2"/>
  <c r="N141" i="2" s="1"/>
  <c r="I140" i="2"/>
  <c r="I141" i="2" s="1"/>
  <c r="I142" i="2"/>
  <c r="L32" i="5"/>
  <c r="K34" i="5"/>
  <c r="K35" i="5" s="1"/>
  <c r="Q40" i="5" l="1"/>
  <c r="S150" i="2"/>
  <c r="S145" i="2" s="1"/>
  <c r="S146" i="2" s="1"/>
  <c r="S136" i="2"/>
  <c r="U151" i="2"/>
  <c r="U136" i="2" s="1"/>
  <c r="T150" i="2"/>
  <c r="T145" i="2" s="1"/>
  <c r="R146" i="2"/>
  <c r="R147" i="2"/>
  <c r="P169" i="2"/>
  <c r="P237" i="2"/>
  <c r="P238" i="2"/>
  <c r="M32" i="5"/>
  <c r="L34" i="5"/>
  <c r="L35" i="5" s="1"/>
  <c r="S147" i="2" l="1"/>
  <c r="T147" i="2"/>
  <c r="T146" i="2"/>
  <c r="V151" i="2"/>
  <c r="V136" i="2" s="1"/>
  <c r="U150" i="2"/>
  <c r="U145" i="2" s="1"/>
  <c r="P171" i="2"/>
  <c r="P155" i="2" s="1"/>
  <c r="P156" i="2" s="1"/>
  <c r="P123" i="2"/>
  <c r="H10" i="4"/>
  <c r="P240" i="2"/>
  <c r="N32" i="5"/>
  <c r="M34" i="5"/>
  <c r="M35" i="5" s="1"/>
  <c r="U146" i="2" l="1"/>
  <c r="U147" i="2"/>
  <c r="W151" i="2"/>
  <c r="W136" i="2" s="1"/>
  <c r="V150" i="2"/>
  <c r="V145" i="2" s="1"/>
  <c r="P157" i="2"/>
  <c r="O32" i="5"/>
  <c r="N34" i="5"/>
  <c r="N35" i="5" s="1"/>
  <c r="X151" i="2" l="1"/>
  <c r="X136" i="2" s="1"/>
  <c r="W150" i="2"/>
  <c r="W145" i="2" s="1"/>
  <c r="V147" i="2"/>
  <c r="V146" i="2"/>
  <c r="P32" i="5"/>
  <c r="O34" i="5"/>
  <c r="O35" i="5" s="1"/>
  <c r="W147" i="2" l="1"/>
  <c r="W146" i="2"/>
  <c r="Y151" i="2"/>
  <c r="X150" i="2"/>
  <c r="X145" i="2" s="1"/>
  <c r="Q32" i="5"/>
  <c r="Q34" i="5" s="1"/>
  <c r="P34" i="5"/>
  <c r="P35" i="5" s="1"/>
  <c r="Y150" i="2" l="1"/>
  <c r="Y145" i="2" s="1"/>
  <c r="Y147" i="2" s="1"/>
  <c r="R22" i="4" s="1"/>
  <c r="Y136" i="2"/>
  <c r="X147" i="2"/>
  <c r="X146" i="2"/>
  <c r="Q35" i="5"/>
  <c r="Y146" i="2" l="1"/>
  <c r="E6" i="4"/>
  <c r="E12" i="4" s="1"/>
  <c r="D6" i="4"/>
  <c r="D12" i="4" s="1"/>
  <c r="C6" i="4"/>
  <c r="C12" i="4" s="1"/>
  <c r="G6" i="4" l="1"/>
  <c r="G12" i="4" s="1"/>
  <c r="F6" i="4"/>
  <c r="F12" i="4" s="1"/>
  <c r="G13" i="4" l="1"/>
  <c r="P60" i="2" l="1"/>
  <c r="H8" i="4" l="1"/>
  <c r="P124" i="2"/>
  <c r="P198" i="2"/>
  <c r="P199" i="2" s="1"/>
  <c r="P236" i="2"/>
  <c r="P239" i="2"/>
  <c r="P106" i="2" l="1"/>
  <c r="Q55" i="10" l="1"/>
  <c r="Q56" i="10"/>
  <c r="Q57" i="10"/>
  <c r="Q61" i="10"/>
  <c r="K64" i="10" l="1"/>
  <c r="G64" i="10"/>
  <c r="F64" i="10"/>
  <c r="E64" i="10"/>
  <c r="J64" i="10"/>
  <c r="O64" i="10"/>
  <c r="O65" i="10" s="1"/>
  <c r="G9" i="7" s="1"/>
  <c r="H64" i="10"/>
  <c r="G12" i="13" s="1"/>
  <c r="L64" i="10"/>
  <c r="H12" i="13" s="1"/>
  <c r="N64" i="10"/>
  <c r="N65" i="10"/>
  <c r="G8" i="7" s="1"/>
  <c r="P64" i="10"/>
  <c r="P65" i="10" s="1"/>
  <c r="I12" i="13"/>
  <c r="M64" i="10"/>
  <c r="Q62" i="10"/>
  <c r="J12" i="13" l="1"/>
  <c r="Q54" i="2" l="1"/>
  <c r="R54" i="2" l="1"/>
  <c r="Q52" i="2"/>
  <c r="Q51" i="2" s="1"/>
  <c r="Q59" i="2" l="1"/>
  <c r="R42" i="2"/>
  <c r="R44" i="2" s="1"/>
  <c r="R39" i="2" s="1"/>
  <c r="S54" i="2"/>
  <c r="R52" i="2"/>
  <c r="R51" i="2" s="1"/>
  <c r="T54" i="2" l="1"/>
  <c r="S52" i="2"/>
  <c r="S51" i="2" s="1"/>
  <c r="Q84" i="2"/>
  <c r="Q60" i="2"/>
  <c r="R40" i="2"/>
  <c r="R59" i="2"/>
  <c r="S42" i="2"/>
  <c r="S44" i="2" s="1"/>
  <c r="S39" i="2" s="1"/>
  <c r="Q85" i="2" l="1"/>
  <c r="Q82" i="2"/>
  <c r="R84" i="2"/>
  <c r="R60" i="2"/>
  <c r="U54" i="2"/>
  <c r="T52" i="2"/>
  <c r="T51" i="2" s="1"/>
  <c r="T42" i="2"/>
  <c r="T44" i="2" s="1"/>
  <c r="T39" i="2" s="1"/>
  <c r="S40" i="2"/>
  <c r="S59" i="2"/>
  <c r="R87" i="2" l="1"/>
  <c r="R85" i="2"/>
  <c r="R82" i="2"/>
  <c r="Q83" i="2"/>
  <c r="T40" i="2"/>
  <c r="U42" i="2"/>
  <c r="U44" i="2" s="1"/>
  <c r="U39" i="2" s="1"/>
  <c r="T59" i="2"/>
  <c r="S84" i="2"/>
  <c r="S60" i="2"/>
  <c r="Q94" i="2"/>
  <c r="Q88" i="2"/>
  <c r="Q95" i="2" s="1"/>
  <c r="V54" i="2"/>
  <c r="U52" i="2"/>
  <c r="U51" i="2" s="1"/>
  <c r="S87" i="2" l="1"/>
  <c r="S85" i="2"/>
  <c r="S82" i="2"/>
  <c r="R94" i="2"/>
  <c r="R88" i="2"/>
  <c r="R95" i="2" s="1"/>
  <c r="T84" i="2"/>
  <c r="T60" i="2"/>
  <c r="Q158" i="2"/>
  <c r="Q91" i="2"/>
  <c r="Q164" i="2"/>
  <c r="Q166" i="2"/>
  <c r="Q160" i="2"/>
  <c r="Q162" i="2"/>
  <c r="V42" i="2"/>
  <c r="V44" i="2" s="1"/>
  <c r="V39" i="2" s="1"/>
  <c r="U40" i="2"/>
  <c r="U59" i="2"/>
  <c r="W54" i="2"/>
  <c r="V52" i="2"/>
  <c r="V51" i="2" s="1"/>
  <c r="R83" i="2"/>
  <c r="T85" i="2" l="1"/>
  <c r="T82" i="2"/>
  <c r="T87" i="2"/>
  <c r="X54" i="2"/>
  <c r="W52" i="2"/>
  <c r="W51" i="2" s="1"/>
  <c r="S94" i="2"/>
  <c r="S88" i="2"/>
  <c r="S95" i="2" s="1"/>
  <c r="S83" i="2"/>
  <c r="V59" i="2"/>
  <c r="W42" i="2"/>
  <c r="W44" i="2" s="1"/>
  <c r="W39" i="2" s="1"/>
  <c r="V40" i="2"/>
  <c r="Q92" i="2"/>
  <c r="Q105" i="2"/>
  <c r="R158" i="2"/>
  <c r="R164" i="2"/>
  <c r="R160" i="2"/>
  <c r="R162" i="2"/>
  <c r="R91" i="2"/>
  <c r="R166" i="2"/>
  <c r="U84" i="2"/>
  <c r="U60" i="2"/>
  <c r="Q168" i="2"/>
  <c r="Q106" i="2" l="1"/>
  <c r="T94" i="2"/>
  <c r="T88" i="2"/>
  <c r="T95" i="2" s="1"/>
  <c r="S158" i="2"/>
  <c r="S160" i="2"/>
  <c r="S91" i="2"/>
  <c r="S164" i="2"/>
  <c r="S162" i="2"/>
  <c r="S166" i="2"/>
  <c r="R105" i="2"/>
  <c r="R92" i="2"/>
  <c r="V84" i="2"/>
  <c r="V60" i="2"/>
  <c r="R168" i="2"/>
  <c r="Y54" i="2"/>
  <c r="Y52" i="2" s="1"/>
  <c r="X52" i="2"/>
  <c r="X51" i="2" s="1"/>
  <c r="U87" i="2"/>
  <c r="U82" i="2"/>
  <c r="U85" i="2"/>
  <c r="O14" i="7"/>
  <c r="T83" i="2"/>
  <c r="Q169" i="2"/>
  <c r="Q123" i="2" s="1"/>
  <c r="Q235" i="2"/>
  <c r="Q171" i="2"/>
  <c r="Q155" i="2" s="1"/>
  <c r="W40" i="2"/>
  <c r="X42" i="2"/>
  <c r="X44" i="2" s="1"/>
  <c r="X39" i="2" s="1"/>
  <c r="W59" i="2"/>
  <c r="Y51" i="2" l="1"/>
  <c r="Y42" i="2"/>
  <c r="Y44" i="2" s="1"/>
  <c r="Y39" i="2" s="1"/>
  <c r="X40" i="2"/>
  <c r="X59" i="2"/>
  <c r="U83" i="2"/>
  <c r="S105" i="2"/>
  <c r="S92" i="2"/>
  <c r="U94" i="2"/>
  <c r="U88" i="2"/>
  <c r="U95" i="2" s="1"/>
  <c r="S168" i="2"/>
  <c r="R106" i="2"/>
  <c r="T166" i="2"/>
  <c r="T164" i="2"/>
  <c r="T160" i="2"/>
  <c r="T91" i="2"/>
  <c r="T158" i="2"/>
  <c r="T162" i="2"/>
  <c r="V87" i="2"/>
  <c r="V85" i="2"/>
  <c r="V82" i="2"/>
  <c r="Q156" i="2"/>
  <c r="Q157" i="2"/>
  <c r="Q238" i="2"/>
  <c r="Q237" i="2"/>
  <c r="Q236" i="2"/>
  <c r="W84" i="2"/>
  <c r="W60" i="2"/>
  <c r="Q124" i="2"/>
  <c r="I8" i="4"/>
  <c r="Q198" i="2"/>
  <c r="Q199" i="2" s="1"/>
  <c r="R169" i="2"/>
  <c r="R123" i="2" s="1"/>
  <c r="R235" i="2"/>
  <c r="R237" i="2" l="1"/>
  <c r="R238" i="2"/>
  <c r="R236" i="2"/>
  <c r="R124" i="2"/>
  <c r="J8" i="4"/>
  <c r="R198" i="2"/>
  <c r="R199" i="2" s="1"/>
  <c r="X84" i="2"/>
  <c r="X60" i="2"/>
  <c r="U91" i="2"/>
  <c r="U164" i="2"/>
  <c r="U158" i="2"/>
  <c r="U166" i="2"/>
  <c r="U162" i="2"/>
  <c r="U160" i="2"/>
  <c r="S106" i="2"/>
  <c r="Y40" i="2"/>
  <c r="Y59" i="2"/>
  <c r="W85" i="2"/>
  <c r="W82" i="2"/>
  <c r="W87" i="2"/>
  <c r="V83" i="2"/>
  <c r="Q240" i="2"/>
  <c r="I10" i="4"/>
  <c r="Q239" i="2"/>
  <c r="T168" i="2"/>
  <c r="R171" i="2"/>
  <c r="R155" i="2" s="1"/>
  <c r="V94" i="2"/>
  <c r="V88" i="2"/>
  <c r="V95" i="2" s="1"/>
  <c r="T105" i="2"/>
  <c r="T92" i="2"/>
  <c r="O15" i="7"/>
  <c r="S169" i="2"/>
  <c r="S123" i="2" s="1"/>
  <c r="S235" i="2"/>
  <c r="S238" i="2" l="1"/>
  <c r="S237" i="2"/>
  <c r="S236" i="2"/>
  <c r="V91" i="2"/>
  <c r="V166" i="2"/>
  <c r="V160" i="2"/>
  <c r="V162" i="2"/>
  <c r="V158" i="2"/>
  <c r="V164" i="2"/>
  <c r="W83" i="2"/>
  <c r="U168" i="2"/>
  <c r="S124" i="2"/>
  <c r="K8" i="4"/>
  <c r="S198" i="2"/>
  <c r="S199" i="2" s="1"/>
  <c r="Y84" i="2"/>
  <c r="Y60" i="2"/>
  <c r="O12" i="7"/>
  <c r="T106" i="2"/>
  <c r="W94" i="2"/>
  <c r="W88" i="2"/>
  <c r="W95" i="2" s="1"/>
  <c r="X85" i="2"/>
  <c r="X82" i="2"/>
  <c r="X87" i="2"/>
  <c r="J10" i="4"/>
  <c r="R240" i="2"/>
  <c r="R239" i="2"/>
  <c r="R156" i="2"/>
  <c r="R157" i="2"/>
  <c r="S171" i="2"/>
  <c r="S155" i="2" s="1"/>
  <c r="T169" i="2"/>
  <c r="T123" i="2" s="1"/>
  <c r="T235" i="2"/>
  <c r="U105" i="2"/>
  <c r="U92" i="2"/>
  <c r="T124" i="2" l="1"/>
  <c r="L8" i="4"/>
  <c r="T198" i="2"/>
  <c r="T199" i="2" s="1"/>
  <c r="S156" i="2"/>
  <c r="S157" i="2"/>
  <c r="V105" i="2"/>
  <c r="V92" i="2"/>
  <c r="X94" i="2"/>
  <c r="X88" i="2"/>
  <c r="X95" i="2" s="1"/>
  <c r="Y82" i="2"/>
  <c r="Y87" i="2"/>
  <c r="Y85" i="2"/>
  <c r="U235" i="2"/>
  <c r="U169" i="2"/>
  <c r="U123" i="2" s="1"/>
  <c r="V168" i="2"/>
  <c r="W164" i="2"/>
  <c r="W158" i="2"/>
  <c r="W160" i="2"/>
  <c r="W162" i="2"/>
  <c r="W91" i="2"/>
  <c r="W166" i="2"/>
  <c r="U106" i="2"/>
  <c r="T171" i="2"/>
  <c r="T155" i="2" s="1"/>
  <c r="X83" i="2"/>
  <c r="T237" i="2"/>
  <c r="T238" i="2"/>
  <c r="T236" i="2"/>
  <c r="K10" i="4"/>
  <c r="S240" i="2"/>
  <c r="S239" i="2"/>
  <c r="U237" i="2" l="1"/>
  <c r="U238" i="2"/>
  <c r="U236" i="2"/>
  <c r="V169" i="2"/>
  <c r="V123" i="2" s="1"/>
  <c r="V235" i="2"/>
  <c r="T156" i="2"/>
  <c r="T157" i="2"/>
  <c r="W105" i="2"/>
  <c r="W92" i="2"/>
  <c r="U171" i="2"/>
  <c r="U155" i="2" s="1"/>
  <c r="Y94" i="2"/>
  <c r="Y88" i="2"/>
  <c r="Y95" i="2" s="1"/>
  <c r="W168" i="2"/>
  <c r="X162" i="2"/>
  <c r="X91" i="2"/>
  <c r="X164" i="2"/>
  <c r="X158" i="2"/>
  <c r="X166" i="2"/>
  <c r="X160" i="2"/>
  <c r="O21" i="7"/>
  <c r="L10" i="4"/>
  <c r="T240" i="2"/>
  <c r="T239" i="2"/>
  <c r="M8" i="4"/>
  <c r="U124" i="2"/>
  <c r="U198" i="2"/>
  <c r="U199" i="2" s="1"/>
  <c r="P14" i="7"/>
  <c r="Y83" i="2"/>
  <c r="V106" i="2"/>
  <c r="W106" i="2" l="1"/>
  <c r="V237" i="2"/>
  <c r="V238" i="2"/>
  <c r="V236" i="2"/>
  <c r="W235" i="2"/>
  <c r="W169" i="2"/>
  <c r="W123" i="2" s="1"/>
  <c r="N8" i="4"/>
  <c r="V124" i="2"/>
  <c r="V198" i="2"/>
  <c r="V199" i="2" s="1"/>
  <c r="Y162" i="2"/>
  <c r="Y91" i="2"/>
  <c r="Y164" i="2"/>
  <c r="Y160" i="2"/>
  <c r="Y158" i="2"/>
  <c r="Y166" i="2"/>
  <c r="U156" i="2"/>
  <c r="U157" i="2"/>
  <c r="M10" i="4"/>
  <c r="U240" i="2"/>
  <c r="U239" i="2"/>
  <c r="X168" i="2"/>
  <c r="X105" i="2"/>
  <c r="X92" i="2"/>
  <c r="V171" i="2"/>
  <c r="V155" i="2" s="1"/>
  <c r="Y168" i="2" l="1"/>
  <c r="X169" i="2"/>
  <c r="X123" i="2" s="1"/>
  <c r="X235" i="2"/>
  <c r="W237" i="2"/>
  <c r="W238" i="2"/>
  <c r="W236" i="2"/>
  <c r="V157" i="2"/>
  <c r="V156" i="2"/>
  <c r="N10" i="4"/>
  <c r="V240" i="2"/>
  <c r="V239" i="2"/>
  <c r="Y105" i="2"/>
  <c r="Y92" i="2"/>
  <c r="P15" i="7"/>
  <c r="W171" i="2"/>
  <c r="W155" i="2" s="1"/>
  <c r="Y169" i="2"/>
  <c r="Y123" i="2" s="1"/>
  <c r="Y198" i="2" s="1"/>
  <c r="Y235" i="2"/>
  <c r="X106" i="2"/>
  <c r="O8" i="4"/>
  <c r="W124" i="2"/>
  <c r="W198" i="2"/>
  <c r="W199" i="2" s="1"/>
  <c r="X171" i="2" l="1"/>
  <c r="X155" i="2" s="1"/>
  <c r="X156" i="2" s="1"/>
  <c r="Y106" i="2"/>
  <c r="P12" i="7"/>
  <c r="W156" i="2"/>
  <c r="W157" i="2"/>
  <c r="Y124" i="2"/>
  <c r="Q8" i="4"/>
  <c r="W240" i="2"/>
  <c r="O10" i="4"/>
  <c r="W239" i="2"/>
  <c r="X237" i="2"/>
  <c r="X238" i="2"/>
  <c r="X236" i="2"/>
  <c r="Y171" i="2"/>
  <c r="Y155" i="2" s="1"/>
  <c r="Y238" i="2"/>
  <c r="Y237" i="2"/>
  <c r="Y236" i="2"/>
  <c r="P8" i="4"/>
  <c r="X124" i="2"/>
  <c r="X198" i="2"/>
  <c r="X199" i="2" s="1"/>
  <c r="X157" i="2" l="1"/>
  <c r="Y156" i="2"/>
  <c r="Y157" i="2"/>
  <c r="X240" i="2"/>
  <c r="P10" i="4"/>
  <c r="X239" i="2"/>
  <c r="P21" i="7"/>
  <c r="Q10" i="4"/>
  <c r="Y240" i="2"/>
  <c r="Y239" i="2"/>
  <c r="Y199" i="2"/>
  <c r="V39" i="5" l="1"/>
  <c r="O61" i="5" s="1"/>
  <c r="G39" i="5" l="1"/>
  <c r="G37" i="5"/>
  <c r="H39" i="5"/>
  <c r="H37" i="5" l="1"/>
  <c r="H36" i="5" s="1"/>
  <c r="I39" i="5"/>
  <c r="P64" i="2"/>
  <c r="G42" i="5"/>
  <c r="H42" i="5" l="1"/>
  <c r="Q64" i="2"/>
  <c r="P65" i="2"/>
  <c r="I36" i="5"/>
  <c r="J39" i="5"/>
  <c r="G43" i="5"/>
  <c r="P56" i="2"/>
  <c r="I42" i="5" l="1"/>
  <c r="R64" i="2"/>
  <c r="P57" i="2"/>
  <c r="P187" i="2"/>
  <c r="P188" i="2" s="1"/>
  <c r="P203" i="2"/>
  <c r="P207" i="2"/>
  <c r="P194" i="2"/>
  <c r="Q48" i="2"/>
  <c r="Q50" i="2" s="1"/>
  <c r="Q45" i="2" s="1"/>
  <c r="P190" i="2"/>
  <c r="P217" i="2"/>
  <c r="P218" i="2" s="1"/>
  <c r="Q65" i="2"/>
  <c r="H43" i="5"/>
  <c r="Q56" i="2"/>
  <c r="J37" i="5"/>
  <c r="J36" i="5" s="1"/>
  <c r="K39" i="5"/>
  <c r="J42" i="5" l="1"/>
  <c r="S64" i="2"/>
  <c r="Q46" i="2"/>
  <c r="Q194" i="2"/>
  <c r="Q203" i="2"/>
  <c r="Q187" i="2"/>
  <c r="Q188" i="2" s="1"/>
  <c r="R48" i="2"/>
  <c r="R50" i="2" s="1"/>
  <c r="R45" i="2" s="1"/>
  <c r="Q190" i="2"/>
  <c r="Q207" i="2"/>
  <c r="Q217" i="2"/>
  <c r="Q218" i="2" s="1"/>
  <c r="R65" i="2"/>
  <c r="P197" i="2"/>
  <c r="P195" i="2"/>
  <c r="P208" i="2"/>
  <c r="P209" i="2"/>
  <c r="I43" i="5"/>
  <c r="R56" i="2"/>
  <c r="P192" i="2"/>
  <c r="P191" i="2"/>
  <c r="P201" i="2" s="1"/>
  <c r="Q57" i="2"/>
  <c r="K37" i="5"/>
  <c r="K36" i="5" s="1"/>
  <c r="L39" i="5"/>
  <c r="P204" i="2"/>
  <c r="P224" i="2" s="1"/>
  <c r="P205" i="2"/>
  <c r="P225" i="2" l="1"/>
  <c r="H9" i="4" s="1"/>
  <c r="T64" i="2"/>
  <c r="K42" i="5"/>
  <c r="R57" i="2"/>
  <c r="S48" i="2"/>
  <c r="S50" i="2" s="1"/>
  <c r="S45" i="2" s="1"/>
  <c r="R190" i="2"/>
  <c r="R194" i="2"/>
  <c r="R46" i="2"/>
  <c r="R187" i="2"/>
  <c r="R188" i="2" s="1"/>
  <c r="R207" i="2"/>
  <c r="R217" i="2"/>
  <c r="R218" i="2" s="1"/>
  <c r="R203" i="2"/>
  <c r="S65" i="2"/>
  <c r="Q208" i="2"/>
  <c r="Q209" i="2"/>
  <c r="Q204" i="2"/>
  <c r="Q205" i="2"/>
  <c r="Q192" i="2"/>
  <c r="Q191" i="2"/>
  <c r="L37" i="5"/>
  <c r="L36" i="5" s="1"/>
  <c r="M39" i="5"/>
  <c r="Q197" i="2"/>
  <c r="Q195" i="2"/>
  <c r="J43" i="5"/>
  <c r="S56" i="2"/>
  <c r="Q201" i="2" l="1"/>
  <c r="U64" i="2"/>
  <c r="L42" i="5"/>
  <c r="S57" i="2"/>
  <c r="R197" i="2"/>
  <c r="R195" i="2"/>
  <c r="Q224" i="2"/>
  <c r="Q225" i="2" s="1"/>
  <c r="I9" i="4" s="1"/>
  <c r="R205" i="2"/>
  <c r="R204" i="2"/>
  <c r="R192" i="2"/>
  <c r="R191" i="2"/>
  <c r="T48" i="2"/>
  <c r="T50" i="2" s="1"/>
  <c r="T45" i="2" s="1"/>
  <c r="S190" i="2"/>
  <c r="S194" i="2"/>
  <c r="S46" i="2"/>
  <c r="S187" i="2"/>
  <c r="S188" i="2" s="1"/>
  <c r="S207" i="2"/>
  <c r="S217" i="2"/>
  <c r="S218" i="2" s="1"/>
  <c r="S203" i="2"/>
  <c r="N39" i="5"/>
  <c r="M37" i="5"/>
  <c r="M36" i="5" s="1"/>
  <c r="K43" i="5"/>
  <c r="T56" i="2"/>
  <c r="R209" i="2"/>
  <c r="R208" i="2"/>
  <c r="T65" i="2"/>
  <c r="R201" i="2" l="1"/>
  <c r="S205" i="2"/>
  <c r="S204" i="2"/>
  <c r="T46" i="2"/>
  <c r="U48" i="2"/>
  <c r="U50" i="2" s="1"/>
  <c r="U45" i="2" s="1"/>
  <c r="T187" i="2"/>
  <c r="T188" i="2" s="1"/>
  <c r="T203" i="2"/>
  <c r="T207" i="2"/>
  <c r="T217" i="2"/>
  <c r="T218" i="2" s="1"/>
  <c r="T190" i="2"/>
  <c r="T194" i="2"/>
  <c r="O10" i="7"/>
  <c r="L43" i="5"/>
  <c r="U56" i="2"/>
  <c r="S192" i="2"/>
  <c r="S191" i="2"/>
  <c r="S201" i="2" s="1"/>
  <c r="T57" i="2"/>
  <c r="U65" i="2"/>
  <c r="R224" i="2"/>
  <c r="R225" i="2" s="1"/>
  <c r="J9" i="4" s="1"/>
  <c r="S209" i="2"/>
  <c r="S208" i="2"/>
  <c r="V64" i="2"/>
  <c r="M42" i="5"/>
  <c r="N37" i="5"/>
  <c r="N36" i="5" s="1"/>
  <c r="O39" i="5"/>
  <c r="S195" i="2"/>
  <c r="S197" i="2"/>
  <c r="W64" i="2" l="1"/>
  <c r="N42" i="5"/>
  <c r="S224" i="2"/>
  <c r="S225" i="2" s="1"/>
  <c r="K9" i="4" s="1"/>
  <c r="U46" i="2"/>
  <c r="V48" i="2"/>
  <c r="V50" i="2" s="1"/>
  <c r="V45" i="2" s="1"/>
  <c r="U187" i="2"/>
  <c r="U188" i="2" s="1"/>
  <c r="U203" i="2"/>
  <c r="U207" i="2"/>
  <c r="U217" i="2"/>
  <c r="U218" i="2" s="1"/>
  <c r="U194" i="2"/>
  <c r="U190" i="2"/>
  <c r="V65" i="2"/>
  <c r="T208" i="2"/>
  <c r="T209" i="2"/>
  <c r="T191" i="2"/>
  <c r="T192" i="2"/>
  <c r="M43" i="5"/>
  <c r="V56" i="2"/>
  <c r="U57" i="2"/>
  <c r="O37" i="5"/>
  <c r="O36" i="5" s="1"/>
  <c r="P39" i="5"/>
  <c r="T195" i="2"/>
  <c r="T201" i="2" s="1"/>
  <c r="T197" i="2"/>
  <c r="T205" i="2"/>
  <c r="T204" i="2"/>
  <c r="T224" i="2" s="1"/>
  <c r="T225" i="2" l="1"/>
  <c r="L9" i="4" s="1"/>
  <c r="X64" i="2"/>
  <c r="O42" i="5"/>
  <c r="P37" i="5"/>
  <c r="P36" i="5" s="1"/>
  <c r="Q39" i="5"/>
  <c r="Q37" i="5" s="1"/>
  <c r="U191" i="2"/>
  <c r="U192" i="2"/>
  <c r="N43" i="5"/>
  <c r="W56" i="2"/>
  <c r="U205" i="2"/>
  <c r="U204" i="2"/>
  <c r="U195" i="2"/>
  <c r="U197" i="2"/>
  <c r="V46" i="2"/>
  <c r="W48" i="2"/>
  <c r="W50" i="2" s="1"/>
  <c r="W45" i="2" s="1"/>
  <c r="V187" i="2"/>
  <c r="V188" i="2" s="1"/>
  <c r="V203" i="2"/>
  <c r="V207" i="2"/>
  <c r="V190" i="2"/>
  <c r="V194" i="2"/>
  <c r="V217" i="2"/>
  <c r="V218" i="2" s="1"/>
  <c r="W65" i="2"/>
  <c r="U208" i="2"/>
  <c r="U209" i="2"/>
  <c r="V57" i="2"/>
  <c r="U201" i="2" l="1"/>
  <c r="U224" i="2"/>
  <c r="P42" i="5"/>
  <c r="Y64" i="2"/>
  <c r="Q36" i="5"/>
  <c r="Q42" i="5" s="1"/>
  <c r="Q43" i="5" s="1"/>
  <c r="X56" i="2"/>
  <c r="O43" i="5"/>
  <c r="X48" i="2"/>
  <c r="X50" i="2" s="1"/>
  <c r="X45" i="2" s="1"/>
  <c r="W217" i="2"/>
  <c r="W218" i="2" s="1"/>
  <c r="W190" i="2"/>
  <c r="W187" i="2"/>
  <c r="W188" i="2" s="1"/>
  <c r="W207" i="2"/>
  <c r="W46" i="2"/>
  <c r="W203" i="2"/>
  <c r="W194" i="2"/>
  <c r="V197" i="2"/>
  <c r="V195" i="2"/>
  <c r="V208" i="2"/>
  <c r="V209" i="2"/>
  <c r="V204" i="2"/>
  <c r="V205" i="2"/>
  <c r="X65" i="2"/>
  <c r="V192" i="2"/>
  <c r="V191" i="2"/>
  <c r="W57" i="2"/>
  <c r="V201" i="2" l="1"/>
  <c r="U225" i="2"/>
  <c r="M9" i="4" s="1"/>
  <c r="W208" i="2"/>
  <c r="W209" i="2"/>
  <c r="W197" i="2"/>
  <c r="W195" i="2"/>
  <c r="X57" i="2"/>
  <c r="V224" i="2"/>
  <c r="V225" i="2" s="1"/>
  <c r="N9" i="4" s="1"/>
  <c r="W204" i="2"/>
  <c r="W205" i="2"/>
  <c r="Y48" i="2"/>
  <c r="Y50" i="2" s="1"/>
  <c r="Y45" i="2" s="1"/>
  <c r="X190" i="2"/>
  <c r="X194" i="2"/>
  <c r="X46" i="2"/>
  <c r="X203" i="2"/>
  <c r="X187" i="2"/>
  <c r="X188" i="2" s="1"/>
  <c r="X207" i="2"/>
  <c r="X217" i="2"/>
  <c r="X218" i="2" s="1"/>
  <c r="Y65" i="2"/>
  <c r="W192" i="2"/>
  <c r="W191" i="2"/>
  <c r="Y56" i="2"/>
  <c r="P43" i="5"/>
  <c r="W224" i="2" l="1"/>
  <c r="W201" i="2"/>
  <c r="Y190" i="2"/>
  <c r="Y194" i="2"/>
  <c r="Y46" i="2"/>
  <c r="Y203" i="2"/>
  <c r="Y207" i="2"/>
  <c r="Y187" i="2"/>
  <c r="Y188" i="2" s="1"/>
  <c r="P10" i="7"/>
  <c r="Y217" i="2"/>
  <c r="Y218" i="2" s="1"/>
  <c r="X197" i="2"/>
  <c r="X195" i="2"/>
  <c r="X192" i="2"/>
  <c r="X191" i="2"/>
  <c r="Y57" i="2"/>
  <c r="X209" i="2"/>
  <c r="X208" i="2"/>
  <c r="X205" i="2"/>
  <c r="X204" i="2"/>
  <c r="W225" i="2" l="1"/>
  <c r="O9" i="4" s="1"/>
  <c r="X201" i="2"/>
  <c r="Y205" i="2"/>
  <c r="Y204" i="2"/>
  <c r="X224" i="2"/>
  <c r="X225" i="2" s="1"/>
  <c r="P9" i="4" s="1"/>
  <c r="Y197" i="2"/>
  <c r="Y195" i="2"/>
  <c r="Y209" i="2"/>
  <c r="Y208" i="2"/>
  <c r="Y191" i="2"/>
  <c r="Y192" i="2"/>
  <c r="Y201" i="2" l="1"/>
  <c r="Y224" i="2"/>
  <c r="Y225" i="2" l="1"/>
  <c r="Q9" i="4" s="1"/>
  <c r="H4" i="4"/>
  <c r="I4" i="4"/>
  <c r="J4" i="4"/>
  <c r="K4" i="4"/>
  <c r="L4" i="4"/>
  <c r="M4" i="4"/>
  <c r="N4" i="4"/>
  <c r="O4" i="4"/>
  <c r="P4" i="4"/>
  <c r="Q4" i="4"/>
  <c r="H6" i="4"/>
  <c r="I6" i="4"/>
  <c r="J6" i="4"/>
  <c r="K6" i="4"/>
  <c r="L6" i="4"/>
  <c r="M6" i="4"/>
  <c r="N6" i="4"/>
  <c r="O6" i="4"/>
  <c r="P6" i="4"/>
  <c r="Q6" i="4"/>
  <c r="H12" i="4"/>
  <c r="I12" i="4"/>
  <c r="J12" i="4"/>
  <c r="K12" i="4"/>
  <c r="L12" i="4"/>
  <c r="M12" i="4"/>
  <c r="N12" i="4"/>
  <c r="O12" i="4"/>
  <c r="P12" i="4"/>
  <c r="Q12" i="4"/>
  <c r="R12" i="4"/>
  <c r="E13" i="4"/>
  <c r="H13" i="4"/>
  <c r="I13" i="4"/>
  <c r="J13" i="4"/>
  <c r="K13" i="4"/>
  <c r="L13" i="4"/>
  <c r="M13" i="4"/>
  <c r="N13" i="4"/>
  <c r="O13" i="4"/>
  <c r="P13" i="4"/>
  <c r="Q13" i="4"/>
  <c r="H16" i="4"/>
  <c r="I16" i="4"/>
  <c r="J16" i="4"/>
  <c r="K16" i="4"/>
  <c r="L16" i="4"/>
  <c r="M16" i="4"/>
  <c r="N16" i="4"/>
  <c r="O16" i="4"/>
  <c r="P16" i="4"/>
  <c r="Q16" i="4"/>
  <c r="R16" i="4"/>
  <c r="R18" i="4"/>
  <c r="R19" i="4"/>
  <c r="R21" i="4"/>
  <c r="R24" i="4"/>
  <c r="R26" i="4"/>
  <c r="D29" i="4"/>
  <c r="J4" i="10"/>
  <c r="K4" i="10"/>
  <c r="L4" i="10"/>
  <c r="M4" i="10"/>
  <c r="J65" i="10"/>
  <c r="K65" i="10"/>
  <c r="L65" i="10"/>
  <c r="M65" i="10"/>
  <c r="J68" i="10"/>
  <c r="K68" i="10"/>
  <c r="L68" i="10"/>
  <c r="M68" i="10"/>
  <c r="J71" i="10"/>
  <c r="K71" i="10"/>
  <c r="L71" i="10"/>
  <c r="M71" i="10"/>
  <c r="J74" i="10"/>
  <c r="K74" i="10"/>
  <c r="L74" i="10"/>
  <c r="M74" i="10"/>
  <c r="E1" i="2"/>
  <c r="W1" i="2"/>
  <c r="E2" i="2"/>
  <c r="W2" i="2"/>
  <c r="P36" i="2"/>
  <c r="Q36" i="2"/>
  <c r="R36" i="2"/>
  <c r="S36" i="2"/>
  <c r="T36" i="2"/>
  <c r="U36" i="2"/>
  <c r="V36" i="2"/>
  <c r="W36" i="2"/>
  <c r="X36" i="2"/>
  <c r="Y36" i="2"/>
  <c r="P37" i="2"/>
  <c r="Q37" i="2"/>
  <c r="R37" i="2"/>
  <c r="S37" i="2"/>
  <c r="T37" i="2"/>
  <c r="U37" i="2"/>
  <c r="V37" i="2"/>
  <c r="W37" i="2"/>
  <c r="X37" i="2"/>
  <c r="Y37" i="2"/>
  <c r="P41" i="2"/>
  <c r="Q41" i="2"/>
  <c r="R41" i="2"/>
  <c r="S41" i="2"/>
  <c r="T41" i="2"/>
  <c r="U41" i="2"/>
  <c r="V41" i="2"/>
  <c r="W41" i="2"/>
  <c r="X41" i="2"/>
  <c r="Y41" i="2"/>
  <c r="P47" i="2"/>
  <c r="Q47" i="2"/>
  <c r="R47" i="2"/>
  <c r="S47" i="2"/>
  <c r="T47" i="2"/>
  <c r="U47" i="2"/>
  <c r="V47" i="2"/>
  <c r="W47" i="2"/>
  <c r="X47" i="2"/>
  <c r="Y47" i="2"/>
  <c r="P55" i="2"/>
  <c r="Q55" i="2"/>
  <c r="R55" i="2"/>
  <c r="S55" i="2"/>
  <c r="T55" i="2"/>
  <c r="U55" i="2"/>
  <c r="V55" i="2"/>
  <c r="W55" i="2"/>
  <c r="X55" i="2"/>
  <c r="Y55" i="2"/>
  <c r="P58" i="2"/>
  <c r="Q58" i="2"/>
  <c r="R58" i="2"/>
  <c r="S58" i="2"/>
  <c r="T58" i="2"/>
  <c r="U58" i="2"/>
  <c r="V58" i="2"/>
  <c r="W58" i="2"/>
  <c r="X58" i="2"/>
  <c r="Y58" i="2"/>
  <c r="P66" i="2"/>
  <c r="Q66" i="2"/>
  <c r="R66" i="2"/>
  <c r="S66" i="2"/>
  <c r="T66" i="2"/>
  <c r="U66" i="2"/>
  <c r="V66" i="2"/>
  <c r="W66" i="2"/>
  <c r="X66" i="2"/>
  <c r="Y66" i="2"/>
  <c r="P68" i="2"/>
  <c r="Q68" i="2"/>
  <c r="R68" i="2"/>
  <c r="S68" i="2"/>
  <c r="T68" i="2"/>
  <c r="U68" i="2"/>
  <c r="V68" i="2"/>
  <c r="W68" i="2"/>
  <c r="X68" i="2"/>
  <c r="Y68" i="2"/>
  <c r="P69" i="2"/>
  <c r="Q69" i="2"/>
  <c r="R69" i="2"/>
  <c r="S69" i="2"/>
  <c r="T69" i="2"/>
  <c r="U69" i="2"/>
  <c r="V69" i="2"/>
  <c r="W69" i="2"/>
  <c r="X69" i="2"/>
  <c r="Y69" i="2"/>
  <c r="P73" i="2"/>
  <c r="Q73" i="2"/>
  <c r="R73" i="2"/>
  <c r="S73" i="2"/>
  <c r="T73" i="2"/>
  <c r="U73" i="2"/>
  <c r="V73" i="2"/>
  <c r="W73" i="2"/>
  <c r="X73" i="2"/>
  <c r="Y73" i="2"/>
  <c r="P74" i="2"/>
  <c r="Q74" i="2"/>
  <c r="R74" i="2"/>
  <c r="S74" i="2"/>
  <c r="T74" i="2"/>
  <c r="U74" i="2"/>
  <c r="V74" i="2"/>
  <c r="W74" i="2"/>
  <c r="X74" i="2"/>
  <c r="Y74" i="2"/>
  <c r="P77" i="2"/>
  <c r="Q77" i="2"/>
  <c r="R77" i="2"/>
  <c r="S77" i="2"/>
  <c r="T77" i="2"/>
  <c r="U77" i="2"/>
  <c r="V77" i="2"/>
  <c r="W77" i="2"/>
  <c r="X77" i="2"/>
  <c r="Y77" i="2"/>
  <c r="P78" i="2"/>
  <c r="Q78" i="2"/>
  <c r="R78" i="2"/>
  <c r="S78" i="2"/>
  <c r="T78" i="2"/>
  <c r="U78" i="2"/>
  <c r="V78" i="2"/>
  <c r="W78" i="2"/>
  <c r="X78" i="2"/>
  <c r="Y78" i="2"/>
  <c r="P93" i="2"/>
  <c r="Q93" i="2"/>
  <c r="R93" i="2"/>
  <c r="S93" i="2"/>
  <c r="T93" i="2"/>
  <c r="U93" i="2"/>
  <c r="V93" i="2"/>
  <c r="W93" i="2"/>
  <c r="X93" i="2"/>
  <c r="Y93" i="2"/>
  <c r="P101" i="2"/>
  <c r="Q101" i="2"/>
  <c r="R101" i="2"/>
  <c r="S101" i="2"/>
  <c r="T101" i="2"/>
  <c r="U101" i="2"/>
  <c r="V101" i="2"/>
  <c r="W101" i="2"/>
  <c r="X101" i="2"/>
  <c r="Y101" i="2"/>
  <c r="P102" i="2"/>
  <c r="Q102" i="2"/>
  <c r="R102" i="2"/>
  <c r="S102" i="2"/>
  <c r="T102" i="2"/>
  <c r="U102" i="2"/>
  <c r="V102" i="2"/>
  <c r="W102" i="2"/>
  <c r="X102" i="2"/>
  <c r="Y102" i="2"/>
  <c r="AA102" i="2"/>
  <c r="P103" i="2"/>
  <c r="Q103" i="2"/>
  <c r="R103" i="2"/>
  <c r="S103" i="2"/>
  <c r="T103" i="2"/>
  <c r="U103" i="2"/>
  <c r="V103" i="2"/>
  <c r="W103" i="2"/>
  <c r="X103" i="2"/>
  <c r="Y103" i="2"/>
  <c r="P107" i="2"/>
  <c r="Q107" i="2"/>
  <c r="R107" i="2"/>
  <c r="S107" i="2"/>
  <c r="T107" i="2"/>
  <c r="U107" i="2"/>
  <c r="V107" i="2"/>
  <c r="W107" i="2"/>
  <c r="X107" i="2"/>
  <c r="Y107" i="2"/>
  <c r="P109" i="2"/>
  <c r="Q109" i="2"/>
  <c r="R109" i="2"/>
  <c r="S109" i="2"/>
  <c r="T109" i="2"/>
  <c r="U109" i="2"/>
  <c r="V109" i="2"/>
  <c r="W109" i="2"/>
  <c r="X109" i="2"/>
  <c r="Y109" i="2"/>
  <c r="P110" i="2"/>
  <c r="Q110" i="2"/>
  <c r="R110" i="2"/>
  <c r="S110" i="2"/>
  <c r="T110" i="2"/>
  <c r="U110" i="2"/>
  <c r="V110" i="2"/>
  <c r="W110" i="2"/>
  <c r="X110" i="2"/>
  <c r="Y110" i="2"/>
  <c r="P111" i="2"/>
  <c r="Q111" i="2"/>
  <c r="R111" i="2"/>
  <c r="S111" i="2"/>
  <c r="T111" i="2"/>
  <c r="U111" i="2"/>
  <c r="V111" i="2"/>
  <c r="W111" i="2"/>
  <c r="X111" i="2"/>
  <c r="Y111" i="2"/>
  <c r="P113" i="2"/>
  <c r="Q113" i="2"/>
  <c r="R113" i="2"/>
  <c r="S113" i="2"/>
  <c r="T113" i="2"/>
  <c r="U113" i="2"/>
  <c r="V113" i="2"/>
  <c r="W113" i="2"/>
  <c r="X113" i="2"/>
  <c r="Y113" i="2"/>
  <c r="P116" i="2"/>
  <c r="Q116" i="2"/>
  <c r="R116" i="2"/>
  <c r="S116" i="2"/>
  <c r="T116" i="2"/>
  <c r="U116" i="2"/>
  <c r="V116" i="2"/>
  <c r="W116" i="2"/>
  <c r="X116" i="2"/>
  <c r="Y116" i="2"/>
  <c r="X120" i="2"/>
  <c r="Y120" i="2"/>
  <c r="X121" i="2"/>
  <c r="Y121" i="2"/>
  <c r="P122" i="2"/>
  <c r="Q122" i="2"/>
  <c r="R122" i="2"/>
  <c r="S122" i="2"/>
  <c r="T122" i="2"/>
  <c r="U122" i="2"/>
  <c r="V122" i="2"/>
  <c r="W122" i="2"/>
  <c r="X122" i="2"/>
  <c r="Y122" i="2"/>
  <c r="P126" i="2"/>
  <c r="Q126" i="2"/>
  <c r="R126" i="2"/>
  <c r="S126" i="2"/>
  <c r="T126" i="2"/>
  <c r="U126" i="2"/>
  <c r="V126" i="2"/>
  <c r="W126" i="2"/>
  <c r="X126" i="2"/>
  <c r="Y126" i="2"/>
  <c r="P127" i="2"/>
  <c r="Q127" i="2"/>
  <c r="R127" i="2"/>
  <c r="S127" i="2"/>
  <c r="T127" i="2"/>
  <c r="U127" i="2"/>
  <c r="V127" i="2"/>
  <c r="W127" i="2"/>
  <c r="X127" i="2"/>
  <c r="Y127" i="2"/>
  <c r="P129" i="2"/>
  <c r="Q129" i="2"/>
  <c r="R129" i="2"/>
  <c r="S129" i="2"/>
  <c r="T129" i="2"/>
  <c r="U129" i="2"/>
  <c r="V129" i="2"/>
  <c r="W129" i="2"/>
  <c r="X129" i="2"/>
  <c r="Y129" i="2"/>
  <c r="P132" i="2"/>
  <c r="Q132" i="2"/>
  <c r="R132" i="2"/>
  <c r="S132" i="2"/>
  <c r="T132" i="2"/>
  <c r="U132" i="2"/>
  <c r="V132" i="2"/>
  <c r="W132" i="2"/>
  <c r="X132" i="2"/>
  <c r="Y132" i="2"/>
  <c r="P133" i="2"/>
  <c r="Q133" i="2"/>
  <c r="R133" i="2"/>
  <c r="S133" i="2"/>
  <c r="T133" i="2"/>
  <c r="U133" i="2"/>
  <c r="V133" i="2"/>
  <c r="W133" i="2"/>
  <c r="X133" i="2"/>
  <c r="Y133" i="2"/>
  <c r="P134" i="2"/>
  <c r="Q134" i="2"/>
  <c r="R134" i="2"/>
  <c r="S134" i="2"/>
  <c r="T134" i="2"/>
  <c r="U134" i="2"/>
  <c r="V134" i="2"/>
  <c r="W134" i="2"/>
  <c r="X134" i="2"/>
  <c r="Y134" i="2"/>
  <c r="P135" i="2"/>
  <c r="Q135" i="2"/>
  <c r="R135" i="2"/>
  <c r="S135" i="2"/>
  <c r="T135" i="2"/>
  <c r="U135" i="2"/>
  <c r="V135" i="2"/>
  <c r="W135" i="2"/>
  <c r="X135" i="2"/>
  <c r="Y135" i="2"/>
  <c r="P137" i="2"/>
  <c r="Q137" i="2"/>
  <c r="R137" i="2"/>
  <c r="S137" i="2"/>
  <c r="T137" i="2"/>
  <c r="U137" i="2"/>
  <c r="V137" i="2"/>
  <c r="W137" i="2"/>
  <c r="X137" i="2"/>
  <c r="Y137" i="2"/>
  <c r="P140" i="2"/>
  <c r="Q140" i="2"/>
  <c r="R140" i="2"/>
  <c r="S140" i="2"/>
  <c r="T140" i="2"/>
  <c r="U140" i="2"/>
  <c r="V140" i="2"/>
  <c r="W140" i="2"/>
  <c r="X140" i="2"/>
  <c r="Y140" i="2"/>
  <c r="P141" i="2"/>
  <c r="Q141" i="2"/>
  <c r="R141" i="2"/>
  <c r="S141" i="2"/>
  <c r="T141" i="2"/>
  <c r="U141" i="2"/>
  <c r="V141" i="2"/>
  <c r="W141" i="2"/>
  <c r="X141" i="2"/>
  <c r="Y141" i="2"/>
  <c r="P142" i="2"/>
  <c r="Q142" i="2"/>
  <c r="R142" i="2"/>
  <c r="S142" i="2"/>
  <c r="T142" i="2"/>
  <c r="U142" i="2"/>
  <c r="V142" i="2"/>
  <c r="W142" i="2"/>
  <c r="X142" i="2"/>
  <c r="Y142" i="2"/>
  <c r="P143" i="2"/>
  <c r="Q143" i="2"/>
  <c r="R143" i="2"/>
  <c r="S143" i="2"/>
  <c r="T143" i="2"/>
  <c r="U143" i="2"/>
  <c r="V143" i="2"/>
  <c r="W143" i="2"/>
  <c r="X143" i="2"/>
  <c r="Y143" i="2"/>
  <c r="P184" i="2"/>
  <c r="Q184" i="2"/>
  <c r="R184" i="2"/>
  <c r="S184" i="2"/>
  <c r="T184" i="2"/>
  <c r="U184" i="2"/>
  <c r="V184" i="2"/>
  <c r="W184" i="2"/>
  <c r="X184" i="2"/>
  <c r="Y184" i="2"/>
  <c r="P185" i="2"/>
  <c r="Q185" i="2"/>
  <c r="R185" i="2"/>
  <c r="S185" i="2"/>
  <c r="T185" i="2"/>
  <c r="U185" i="2"/>
  <c r="V185" i="2"/>
  <c r="W185" i="2"/>
  <c r="X185" i="2"/>
  <c r="Y185" i="2"/>
  <c r="P226" i="2"/>
  <c r="Q226" i="2"/>
  <c r="R226" i="2"/>
  <c r="S226" i="2"/>
  <c r="T226" i="2"/>
  <c r="U226" i="2"/>
  <c r="V226" i="2"/>
  <c r="W226" i="2"/>
  <c r="X226" i="2"/>
  <c r="Y226" i="2"/>
  <c r="P227" i="2"/>
  <c r="Q227" i="2"/>
  <c r="R227" i="2"/>
  <c r="S227" i="2"/>
  <c r="T227" i="2"/>
  <c r="U227" i="2"/>
  <c r="V227" i="2"/>
  <c r="W227" i="2"/>
  <c r="X227" i="2"/>
  <c r="Y227" i="2"/>
  <c r="P228" i="2"/>
  <c r="Q228" i="2"/>
  <c r="R228" i="2"/>
  <c r="S228" i="2"/>
  <c r="T228" i="2"/>
  <c r="U228" i="2"/>
  <c r="V228" i="2"/>
  <c r="W228" i="2"/>
  <c r="X228" i="2"/>
  <c r="Y228" i="2"/>
  <c r="P247" i="2"/>
  <c r="Q247" i="2"/>
  <c r="R247" i="2"/>
  <c r="S247" i="2"/>
  <c r="T247" i="2"/>
  <c r="U247" i="2"/>
  <c r="V247" i="2"/>
  <c r="W247" i="2"/>
  <c r="X247" i="2"/>
  <c r="Y247" i="2"/>
  <c r="P248" i="2"/>
  <c r="Q248" i="2"/>
  <c r="R248" i="2"/>
  <c r="S248" i="2"/>
  <c r="T248" i="2"/>
  <c r="U248" i="2"/>
  <c r="V248" i="2"/>
  <c r="W248" i="2"/>
  <c r="X248" i="2"/>
  <c r="Y248" i="2"/>
  <c r="P249" i="2"/>
  <c r="Q249" i="2"/>
  <c r="R249" i="2"/>
  <c r="S249" i="2"/>
  <c r="T249" i="2"/>
  <c r="U249" i="2"/>
  <c r="V249" i="2"/>
  <c r="W249" i="2"/>
  <c r="X249" i="2"/>
  <c r="Y249" i="2"/>
  <c r="P251" i="2"/>
  <c r="Q251" i="2"/>
  <c r="R251" i="2"/>
  <c r="S251" i="2"/>
  <c r="T251" i="2"/>
  <c r="U251" i="2"/>
  <c r="V251" i="2"/>
  <c r="W251" i="2"/>
  <c r="X251" i="2"/>
  <c r="Y251" i="2"/>
  <c r="G6" i="7"/>
  <c r="H6" i="7"/>
  <c r="I6" i="7"/>
  <c r="J6" i="7"/>
  <c r="N6" i="7"/>
  <c r="O6" i="7"/>
  <c r="P6" i="7"/>
  <c r="G7" i="7"/>
  <c r="H7" i="7"/>
  <c r="I7" i="7"/>
  <c r="J7" i="7"/>
  <c r="O7" i="7"/>
  <c r="P7" i="7"/>
  <c r="O8" i="7"/>
  <c r="P8" i="7"/>
  <c r="N9" i="7"/>
  <c r="O9" i="7"/>
  <c r="P9" i="7"/>
  <c r="G10" i="7"/>
  <c r="H11" i="7"/>
  <c r="I11" i="7"/>
  <c r="J11" i="7"/>
  <c r="K11" i="7"/>
  <c r="N11" i="7"/>
  <c r="O11" i="7"/>
  <c r="P11" i="7"/>
  <c r="H13" i="7"/>
  <c r="I13" i="7"/>
  <c r="J13" i="7"/>
  <c r="K13" i="7"/>
  <c r="N13" i="7"/>
  <c r="O13" i="7"/>
  <c r="P13" i="7"/>
  <c r="N16" i="7"/>
  <c r="O16" i="7"/>
  <c r="P16" i="7"/>
  <c r="N17" i="7"/>
  <c r="O17" i="7"/>
  <c r="P17" i="7"/>
  <c r="O18" i="7"/>
  <c r="P18" i="7"/>
  <c r="O19" i="7"/>
  <c r="P19" i="7"/>
  <c r="O3" i="13"/>
  <c r="Y3" i="13"/>
  <c r="Z3" i="13"/>
  <c r="AA3" i="13"/>
  <c r="H4" i="13"/>
  <c r="T4" i="13"/>
  <c r="Y4" i="13"/>
  <c r="Z4" i="13"/>
  <c r="AA4" i="13"/>
  <c r="T5" i="13"/>
  <c r="Y5" i="13"/>
  <c r="Z5" i="13"/>
  <c r="AA5" i="13"/>
  <c r="Y6" i="13"/>
  <c r="Z6" i="13"/>
  <c r="AA6" i="13"/>
  <c r="Y7" i="13"/>
  <c r="Z7" i="13"/>
  <c r="AA7" i="13"/>
  <c r="Y8" i="13"/>
  <c r="Z8" i="13"/>
  <c r="AA8" i="13"/>
  <c r="Y9" i="13"/>
  <c r="Z9" i="13"/>
  <c r="AA9" i="13"/>
  <c r="Y10" i="13"/>
  <c r="Z10" i="13"/>
  <c r="AA10" i="13"/>
</calcChain>
</file>

<file path=xl/sharedStrings.xml><?xml version="1.0" encoding="utf-8"?>
<sst xmlns="http://schemas.openxmlformats.org/spreadsheetml/2006/main" count="732" uniqueCount="508">
  <si>
    <t>Operating Expenses</t>
  </si>
  <si>
    <t>Income Statement</t>
  </si>
  <si>
    <t>Statement of CFs</t>
  </si>
  <si>
    <t>Balance Sheet - NWC</t>
  </si>
  <si>
    <t>Actual</t>
  </si>
  <si>
    <t>Fiscal Year End (12/31)</t>
  </si>
  <si>
    <t>step</t>
  </si>
  <si>
    <t>EBIT</t>
  </si>
  <si>
    <t>Balance Sheet - non NWC</t>
  </si>
  <si>
    <t>Discounted Cash Flow Analysis</t>
  </si>
  <si>
    <t>Terminal</t>
  </si>
  <si>
    <t>Total EBIT (Operating Income)</t>
  </si>
  <si>
    <t>(1 - Tax Rate)</t>
  </si>
  <si>
    <t>Net Operating Profit After Tax (NOPAT)</t>
  </si>
  <si>
    <t>(+) Total Depreciation &amp; Amortization</t>
  </si>
  <si>
    <t>(-) Capital Expenditures</t>
  </si>
  <si>
    <t>Free Cash Flow</t>
  </si>
  <si>
    <t>Years (Discount Factor)</t>
  </si>
  <si>
    <t>Net Present Value</t>
  </si>
  <si>
    <t>(+) Cash</t>
  </si>
  <si>
    <t>(-) Debt</t>
  </si>
  <si>
    <t>Equity Value</t>
  </si>
  <si>
    <t>Intrinsic Value</t>
  </si>
  <si>
    <t xml:space="preserve">Current Price </t>
  </si>
  <si>
    <t>DCF Upside</t>
  </si>
  <si>
    <t>WACC</t>
  </si>
  <si>
    <t>Terminal Growth Rate</t>
  </si>
  <si>
    <t>Enterprise Value</t>
  </si>
  <si>
    <t>(In Thousands)</t>
  </si>
  <si>
    <t>(In thousands)</t>
  </si>
  <si>
    <t>Shares Outstanding (thousands)</t>
  </si>
  <si>
    <t>KPIs</t>
  </si>
  <si>
    <t>Total Revenue</t>
  </si>
  <si>
    <t>Interest income</t>
  </si>
  <si>
    <t>Other income</t>
  </si>
  <si>
    <t>Total written premium</t>
  </si>
  <si>
    <t>Homeowner</t>
  </si>
  <si>
    <t>Automotive</t>
  </si>
  <si>
    <t>Commercial</t>
  </si>
  <si>
    <t>Other</t>
  </si>
  <si>
    <t>Corporate Channel</t>
  </si>
  <si>
    <t>Franchise Channel</t>
  </si>
  <si>
    <t>Cost recovery revenue:</t>
  </si>
  <si>
    <t>Ancillary revenue:</t>
  </si>
  <si>
    <t>Employee compensaiton and benefits</t>
  </si>
  <si>
    <t>General &amp; administrative expenses</t>
  </si>
  <si>
    <t>Bad debts</t>
  </si>
  <si>
    <t>Depreciation &amp; amortization</t>
  </si>
  <si>
    <t>Other Income</t>
  </si>
  <si>
    <t>Interest expense</t>
  </si>
  <si>
    <t>Income before taxes</t>
  </si>
  <si>
    <t>Tax expense (benefit)</t>
  </si>
  <si>
    <t>Net Income</t>
  </si>
  <si>
    <t>Less: net income attributable to non-controlling interests</t>
  </si>
  <si>
    <t xml:space="preserve">Net Income attributable to Goosehead Insurance, Inc. </t>
  </si>
  <si>
    <t>Earnings per share</t>
  </si>
  <si>
    <t>Basic</t>
  </si>
  <si>
    <t>Diluted</t>
  </si>
  <si>
    <t xml:space="preserve">Basic </t>
  </si>
  <si>
    <t>Property and equipment, net of accumulated depreciation</t>
  </si>
  <si>
    <t>Lease liability, net of current portion</t>
  </si>
  <si>
    <t>Note payable, net of current portion</t>
  </si>
  <si>
    <t>Liabilities under tax receivable agreement, net of current portion</t>
  </si>
  <si>
    <t>Cash and cash equivalents</t>
  </si>
  <si>
    <t>Restricted cash</t>
  </si>
  <si>
    <t>Commissions and agency fees receivable, net</t>
  </si>
  <si>
    <t>Receivable from franchisees, net</t>
  </si>
  <si>
    <t>Prepaid expenses</t>
  </si>
  <si>
    <t>Accounts payable and accrued expenses</t>
  </si>
  <si>
    <t>Premiums payable</t>
  </si>
  <si>
    <t>Lease liability</t>
  </si>
  <si>
    <t>Contract liabilities</t>
  </si>
  <si>
    <t>Note payable</t>
  </si>
  <si>
    <t>Proceeds from notes receivable</t>
  </si>
  <si>
    <t>Purchase of software</t>
  </si>
  <si>
    <t>Purchase of property and equipment</t>
  </si>
  <si>
    <t>Expected</t>
  </si>
  <si>
    <t>% non-controlling interest</t>
  </si>
  <si>
    <t>n/a</t>
  </si>
  <si>
    <t>Unearned revenue</t>
  </si>
  <si>
    <t>Dividends payable</t>
  </si>
  <si>
    <t>NOPAT = EBIT(1-Tax)</t>
  </si>
  <si>
    <t>Net promoter score (NPS)</t>
  </si>
  <si>
    <t>Premium retention</t>
  </si>
  <si>
    <t>Deferred rent, net of current portion</t>
  </si>
  <si>
    <t>Deferred rent</t>
  </si>
  <si>
    <t>% growth</t>
  </si>
  <si>
    <t>Renewal commissions (corporate)</t>
  </si>
  <si>
    <t>New business commissions (corporate)</t>
  </si>
  <si>
    <t>New business royalty fees (franchise)</t>
  </si>
  <si>
    <t>Agency fees (corporate)</t>
  </si>
  <si>
    <t>Contingent commissions (corporate)</t>
  </si>
  <si>
    <t>% total written premium</t>
  </si>
  <si>
    <t>% total revenue</t>
  </si>
  <si>
    <t>Client retention (corporate)</t>
  </si>
  <si>
    <t>% overstated</t>
  </si>
  <si>
    <t>Adjusted forecast</t>
  </si>
  <si>
    <t>Average err:</t>
  </si>
  <si>
    <t>State</t>
  </si>
  <si>
    <t>Texas</t>
  </si>
  <si>
    <t>California</t>
  </si>
  <si>
    <t>New York</t>
  </si>
  <si>
    <t>Florida</t>
  </si>
  <si>
    <t>Illinois</t>
  </si>
  <si>
    <t>Michigan</t>
  </si>
  <si>
    <t>Pennsylvania</t>
  </si>
  <si>
    <t>Georgia</t>
  </si>
  <si>
    <t>Colorado</t>
  </si>
  <si>
    <t xml:space="preserve">North Carolina </t>
  </si>
  <si>
    <t>Virginia</t>
  </si>
  <si>
    <t>Indiana</t>
  </si>
  <si>
    <t>New Jersey</t>
  </si>
  <si>
    <t>Maryland</t>
  </si>
  <si>
    <t>Total</t>
  </si>
  <si>
    <t>Currently operating</t>
  </si>
  <si>
    <t>In implementation</t>
  </si>
  <si>
    <t>0-1 year</t>
  </si>
  <si>
    <t>1-2 years</t>
  </si>
  <si>
    <t>2-3 years</t>
  </si>
  <si>
    <t>3-4 years</t>
  </si>
  <si>
    <t>4+ years</t>
  </si>
  <si>
    <t>Franchise years tenured</t>
  </si>
  <si>
    <t>Recruiting agents</t>
  </si>
  <si>
    <t>Change</t>
  </si>
  <si>
    <t>Under contract, yet to be opened</t>
  </si>
  <si>
    <t>Net adds per agent</t>
  </si>
  <si>
    <t>Quarterly net additions per agent</t>
  </si>
  <si>
    <t>Agent HC</t>
  </si>
  <si>
    <t>New business royalty fee per franchise</t>
  </si>
  <si>
    <t>% Decline from new franchises from "other"</t>
  </si>
  <si>
    <t>Growing franchises outside of TX/LA/OK will lower new business royalty fees per franchise over time</t>
  </si>
  <si>
    <t>Step</t>
  </si>
  <si>
    <t>Total by agent additions forecast</t>
  </si>
  <si>
    <t>Recruiting agent headcount growth</t>
  </si>
  <si>
    <t>Assumptions used to forecast new franchise business royalty fees</t>
  </si>
  <si>
    <t>% Decline from new franchise fees outside of TX/LA/OK YoY</t>
  </si>
  <si>
    <t>Total by diminishing geography</t>
  </si>
  <si>
    <t>Geographical footprint diminishing growth by state</t>
  </si>
  <si>
    <t>New business royalty fees</t>
  </si>
  <si>
    <t>% core corporate revenue</t>
  </si>
  <si>
    <t>Renewal royalty fees (franchise)</t>
  </si>
  <si>
    <t>Anticipated w/ premium retention</t>
  </si>
  <si>
    <t>Anticipated w/ client retention</t>
  </si>
  <si>
    <t>Initial franchise fees (franchise)</t>
  </si>
  <si>
    <t>per franchise</t>
  </si>
  <si>
    <t>% total written premiums</t>
  </si>
  <si>
    <t>Core Revenue:</t>
  </si>
  <si>
    <t>_</t>
  </si>
  <si>
    <t>Total employees</t>
  </si>
  <si>
    <t>Employee compensaiton excl. Class B unit comp &amp; stock options</t>
  </si>
  <si>
    <t>Total corporate employees (excl. franchise)</t>
  </si>
  <si>
    <t>G&amp;A per employee</t>
  </si>
  <si>
    <t>EBITDA Margin</t>
  </si>
  <si>
    <t>% PP&amp;E prior year</t>
  </si>
  <si>
    <t>Furniture &amp; fixtures</t>
  </si>
  <si>
    <t>Computer equipment</t>
  </si>
  <si>
    <t>Network equipment</t>
  </si>
  <si>
    <t>Phone system</t>
  </si>
  <si>
    <t>Leasehold improvements</t>
  </si>
  <si>
    <t>Less: accumulated dep</t>
  </si>
  <si>
    <t>PP&amp;E, net</t>
  </si>
  <si>
    <t>% total</t>
  </si>
  <si>
    <t>% total employees</t>
  </si>
  <si>
    <t>EBIT Margin</t>
  </si>
  <si>
    <t>% notes payable</t>
  </si>
  <si>
    <t>2026 term note payable</t>
  </si>
  <si>
    <t>Net income margin</t>
  </si>
  <si>
    <t>Total CAPEX</t>
  </si>
  <si>
    <t>% D&amp;A</t>
  </si>
  <si>
    <t>% YoY change</t>
  </si>
  <si>
    <t>Total change in current assets</t>
  </si>
  <si>
    <t>Total change in current liabilities</t>
  </si>
  <si>
    <t>Change in operating NWC</t>
  </si>
  <si>
    <t>Turnover ratio (revenue/NWC)</t>
  </si>
  <si>
    <t>% core revenue</t>
  </si>
  <si>
    <t>Days receivable (avg AR/core revenue)*365</t>
  </si>
  <si>
    <t>% core franchise revenue</t>
  </si>
  <si>
    <t>% operating expenses</t>
  </si>
  <si>
    <t>% change</t>
  </si>
  <si>
    <t>(+) Changes in Net Working Capital</t>
  </si>
  <si>
    <t>Total operating expenses</t>
  </si>
  <si>
    <t>Risk-Free Rate</t>
  </si>
  <si>
    <t>Market Rate</t>
  </si>
  <si>
    <t>Market Premium</t>
  </si>
  <si>
    <t>Cost of Equity (unweighted)</t>
  </si>
  <si>
    <t>Total Equity</t>
  </si>
  <si>
    <t xml:space="preserve">Interest Expense </t>
  </si>
  <si>
    <t xml:space="preserve">Long-Term Debt </t>
  </si>
  <si>
    <t>Total Debt</t>
  </si>
  <si>
    <t>Cost of Debt (before tax)</t>
  </si>
  <si>
    <t>Tax Rate</t>
  </si>
  <si>
    <t>Tax Shield</t>
  </si>
  <si>
    <t>Cost of Debt (after tax)</t>
  </si>
  <si>
    <t>Cost of Equity (Weighted)</t>
  </si>
  <si>
    <t>Cost of Debt (Weighted)</t>
  </si>
  <si>
    <t>Premium</t>
  </si>
  <si>
    <t>Calculated WACC</t>
  </si>
  <si>
    <t>FactSet WACC</t>
  </si>
  <si>
    <t>WACC Used</t>
  </si>
  <si>
    <t>August Peterson</t>
  </si>
  <si>
    <t>Summary Table</t>
  </si>
  <si>
    <t>Value</t>
  </si>
  <si>
    <t>Weight</t>
  </si>
  <si>
    <t>DCF</t>
  </si>
  <si>
    <t>RelEval - EV/EBITDA</t>
  </si>
  <si>
    <t>Price Target</t>
  </si>
  <si>
    <t>Upside</t>
  </si>
  <si>
    <t>General Information</t>
  </si>
  <si>
    <t xml:space="preserve">Ticker: </t>
  </si>
  <si>
    <t>Trades on:</t>
  </si>
  <si>
    <t>NASDAQ</t>
  </si>
  <si>
    <t xml:space="preserve">Sector: </t>
  </si>
  <si>
    <t>Industry:</t>
  </si>
  <si>
    <t>Diluted Shares Outstanding (M):</t>
  </si>
  <si>
    <t>Fiscal Year End:</t>
  </si>
  <si>
    <t xml:space="preserve">Last Stock Price: </t>
  </si>
  <si>
    <t xml:space="preserve">Average Volume (3 Mo): </t>
  </si>
  <si>
    <t xml:space="preserve">Market Cap (M): </t>
  </si>
  <si>
    <t xml:space="preserve">Enterprise Value (M): </t>
  </si>
  <si>
    <t xml:space="preserve">52 Week H/L ($): </t>
  </si>
  <si>
    <t>ESG Score</t>
  </si>
  <si>
    <t>-</t>
  </si>
  <si>
    <t>Goosehead Insurance, Inc.</t>
  </si>
  <si>
    <t>Insurance</t>
  </si>
  <si>
    <t>GSHD</t>
  </si>
  <si>
    <t>BB</t>
  </si>
  <si>
    <t>Key:</t>
  </si>
  <si>
    <t>Input</t>
  </si>
  <si>
    <t>Assumption</t>
  </si>
  <si>
    <t>Calculation</t>
  </si>
  <si>
    <t>5-yr Revenue CAGR</t>
  </si>
  <si>
    <t>5-yr EPS CAGR</t>
  </si>
  <si>
    <t>Date</t>
  </si>
  <si>
    <t>RUT close</t>
  </si>
  <si>
    <t>GSHD close</t>
  </si>
  <si>
    <t>Weekly Return (09/14/20 - 01/10/22)</t>
  </si>
  <si>
    <t>RUT</t>
  </si>
  <si>
    <t>BETA</t>
  </si>
  <si>
    <t>Beta Used</t>
  </si>
  <si>
    <t>Calculated RUT YTD Beta</t>
  </si>
  <si>
    <t>Yahoo 5Y monthly</t>
  </si>
  <si>
    <t>Refinitiv 5Y monthly</t>
  </si>
  <si>
    <t>FactSet 3-yr Adjusted</t>
  </si>
  <si>
    <t>FactSet 52-wk</t>
  </si>
  <si>
    <t>Terminal Value</t>
  </si>
  <si>
    <t>Insurance industry revenue growth (5Y)</t>
  </si>
  <si>
    <t>Motor vehicle registration growth (5Y)</t>
  </si>
  <si>
    <t>Household demand for homeowners' insurance growth (5Y)</t>
  </si>
  <si>
    <t>Workers' comp. revenue growth (5Y)</t>
  </si>
  <si>
    <t>P&amp;C industry revenue growth (5Y)</t>
  </si>
  <si>
    <t>Expected P&amp;C employee growth (5Y)</t>
  </si>
  <si>
    <t>Factors</t>
  </si>
  <si>
    <t>Growth</t>
  </si>
  <si>
    <t>US GDP expected annualized growth</t>
  </si>
  <si>
    <t>Weighted Growth</t>
  </si>
  <si>
    <t>Terminal Value Used</t>
  </si>
  <si>
    <t>Financial Services</t>
  </si>
  <si>
    <t>Reference</t>
  </si>
  <si>
    <t>Best Comparisons</t>
  </si>
  <si>
    <t>Decent Comparisons</t>
  </si>
  <si>
    <t>Company</t>
  </si>
  <si>
    <t>Ticker</t>
  </si>
  <si>
    <t>Share Price</t>
  </si>
  <si>
    <t>Market Cap (M)</t>
  </si>
  <si>
    <t>Beta</t>
  </si>
  <si>
    <t>ROE</t>
  </si>
  <si>
    <t>Op. Margin</t>
  </si>
  <si>
    <t>EV/EBITDA</t>
  </si>
  <si>
    <t>EV/EBIT</t>
  </si>
  <si>
    <t xml:space="preserve"> </t>
  </si>
  <si>
    <t>Comp figures as of March 9, 2022</t>
  </si>
  <si>
    <t xml:space="preserve">Goosehead Insurance, Inc. </t>
  </si>
  <si>
    <t>Relative Value of Goosehead</t>
  </si>
  <si>
    <t>PEG</t>
  </si>
  <si>
    <t xml:space="preserve">Arthur J. Gallagher &amp; Co. </t>
  </si>
  <si>
    <t>AJG</t>
  </si>
  <si>
    <t>Aon PLC</t>
  </si>
  <si>
    <t>AON</t>
  </si>
  <si>
    <t>BRP Group</t>
  </si>
  <si>
    <t>BRP</t>
  </si>
  <si>
    <t>Brown &amp; Brown, Inc.</t>
  </si>
  <si>
    <t>BRO</t>
  </si>
  <si>
    <t>MMC</t>
  </si>
  <si>
    <t>FCF/Sh</t>
  </si>
  <si>
    <t>% revenue</t>
  </si>
  <si>
    <t>Today</t>
  </si>
  <si>
    <t>Corporate</t>
  </si>
  <si>
    <t>Franchise</t>
  </si>
  <si>
    <t>Total OpEx</t>
  </si>
  <si>
    <t>Employee Comp</t>
  </si>
  <si>
    <t>G&amp;A</t>
  </si>
  <si>
    <t>EPS</t>
  </si>
  <si>
    <t>Cash</t>
  </si>
  <si>
    <t>LT Debt</t>
  </si>
  <si>
    <t>Total CapEx</t>
  </si>
  <si>
    <t>% margin</t>
  </si>
  <si>
    <t>Goosehead Insurance, Inc. Evolution</t>
  </si>
  <si>
    <t>FY 2026</t>
  </si>
  <si>
    <t>FY 2031</t>
  </si>
  <si>
    <t>Class B Shares</t>
  </si>
  <si>
    <t>3Q moving avg (quarterly)</t>
  </si>
  <si>
    <t>Agent HC growth (quarterly)</t>
  </si>
  <si>
    <t>3Q moving avg HC growth (quarterly)</t>
  </si>
  <si>
    <t>Conservative Net Adds Assumption:</t>
  </si>
  <si>
    <t>% accumulated depreciation</t>
  </si>
  <si>
    <t>% effective tax rate</t>
  </si>
  <si>
    <t>Equity-based comp</t>
  </si>
  <si>
    <t>Adjusted EBITDA</t>
  </si>
  <si>
    <t>Adjusted EBIT</t>
  </si>
  <si>
    <t>Shares Outstanding</t>
  </si>
  <si>
    <t>Sequential change</t>
  </si>
  <si>
    <t>Total Shares</t>
  </si>
  <si>
    <t>Convertible shares</t>
  </si>
  <si>
    <t>Change in convertibles</t>
  </si>
  <si>
    <t>Adjusted Basic</t>
  </si>
  <si>
    <t>Liabilities under TRA</t>
  </si>
  <si>
    <t>Days payable (avg AP/core revenue)*365</t>
  </si>
  <si>
    <t>Net Working Capital</t>
  </si>
  <si>
    <t>Turnover ratio (revenue/ Change in operating NWC)</t>
  </si>
  <si>
    <t>Franchise Churn</t>
  </si>
  <si>
    <t>Operating franchises &lt; 1 year tenured (TX)</t>
  </si>
  <si>
    <t>Operating franchises &gt; 1 year tenured (TX)</t>
  </si>
  <si>
    <t>Operating franchises &lt; 1 year tenured (non TX)</t>
  </si>
  <si>
    <t>Operating franchises &gt; 1 year tenured (non TX)</t>
  </si>
  <si>
    <t>Estimated retention (using solver)</t>
  </si>
  <si>
    <t>Check figure</t>
  </si>
  <si>
    <t>Corporate sales agents &lt; 1 year tenured</t>
  </si>
  <si>
    <t>Corporate sales agents &gt; 1 year tenured</t>
  </si>
  <si>
    <t>Corporate Sales Agent Churn</t>
  </si>
  <si>
    <t>Cursory Churn Analysis</t>
  </si>
  <si>
    <t xml:space="preserve">Roughly ~10% of operating franchises either fail to </t>
  </si>
  <si>
    <t>renew a 5-year lease or close operations in the first year</t>
  </si>
  <si>
    <t>Corporate Sales Agent Churn - LT Tenured Churn Half as Often</t>
  </si>
  <si>
    <t>Zillow Group</t>
  </si>
  <si>
    <t>InsurTech Comps</t>
  </si>
  <si>
    <t>Similar SG&amp;A spend as a percentage of revenues; operating margins are alike. Decent comp with ~73% revenues brokerage-related while ~13% are claims and risk management and another 14% are miscellaneous.</t>
  </si>
  <si>
    <t>Oscillating sales and net margins, though increasing operating margins. Has continuously increased dividend. Balance sheets are structured similarly to GSHD despite being 30x its size. ~71% brokerage revenues with already almost 13% market share. Maturing stage</t>
  </si>
  <si>
    <t>Very niche insurance services with similar market cap. BRP also went public in the last five years with an expected long-term growth rate in the 30-40% range. Very high sales growth with rising SG&amp;A costs. Very similar to GSHD's growth stage.</t>
  </si>
  <si>
    <t>Recurring sales growth with diminishing operating expenses, akin to GSHD's income statement in the next 2-3 years. Actually offers agency services as opposed to solely brokerage, where both generate ~94% of total revenue. Company is 9x larger but is likely past its high growth stage as positive NWC proves the firm is no longer paying upfront for growth.</t>
  </si>
  <si>
    <t>Marsh &amp; McLennan Companies, LLC</t>
  </si>
  <si>
    <t>Less than 10% of revenue is generated from a brokerage service, majority comes from consulting. Company is drastically larger than GSHD and will not see similar economies of scale benefits as the firm expands</t>
  </si>
  <si>
    <t>Verisik Analytics</t>
  </si>
  <si>
    <t>Low growth outlook with an extraordinarily large percentage of balance sheet in intangible assets. Founded over 50 years ago with almost 13 years of experience in the public markets. Similar capital structure but likely in its maturing stage</t>
  </si>
  <si>
    <t>Block Inc.</t>
  </si>
  <si>
    <t>Only 7 years of experience as a publicly traded entity after being spun from eBay. Very high growth in last five years seeing SG&amp;A benefits of economies of scale. Similar capital structure with low LT debt and negative change in NWC leads me to believe this company is still in a high growth stage as they are paying for growth ahead of operations.</t>
  </si>
  <si>
    <t>High sales growth in the last 5 years, but higher growth in COGS YoY. Very low/negative operating income over the same period with a revenue segment that hasn't proven itself lucrative (direct home purchases). 10+ years on the public markets with a beta of 0.28.</t>
  </si>
  <si>
    <t>Green Dot Corporation</t>
  </si>
  <si>
    <t>Similar market cap with high Texas exposure. The Street estimates a high 20% LT growth rate as sales have only increased YoY since its IPO in 2008. SG&amp;A expenses ~45% of sales and negative NWC change supports a growth-stage company.</t>
  </si>
  <si>
    <t>High Growth Fintech</t>
  </si>
  <si>
    <t>Insurance Brokerages</t>
  </si>
  <si>
    <t>Paymentus Holdings</t>
  </si>
  <si>
    <t>White Mountains Insurance Group</t>
  </si>
  <si>
    <t>Similar market cap and relative valuations with a core business also in the P&amp;C insurance family. Comps are drastically different as WTM is expected to add value through new business segments such as specialty transportation, pet incurance, real estate, social services, and other segments that GSHD isn't in. Core business is not as FCF generative as GSHD is.</t>
  </si>
  <si>
    <t>IPOd in May of 2021. Similar size with high LT growth expectations. Company has reported decent growth with EBIT margins paralleling GSHD, but growth isn't guaranteed recurring like it is for GSHDs franchise model. Company is very sensitive to market risk (beta of 2.9) as evidenced by the stock's rapid decline from today's geopolitical tensions and inflation.</t>
  </si>
  <si>
    <t>Tech Peers with High Recurring Revenue / Customer Retention (Premium Retention)</t>
  </si>
  <si>
    <t>Planet Fitness, Inc.</t>
  </si>
  <si>
    <t>Very similar betas, LT expected growth rates, institutional ownership, IPO dates, market cap, net margins. Planet Fitness is also competing in a highly saturated industry but already has ~8% total market share. PLNT has a similar capital structure but has historically not been growing at the rate of GSHD's franchise. Use of working capital is negligable but firm is experiencing ~90% recurring revenue from corporate owned and franchise stores YoY. Largest difference is risk exposure by industry. PLNT is more senstitive to brick-and-mortar erosion (i.e. foot traffic threats similar to COVID-19)</t>
  </si>
  <si>
    <t>RE/MAX Holdings</t>
  </si>
  <si>
    <t>Winmark Corporation</t>
  </si>
  <si>
    <t>Alimentation Couche-Tard</t>
  </si>
  <si>
    <t xml:space="preserve">GoHealth Inc. </t>
  </si>
  <si>
    <t>95% of revenue comes from real estate franchise operations in the US and Canada. Continuing franchise fees (fixed monthly fee per agent) and annual dues (fixed annual fees agents pay directly to the company) represent 62% revenue, broker fees (% fee paid by RE/MAX franchisees on agent-generated transactions) made up 26%, and fees from initial sale or renewal of a franchise is 12%. Real estate revenue is mainly generated from US (81%). Operates in very saturated market with decent growth</t>
  </si>
  <si>
    <t>Growth Stage Franchise Models in Saturated Industries</t>
  </si>
  <si>
    <t>One third the size of GSHD trading publicly since '93, Winmark is certainly in the mature stage of firm growth. Revenues from franchise locations include Plato's Closet, Once Upon A Child, Play It Again Sports, Style Encore, Music Go Round. Stores are not all brick-and-mortar and have been shifting to eCommerce. Unable to determine the amount of recurring revenue from franchise operations.</t>
  </si>
  <si>
    <t>First traded in 1990, half the market cap of GSHD with decent revenue growth (not as of late). Company sells goods for immediate consumption, road transportation fuel, and other products. Operates under Circle K, Ingo, Couche-Tara brands. Comp is decent because indsutry demand is relatively inelastic compared to the other peers listed</t>
  </si>
  <si>
    <t>Chegg</t>
  </si>
  <si>
    <t>Ecolab</t>
  </si>
  <si>
    <t>Okta</t>
  </si>
  <si>
    <t>Netflix in 2006</t>
  </si>
  <si>
    <t>Similar market cap, LT growth predictions, institutional ownership, t-5 year growth, SG&amp;A focus. Like GSHD, investment flows through the income statement through R&amp;D and SG&amp;A as opposed to the balance sheet. Similar market penetration with only 3% of the educational support services indsustry.</t>
  </si>
  <si>
    <t xml:space="preserve">Stock has performed similarly to GSHD YTD due to similar betas, but decent LT growth is still expected. Ecolab first traded in 1972 and its sales growth leads me to believe this firm is at its mature stage in the growth cycle. Latent pricing power and strong customer relationships are what keep this company a peer. </t>
  </si>
  <si>
    <t xml:space="preserve">Publicly traded since 2017 with similar ~30% expected LT growth, Okta has seen impressive growth in the last five years. Retention rate is far higher than GSHD and offers a much stickier business model as enterprises are not likely to change identity management platforms short term. </t>
  </si>
  <si>
    <t xml:space="preserve">Poor peer for many reasons in 2022; 80x larger with an incredible amount of market share and 20 years on the market. Recurring revenue is not generated as a function of business expansion but rather consumer adoption in the attention economy. Netlfix is a more fair comparison in its fifth year on the market with relatively little market share and a an online presence that had yet to realize economies of scale benefits </t>
  </si>
  <si>
    <t>Microcap with extremely high expected LT growth by The Street (96%). IPOd only two years ago but sales from the last four years have grown impressively. Expenses are growing faster than revenues; this firm would make an exceptional peer after a couple more years of maturity. Business model is very similar as company makes money from carrier relationships sold by independent agents of the company with Medicare insurance.</t>
  </si>
  <si>
    <t>Similar market cap and directly in P&amp;C insurance space, although insurance coverage is actually sold and the majority of its liabilities are outsourced to reinsurance companies, posing a much larger risk to the firm than one might expect. Ultimately too risky despite large customer growth in the last few years.</t>
  </si>
  <si>
    <t>IPOd last year with LT growth expectations in line with GSHD. Uses tech to enhance the relationship and transparency between the doctor and the patient using data and offers health insurance products to small businesses and individuals. Firm does not parallel the GSHD business model and is too ripe in its growth cycle.</t>
  </si>
  <si>
    <t>Root, Inc.</t>
  </si>
  <si>
    <t xml:space="preserve">Offers insurance products based on technology that can underwrite risk based on behavioral data. Growth has slowed dramatically in the last couple years and has not been operationally profitable with combined ratios in the 200's. Root is expected to grow ~40% LT although the business model is not smilar to GSHD in many facets. </t>
  </si>
  <si>
    <t>Insurance agency industry churn has historically been high in the ~10% range</t>
  </si>
  <si>
    <t>P/E '23</t>
  </si>
  <si>
    <t>NTM P/E</t>
  </si>
  <si>
    <t>10-yr Revenue CAGR</t>
  </si>
  <si>
    <t>10-yr EPS CAGR</t>
  </si>
  <si>
    <t>ECL</t>
  </si>
  <si>
    <t>PAY</t>
  </si>
  <si>
    <t>SQ</t>
  </si>
  <si>
    <t>WTM</t>
  </si>
  <si>
    <t>VRSK</t>
  </si>
  <si>
    <t>GDOT</t>
  </si>
  <si>
    <t>ZG</t>
  </si>
  <si>
    <t>PLNT</t>
  </si>
  <si>
    <t>RMAX</t>
  </si>
  <si>
    <t>WINA</t>
  </si>
  <si>
    <t>ATD</t>
  </si>
  <si>
    <t>CHGG</t>
  </si>
  <si>
    <t>OKTA</t>
  </si>
  <si>
    <t>GOCO</t>
  </si>
  <si>
    <t>LMND</t>
  </si>
  <si>
    <t>Oscar Health, Inc.</t>
  </si>
  <si>
    <t>Lemonade Inc.</t>
  </si>
  <si>
    <t>OSCR</t>
  </si>
  <si>
    <t>ROOT</t>
  </si>
  <si>
    <t>Average</t>
  </si>
  <si>
    <t>NFLX</t>
  </si>
  <si>
    <t>EV/Rev/Employee</t>
  </si>
  <si>
    <t>*Adjusted EPS</t>
  </si>
  <si>
    <t>Comps Used</t>
  </si>
  <si>
    <t>Poor Comparisons</t>
  </si>
  <si>
    <t>*Removes BRP Outlier</t>
  </si>
  <si>
    <t>RelEval - EV/Rev/Employee</t>
  </si>
  <si>
    <t>10-yr FCF/Sh CAGR</t>
  </si>
  <si>
    <t>$62.40 - 181.30</t>
  </si>
  <si>
    <t>Peer Valuation</t>
  </si>
  <si>
    <t>Beta:</t>
  </si>
  <si>
    <t>FY: Dec</t>
  </si>
  <si>
    <t>2022E</t>
  </si>
  <si>
    <t>2023E</t>
  </si>
  <si>
    <t>Market Cap (Mil)</t>
  </si>
  <si>
    <t>Price Target ($):</t>
  </si>
  <si>
    <t>WACC (%):</t>
  </si>
  <si>
    <t>Revenue:</t>
  </si>
  <si>
    <t>52WK H-L ($):</t>
  </si>
  <si>
    <t>M-Term Rev. Gr Rate Est (%):</t>
  </si>
  <si>
    <t xml:space="preserve">  Growth (%):</t>
  </si>
  <si>
    <t>Market Cap (Mil):</t>
  </si>
  <si>
    <t>M-Term EPS Gr Rate Est (%):</t>
  </si>
  <si>
    <t>Insider Holding (%):</t>
  </si>
  <si>
    <t>Debt/Equity:</t>
  </si>
  <si>
    <t>Avg. Daily Vol (3M):</t>
  </si>
  <si>
    <t>Net Debt/EBITDA (TTM):</t>
  </si>
  <si>
    <t>Operating Margin (%):</t>
  </si>
  <si>
    <t>Short Interest (%):</t>
  </si>
  <si>
    <t>Yield (%):</t>
  </si>
  <si>
    <t>P/E (Cal):</t>
  </si>
  <si>
    <t>ESG Rating:</t>
  </si>
  <si>
    <t>EV/EBITDA (Cal):</t>
  </si>
  <si>
    <t>Peer Average</t>
  </si>
  <si>
    <t>M-Term: '22 - '26</t>
  </si>
  <si>
    <t>($USD '000)</t>
  </si>
  <si>
    <t>Source: FactSet</t>
  </si>
  <si>
    <t>Peer Fundamentals</t>
  </si>
  <si>
    <t>Revenue (Mil)</t>
  </si>
  <si>
    <t>ROIC (%)</t>
  </si>
  <si>
    <t>ROE (%)</t>
  </si>
  <si>
    <t>Source: FactSet (TTM)</t>
  </si>
  <si>
    <t>Weights</t>
  </si>
  <si>
    <t>Selected Comp Weighted Average</t>
  </si>
  <si>
    <t>Selected Comp Unweighted Average</t>
  </si>
  <si>
    <t>Understanding Revenue Renewal</t>
  </si>
  <si>
    <t>ROA '21:</t>
  </si>
  <si>
    <t>ROE '21:</t>
  </si>
  <si>
    <t>ROIC '21:</t>
  </si>
  <si>
    <t>2021A</t>
  </si>
  <si>
    <t>2024E</t>
  </si>
  <si>
    <t>Op. Income:</t>
  </si>
  <si>
    <t>EPS (ex. Equity Comp):</t>
  </si>
  <si>
    <t>Shareholders' Investment</t>
  </si>
  <si>
    <t>Operating lease liabilities</t>
  </si>
  <si>
    <t>Cash and equivalents</t>
  </si>
  <si>
    <t>Total Invested Capital</t>
  </si>
  <si>
    <t>ROIC</t>
  </si>
  <si>
    <t>Average Invested Capital</t>
  </si>
  <si>
    <t>ROIC (NOPAT/Avg Invested Capital)</t>
  </si>
  <si>
    <t>P/E NTM</t>
  </si>
  <si>
    <t>EBITDA Margin (%)</t>
  </si>
  <si>
    <t>Net Profit Margin (%)</t>
  </si>
  <si>
    <t>NIMI Adjusted for Equity Comp</t>
  </si>
  <si>
    <t>Peers Unweighted</t>
  </si>
  <si>
    <t>Initiating repurchase program of 1% YoY in year LT notes are paid off</t>
  </si>
  <si>
    <t>Peer Weights (%): 19, 19, 19, 8, 8, 8, 19</t>
  </si>
  <si>
    <t>RelEval - NTM P/E</t>
  </si>
  <si>
    <t>Current Price (3/19/22)</t>
  </si>
  <si>
    <t>Price (3/19/22) ($):</t>
  </si>
  <si>
    <t>Operating Margin</t>
  </si>
  <si>
    <t>Date: 3/19/2022</t>
  </si>
  <si>
    <t xml:space="preserve">SCENARIO 1: </t>
  </si>
  <si>
    <t>Beta - Base Case</t>
  </si>
  <si>
    <t>Beta - Scenario 2</t>
  </si>
  <si>
    <t>BASE CASE</t>
  </si>
  <si>
    <t>% growth - Base Case</t>
  </si>
  <si>
    <t>SCENARIO 2:</t>
  </si>
  <si>
    <t>Any cell highlighted in this color can be changed with no consequence until Live Case # is altered to 2</t>
  </si>
  <si>
    <t>ALTERNATIVE CASE</t>
  </si>
  <si>
    <t>% growth - Scenario 2</t>
  </si>
  <si>
    <t>Beta - Live</t>
  </si>
  <si>
    <t>% growth - Live Case</t>
  </si>
  <si>
    <t>Quarterly Net franchise add per agent - Scenario 2</t>
  </si>
  <si>
    <t>Quarterly Net franchise adds per agent - Live Case</t>
  </si>
  <si>
    <t>Quarterly Net franchise adds per agent - Conservative Est</t>
  </si>
  <si>
    <t>Adjustable Scenario inputs: Beta, new business commissions (corporate), quarterly net adds per agent</t>
  </si>
  <si>
    <t>Comp per non-recruiting agent employee</t>
  </si>
  <si>
    <t>Goosehead Insurance</t>
  </si>
  <si>
    <t>GoHealth, Inc.</t>
  </si>
  <si>
    <t>Peer Averages</t>
  </si>
  <si>
    <t>Market Cap</t>
  </si>
  <si>
    <t>EV/R/E</t>
  </si>
  <si>
    <t>EBITDA Margin CAGR (9-yr)</t>
  </si>
  <si>
    <t>Excl. GOCO</t>
  </si>
  <si>
    <t>Selected Comp Weighted Average Excl. GOCO</t>
  </si>
  <si>
    <t>Selected Comp Weighted Average Excl. GOCO &amp; CHGG</t>
  </si>
  <si>
    <t>&amp; CHGG</t>
  </si>
  <si>
    <t xml:space="preserve">Roughly ~25% of all corporate sales agents churn YoY, </t>
  </si>
  <si>
    <t>with half as much churn for agents tenured &lt;1 year</t>
  </si>
  <si>
    <t>P/S/G</t>
  </si>
  <si>
    <t>Intrinsic Value Replacing NTM P/E</t>
  </si>
  <si>
    <t>Excl. both</t>
  </si>
  <si>
    <t>Excl. CHGG</t>
  </si>
  <si>
    <t>Selected Comp Weighted Average Excl. CHGG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</si>
</sst>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44" formatCode="_(&quot;$&quot;* #,##0.00_);_(&quot;$&quot;* \(#,##0.00\);_(&quot;$&quot;* &quot;-&quot;??_);_(@_)"/>
    <numFmt numFmtId="43" formatCode="_(* #,##0.00_);_(* \(#,##0.00\);_(* &quot;-&quot;??_);_(@_)"/>
    <numFmt numFmtId="164" formatCode="#&quot;E&quot;"/>
    <numFmt numFmtId="165" formatCode="#,##0.0%_);\(#,##0.0%\)"/>
    <numFmt numFmtId="166" formatCode="&quot;$&quot;#,##0.0_);\(&quot;$&quot;#,##0.0\)"/>
    <numFmt numFmtId="167" formatCode="#,##0.00%_);\(#,##0.00%\)"/>
    <numFmt numFmtId="168" formatCode="&quot;FY '&quot;#"/>
    <numFmt numFmtId="169" formatCode="0.0%"/>
    <numFmt numFmtId="170" formatCode="m/d;@"/>
    <numFmt numFmtId="171" formatCode="&quot;$&quot;#,##0.00"/>
    <numFmt numFmtId="172" formatCode="0.0"/>
    <numFmt numFmtId="173" formatCode="&quot;FY '&quot;#&quot;A&quot;"/>
    <numFmt numFmtId="174" formatCode="&quot;FY '&quot;#&quot;E&quot;"/>
    <numFmt numFmtId="175" formatCode="_(&quot;$&quot;* #,##0_);_(&quot;$&quot;* \(#,##0\);_(&quot;$&quot;* &quot;-&quot;??_);_(@_)"/>
    <numFmt numFmtId="176" formatCode="_(&quot;$&quot;* #,##0.000_);_(&quot;$&quot;* \(#,##0.000\);_(&quot;$&quot;* &quot;-&quot;??_);_(@_)"/>
    <numFmt numFmtId="177" formatCode="&quot;FY '&quot;#\ &quot;Q1&quot;"/>
    <numFmt numFmtId="178" formatCode="&quot;FY '&quot;#\ &quot;Q2&quot;"/>
    <numFmt numFmtId="179" formatCode="&quot;FY '&quot;#\ &quot;Q3&quot;"/>
    <numFmt numFmtId="180" formatCode="&quot;FY '&quot;#\ &quot;Q4&quot;"/>
    <numFmt numFmtId="181" formatCode="#,##0.00\x"/>
    <numFmt numFmtId="182" formatCode="#,##0.0\x"/>
    <numFmt numFmtId="183" formatCode="&quot;$&quot;#,##0"/>
    <numFmt numFmtId="184" formatCode="#,##0.0_);\(#,##0.0\)"/>
    <numFmt numFmtId="185" formatCode="0.0%_);\(0.0%\);0.0%_);@_)"/>
    <numFmt numFmtId="186" formatCode="_(* #,##0_);_(* \(#,##0\);_(* &quot;-&quot;??_);_(@_)"/>
    <numFmt numFmtId="187" formatCode="_(&quot;$&quot;* #,##0.00;_(&quot;$&quot;* \(#,##0.00\);_(&quot;$&quot;* &quot;-&quot;??_);_(@_)"/>
    <numFmt numFmtId="188" formatCode="#,##0.0\x&quot;*&quot;"/>
    <numFmt numFmtId="189" formatCode="_(* #,##0.0_);_(* \(#,##0.0\);_(* &quot;-&quot;??_);_(@_)"/>
    <numFmt numFmtId="190" formatCode="#,##0.000%_);\(#,##0.000%\)"/>
    <numFmt numFmtId="191" formatCode="##&quot;x '23 FCF/Sh&quot;"/>
    <numFmt numFmtId="192" formatCode="&quot;LIVE CASE (1,2): &quot;##"/>
  </numFmts>
  <fonts count="37" x14ac:knownFonts="1">
    <font>
      <sz val="11"/>
      <color theme="1"/>
      <name val="Calibri"/>
      <family val="2"/>
      <scheme val="minor"/>
    </font>
    <font>
      <sz val="11"/>
      <color theme="1"/>
      <name val="Calibri"/>
      <family val="2"/>
      <scheme val="minor"/>
    </font>
    <font>
      <i/>
      <sz val="12"/>
      <color theme="1"/>
      <name val="Times New Roman"/>
      <family val="1"/>
    </font>
    <font>
      <b/>
      <i/>
      <sz val="12"/>
      <color rgb="FF000000"/>
      <name val="Times New Roman"/>
      <family val="1"/>
    </font>
    <font>
      <b/>
      <i/>
      <sz val="12"/>
      <color theme="1"/>
      <name val="Times New Roman"/>
      <family val="1"/>
    </font>
    <font>
      <i/>
      <sz val="12"/>
      <name val="Times New Roman"/>
      <family val="1"/>
    </font>
    <font>
      <sz val="12"/>
      <color theme="1"/>
      <name val="Times New Roman"/>
      <family val="1"/>
    </font>
    <font>
      <b/>
      <sz val="12"/>
      <color theme="1"/>
      <name val="Times New Roman"/>
      <family val="1"/>
    </font>
    <font>
      <b/>
      <i/>
      <sz val="12"/>
      <color rgb="FFFF0000"/>
      <name val="Times New Roman"/>
      <family val="1"/>
    </font>
    <font>
      <b/>
      <i/>
      <sz val="12"/>
      <name val="Times New Roman"/>
      <family val="1"/>
    </font>
    <font>
      <sz val="12"/>
      <color theme="8"/>
      <name val="Times New Roman"/>
      <family val="1"/>
    </font>
    <font>
      <sz val="12"/>
      <color rgb="FF0070C0"/>
      <name val="Times New Roman"/>
      <family val="1"/>
    </font>
    <font>
      <sz val="11"/>
      <color theme="1"/>
      <name val="Garamond"/>
      <family val="2"/>
    </font>
    <font>
      <sz val="10"/>
      <color theme="1"/>
      <name val="Arial"/>
      <family val="2"/>
    </font>
    <font>
      <i/>
      <sz val="12"/>
      <color rgb="FF000000"/>
      <name val="Times New Roman"/>
      <family val="1"/>
    </font>
    <font>
      <b/>
      <i/>
      <sz val="12"/>
      <color rgb="FF0000FF"/>
      <name val="Times New Roman"/>
      <family val="1"/>
    </font>
    <font>
      <i/>
      <sz val="12"/>
      <color rgb="FF0000FF"/>
      <name val="Times New Roman"/>
      <family val="1"/>
    </font>
    <font>
      <i/>
      <sz val="12"/>
      <color rgb="FFFF0000"/>
      <name val="Times New Roman"/>
      <family val="1"/>
    </font>
    <font>
      <b/>
      <i/>
      <sz val="12"/>
      <color rgb="FF008000"/>
      <name val="Times New Roman"/>
      <family val="1"/>
    </font>
    <font>
      <sz val="12"/>
      <name val="Times New Roman"/>
      <family val="1"/>
    </font>
    <font>
      <sz val="12"/>
      <color rgb="FF0000FF"/>
      <name val="Times New Roman"/>
      <family val="1"/>
    </font>
    <font>
      <b/>
      <sz val="12"/>
      <name val="Times New Roman"/>
      <family val="1"/>
    </font>
    <font>
      <sz val="12"/>
      <color rgb="FFFF0000"/>
      <name val="Times New Roman"/>
      <family val="1"/>
    </font>
    <font>
      <b/>
      <sz val="12"/>
      <color rgb="FF000000"/>
      <name val="Times New Roman"/>
      <family val="1"/>
    </font>
    <font>
      <sz val="11"/>
      <color rgb="FFFF0000"/>
      <name val="Calibri"/>
      <family val="2"/>
      <scheme val="minor"/>
    </font>
    <font>
      <b/>
      <sz val="11"/>
      <color theme="1"/>
      <name val="Calibri"/>
      <family val="2"/>
      <scheme val="minor"/>
    </font>
    <font>
      <sz val="11"/>
      <color rgb="FF000000"/>
      <name val="Calibri"/>
      <family val="2"/>
      <scheme val="minor"/>
    </font>
    <font>
      <sz val="12"/>
      <color rgb="FF000000"/>
      <name val="Times New Roman"/>
      <family val="1"/>
    </font>
    <font>
      <u/>
      <sz val="12"/>
      <color rgb="FF000000"/>
      <name val="Times New Roman"/>
      <family val="1"/>
    </font>
    <font>
      <u/>
      <sz val="12"/>
      <color theme="1"/>
      <name val="Times New Roman"/>
      <family val="1"/>
    </font>
    <font>
      <sz val="8"/>
      <color theme="1"/>
      <name val="Times New Roman"/>
      <family val="1"/>
    </font>
    <font>
      <i/>
      <sz val="11"/>
      <color theme="1"/>
      <name val="Times New Roman"/>
      <family val="1"/>
    </font>
    <font>
      <i/>
      <sz val="11"/>
      <color rgb="FF000000"/>
      <name val="Times New Roman"/>
      <family val="1"/>
    </font>
    <font>
      <sz val="11"/>
      <color theme="1"/>
      <name val="Times New Roman"/>
      <family val="1"/>
    </font>
    <font>
      <sz val="11"/>
      <color rgb="FF000000"/>
      <name val="Times New Roman"/>
      <family val="1"/>
    </font>
    <font>
      <i/>
      <sz val="12"/>
      <color theme="9" tint="-0.249977111117893"/>
      <name val="Times New Roman"/>
      <family val="1"/>
    </font>
    <font>
      <b/>
      <i/>
      <sz val="12"/>
      <color theme="9" tint="-0.249977111117893"/>
      <name val="Times New Roman"/>
      <family val="1"/>
    </font>
  </fonts>
  <fills count="13">
    <fill>
      <patternFill patternType="none"/>
    </fill>
    <fill>
      <patternFill patternType="gray125"/>
    </fill>
    <fill>
      <patternFill patternType="solid">
        <fgColor rgb="FFC0C0C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99"/>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7C80"/>
        <bgColor indexed="64"/>
      </patternFill>
    </fill>
    <fill>
      <patternFill patternType="solid">
        <fgColor theme="2"/>
        <bgColor indexed="64"/>
      </patternFill>
    </fill>
    <fill>
      <patternFill patternType="solid">
        <fgColor theme="0" tint="-0.249977111117893"/>
        <bgColor indexed="64"/>
      </patternFill>
    </fill>
  </fills>
  <borders count="48">
    <border>
      <left/>
      <right/>
      <top/>
      <bottom/>
      <diagonal/>
    </border>
    <border>
      <left style="medium">
        <color indexed="64"/>
      </left>
      <right/>
      <top style="medium">
        <color indexed="64"/>
      </top>
      <bottom style="medium">
        <color indexed="64"/>
      </bottom>
      <diagonal/>
    </border>
    <border>
      <left style="thin">
        <color indexed="64"/>
      </left>
      <right style="thin">
        <color indexed="64"/>
      </right>
      <top/>
      <bottom/>
      <diagonal/>
    </border>
    <border>
      <left/>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auto="1"/>
      </left>
      <right/>
      <top/>
      <bottom style="medium">
        <color auto="1"/>
      </bottom>
      <diagonal/>
    </border>
    <border>
      <left/>
      <right/>
      <top/>
      <bottom style="medium">
        <color indexed="64"/>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bottom style="double">
        <color indexed="64"/>
      </bottom>
      <diagonal/>
    </border>
    <border>
      <left/>
      <right/>
      <top/>
      <bottom style="double">
        <color indexed="64"/>
      </bottom>
      <diagonal/>
    </border>
    <border>
      <left/>
      <right style="medium">
        <color auto="1"/>
      </right>
      <top/>
      <bottom style="double">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right style="medium">
        <color auto="1"/>
      </right>
      <top/>
      <bottom style="thin">
        <color auto="1"/>
      </bottom>
      <diagonal/>
    </border>
    <border>
      <left style="medium">
        <color indexed="64"/>
      </left>
      <right/>
      <top style="thin">
        <color indexed="64"/>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auto="1"/>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5">
    <xf numFmtId="0" fontId="0" fillId="0" borderId="0"/>
    <xf numFmtId="9" fontId="1" fillId="0" borderId="0" applyFont="0" applyFill="0" applyBorder="0" applyAlignment="0" applyProtection="0"/>
    <xf numFmtId="0" fontId="12" fillId="0" borderId="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9" fontId="1" fillId="0" borderId="0" applyFont="0" applyFill="0" applyBorder="0" applyAlignment="0" applyProtection="0"/>
    <xf numFmtId="43" fontId="13" fillId="0" borderId="0" applyFont="0" applyFill="0" applyBorder="0" applyAlignment="0" applyProtection="0"/>
    <xf numFmtId="44" fontId="1"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829">
    <xf numFmtId="0" fontId="0" fillId="0" borderId="0" xfId="0"/>
    <xf numFmtId="0" fontId="2" fillId="0" borderId="0" xfId="0" applyFont="1"/>
    <xf numFmtId="0" fontId="6" fillId="0" borderId="0" xfId="0" applyFont="1"/>
    <xf numFmtId="0" fontId="3" fillId="0" borderId="0" xfId="0" applyFont="1" applyFill="1" applyBorder="1" applyAlignment="1">
      <alignment horizontal="left"/>
    </xf>
    <xf numFmtId="0" fontId="3" fillId="0" borderId="0" xfId="0" applyFont="1" applyFill="1" applyBorder="1" applyAlignment="1">
      <alignment horizontal="center"/>
    </xf>
    <xf numFmtId="0" fontId="4" fillId="0" borderId="0" xfId="0" applyFont="1"/>
    <xf numFmtId="0" fontId="2" fillId="0" borderId="0" xfId="0" applyFont="1" applyFill="1"/>
    <xf numFmtId="0" fontId="2" fillId="0" borderId="0" xfId="0" applyFont="1" applyBorder="1"/>
    <xf numFmtId="165" fontId="2" fillId="0" borderId="0" xfId="0" applyNumberFormat="1" applyFont="1"/>
    <xf numFmtId="0" fontId="8" fillId="0" borderId="0" xfId="0" applyFont="1" applyFill="1" applyBorder="1" applyAlignment="1">
      <alignment horizontal="centerContinuous"/>
    </xf>
    <xf numFmtId="0" fontId="5" fillId="0" borderId="0" xfId="0" applyFont="1" applyFill="1" applyBorder="1" applyAlignment="1">
      <alignment horizontal="left" indent="1"/>
    </xf>
    <xf numFmtId="0" fontId="4" fillId="0" borderId="0" xfId="0" applyFont="1" applyBorder="1"/>
    <xf numFmtId="0" fontId="3" fillId="2" borderId="1" xfId="0" applyFont="1" applyFill="1" applyBorder="1" applyAlignment="1">
      <alignment horizontal="left"/>
    </xf>
    <xf numFmtId="168" fontId="3" fillId="0" borderId="2" xfId="0" applyNumberFormat="1" applyFont="1" applyFill="1" applyBorder="1" applyAlignment="1">
      <alignment horizontal="center"/>
    </xf>
    <xf numFmtId="168" fontId="3" fillId="2" borderId="4" xfId="0" applyNumberFormat="1" applyFont="1" applyFill="1" applyBorder="1" applyAlignment="1">
      <alignment horizontal="center"/>
    </xf>
    <xf numFmtId="168" fontId="3" fillId="2" borderId="5" xfId="0" applyNumberFormat="1" applyFont="1" applyFill="1" applyBorder="1" applyAlignment="1">
      <alignment horizontal="center"/>
    </xf>
    <xf numFmtId="0" fontId="6" fillId="3" borderId="6" xfId="0" applyFont="1" applyFill="1" applyBorder="1"/>
    <xf numFmtId="171" fontId="6" fillId="3" borderId="7" xfId="0" applyNumberFormat="1" applyFont="1" applyFill="1" applyBorder="1"/>
    <xf numFmtId="0" fontId="6" fillId="4" borderId="11" xfId="0" applyFont="1" applyFill="1" applyBorder="1" applyAlignment="1">
      <alignment horizontal="left" indent="2"/>
    </xf>
    <xf numFmtId="169" fontId="6" fillId="4" borderId="0" xfId="1" applyNumberFormat="1" applyFont="1" applyFill="1" applyBorder="1"/>
    <xf numFmtId="171" fontId="6" fillId="4" borderId="12" xfId="0" applyNumberFormat="1" applyFont="1" applyFill="1" applyBorder="1"/>
    <xf numFmtId="0" fontId="6" fillId="3" borderId="13" xfId="0" applyFont="1" applyFill="1" applyBorder="1"/>
    <xf numFmtId="171" fontId="6" fillId="3" borderId="15" xfId="0" applyNumberFormat="1" applyFont="1" applyFill="1" applyBorder="1"/>
    <xf numFmtId="0" fontId="6" fillId="4" borderId="11" xfId="0" applyFont="1" applyFill="1" applyBorder="1"/>
    <xf numFmtId="0" fontId="6" fillId="3" borderId="11" xfId="0" applyFont="1" applyFill="1" applyBorder="1" applyAlignment="1">
      <alignment horizontal="left" indent="2"/>
    </xf>
    <xf numFmtId="171" fontId="6" fillId="3" borderId="12" xfId="0" applyNumberFormat="1" applyFont="1" applyFill="1" applyBorder="1"/>
    <xf numFmtId="2" fontId="11" fillId="4" borderId="12" xfId="0" applyNumberFormat="1" applyFont="1" applyFill="1" applyBorder="1"/>
    <xf numFmtId="0" fontId="6" fillId="4" borderId="12" xfId="0" applyFont="1" applyFill="1" applyBorder="1"/>
    <xf numFmtId="0" fontId="6" fillId="3" borderId="11" xfId="0" applyFont="1" applyFill="1" applyBorder="1"/>
    <xf numFmtId="0" fontId="6" fillId="4" borderId="13" xfId="0" applyFont="1" applyFill="1" applyBorder="1"/>
    <xf numFmtId="0" fontId="6" fillId="4" borderId="14" xfId="0" applyFont="1" applyFill="1" applyBorder="1"/>
    <xf numFmtId="2" fontId="6" fillId="4" borderId="15" xfId="0" applyNumberFormat="1" applyFont="1" applyFill="1" applyBorder="1"/>
    <xf numFmtId="171" fontId="7" fillId="3" borderId="12" xfId="0" applyNumberFormat="1" applyFont="1" applyFill="1" applyBorder="1"/>
    <xf numFmtId="0" fontId="6" fillId="3" borderId="8" xfId="0" applyFont="1" applyFill="1" applyBorder="1"/>
    <xf numFmtId="0" fontId="6" fillId="3" borderId="9" xfId="0" applyFont="1" applyFill="1" applyBorder="1"/>
    <xf numFmtId="0" fontId="6" fillId="4" borderId="0" xfId="0" applyFont="1" applyFill="1" applyBorder="1"/>
    <xf numFmtId="0" fontId="6" fillId="3" borderId="0" xfId="0" applyFont="1" applyFill="1" applyBorder="1"/>
    <xf numFmtId="171" fontId="6" fillId="4" borderId="0" xfId="0" applyNumberFormat="1" applyFont="1" applyFill="1" applyBorder="1"/>
    <xf numFmtId="172" fontId="10" fillId="4" borderId="0" xfId="0" applyNumberFormat="1" applyFont="1" applyFill="1" applyBorder="1"/>
    <xf numFmtId="2" fontId="11" fillId="4" borderId="0" xfId="0" applyNumberFormat="1" applyFont="1" applyFill="1" applyBorder="1"/>
    <xf numFmtId="2" fontId="6" fillId="3" borderId="0" xfId="0" applyNumberFormat="1" applyFont="1" applyFill="1" applyBorder="1"/>
    <xf numFmtId="0" fontId="7" fillId="2" borderId="6" xfId="0" applyFont="1" applyFill="1" applyBorder="1"/>
    <xf numFmtId="0" fontId="6" fillId="2" borderId="3" xfId="0" applyFont="1" applyFill="1" applyBorder="1"/>
    <xf numFmtId="0" fontId="6" fillId="2" borderId="7" xfId="0" applyFont="1" applyFill="1" applyBorder="1"/>
    <xf numFmtId="0" fontId="4" fillId="2" borderId="8" xfId="0" applyFont="1" applyFill="1" applyBorder="1"/>
    <xf numFmtId="173" fontId="3" fillId="2" borderId="9" xfId="0" applyNumberFormat="1" applyFont="1" applyFill="1" applyBorder="1" applyAlignment="1">
      <alignment horizontal="center"/>
    </xf>
    <xf numFmtId="174" fontId="3" fillId="2" borderId="9" xfId="0" applyNumberFormat="1" applyFont="1" applyFill="1" applyBorder="1" applyAlignment="1">
      <alignment horizontal="center"/>
    </xf>
    <xf numFmtId="170" fontId="7" fillId="2" borderId="10" xfId="0" quotePrefix="1" applyNumberFormat="1" applyFont="1" applyFill="1" applyBorder="1" applyAlignment="1">
      <alignment horizontal="center"/>
    </xf>
    <xf numFmtId="0" fontId="7" fillId="2" borderId="3" xfId="0" applyFont="1" applyFill="1" applyBorder="1"/>
    <xf numFmtId="0" fontId="7" fillId="2" borderId="8" xfId="0" applyFont="1" applyFill="1" applyBorder="1"/>
    <xf numFmtId="0" fontId="7" fillId="2" borderId="9" xfId="0" applyFont="1" applyFill="1" applyBorder="1"/>
    <xf numFmtId="169" fontId="7" fillId="3" borderId="10" xfId="1" applyNumberFormat="1" applyFont="1" applyFill="1" applyBorder="1"/>
    <xf numFmtId="165" fontId="6" fillId="0" borderId="0" xfId="0" applyNumberFormat="1" applyFont="1"/>
    <xf numFmtId="10" fontId="6" fillId="0" borderId="0" xfId="0" applyNumberFormat="1" applyFont="1"/>
    <xf numFmtId="167" fontId="7" fillId="2" borderId="7" xfId="0" applyNumberFormat="1" applyFont="1" applyFill="1" applyBorder="1"/>
    <xf numFmtId="167" fontId="7" fillId="2" borderId="10" xfId="0" applyNumberFormat="1" applyFont="1" applyFill="1" applyBorder="1"/>
    <xf numFmtId="0" fontId="6" fillId="0" borderId="0" xfId="0" applyFont="1" applyAlignment="1">
      <alignment horizontal="centerContinuous"/>
    </xf>
    <xf numFmtId="0" fontId="6" fillId="0" borderId="0" xfId="0" applyFont="1" applyAlignment="1">
      <alignment horizontal="right"/>
    </xf>
    <xf numFmtId="171" fontId="6" fillId="0" borderId="0" xfId="0" applyNumberFormat="1" applyFont="1" applyAlignment="1">
      <alignment horizontal="right"/>
    </xf>
    <xf numFmtId="0" fontId="4" fillId="0" borderId="0" xfId="0" applyFont="1" applyFill="1" applyBorder="1"/>
    <xf numFmtId="0" fontId="4" fillId="0" borderId="0" xfId="0" applyFont="1" applyFill="1"/>
    <xf numFmtId="0" fontId="3" fillId="0" borderId="1" xfId="0" applyFont="1" applyFill="1" applyBorder="1" applyAlignment="1">
      <alignment horizontal="left"/>
    </xf>
    <xf numFmtId="0" fontId="2" fillId="0" borderId="0" xfId="0" applyFont="1" applyFill="1" applyBorder="1"/>
    <xf numFmtId="166" fontId="8" fillId="0" borderId="0" xfId="0" applyNumberFormat="1" applyFont="1" applyFill="1" applyAlignment="1">
      <alignment horizontal="centerContinuous"/>
    </xf>
    <xf numFmtId="0" fontId="2" fillId="0" borderId="0" xfId="0" applyFont="1" applyFill="1" applyAlignment="1">
      <alignment horizontal="left" indent="1"/>
    </xf>
    <xf numFmtId="0" fontId="4" fillId="0" borderId="0" xfId="0" applyFont="1" applyFill="1" applyAlignment="1">
      <alignment horizontal="centerContinuous"/>
    </xf>
    <xf numFmtId="0" fontId="4" fillId="0" borderId="0" xfId="0" applyFont="1" applyFill="1" applyBorder="1" applyAlignment="1">
      <alignment horizontal="centerContinuous"/>
    </xf>
    <xf numFmtId="0" fontId="4" fillId="0" borderId="0" xfId="0" applyFont="1" applyFill="1" applyAlignment="1">
      <alignment wrapText="1"/>
    </xf>
    <xf numFmtId="168" fontId="3" fillId="5" borderId="2" xfId="0" applyNumberFormat="1" applyFont="1" applyFill="1" applyBorder="1" applyAlignment="1">
      <alignment horizontal="center"/>
    </xf>
    <xf numFmtId="44" fontId="4" fillId="0" borderId="0" xfId="0" applyNumberFormat="1" applyFont="1" applyBorder="1"/>
    <xf numFmtId="175" fontId="4" fillId="0" borderId="0" xfId="0" applyNumberFormat="1" applyFont="1" applyBorder="1"/>
    <xf numFmtId="0" fontId="8" fillId="0" borderId="0" xfId="0" applyFont="1" applyFill="1"/>
    <xf numFmtId="168" fontId="3" fillId="4" borderId="2" xfId="0" applyNumberFormat="1" applyFont="1" applyFill="1" applyBorder="1" applyAlignment="1">
      <alignment horizontal="center"/>
    </xf>
    <xf numFmtId="168" fontId="9" fillId="4" borderId="2" xfId="0" applyNumberFormat="1" applyFont="1" applyFill="1" applyBorder="1" applyAlignment="1">
      <alignment horizontal="center"/>
    </xf>
    <xf numFmtId="168" fontId="3" fillId="4" borderId="0" xfId="0" applyNumberFormat="1" applyFont="1" applyFill="1" applyBorder="1" applyAlignment="1">
      <alignment horizontal="center"/>
    </xf>
    <xf numFmtId="168" fontId="9" fillId="4" borderId="0" xfId="0" applyNumberFormat="1" applyFont="1" applyFill="1" applyBorder="1" applyAlignment="1">
      <alignment horizontal="center"/>
    </xf>
    <xf numFmtId="175" fontId="3" fillId="4" borderId="0" xfId="0" applyNumberFormat="1" applyFont="1" applyFill="1" applyBorder="1" applyAlignment="1">
      <alignment horizontal="center"/>
    </xf>
    <xf numFmtId="0" fontId="3" fillId="4" borderId="0" xfId="0" applyFont="1" applyFill="1" applyBorder="1" applyAlignment="1">
      <alignment horizontal="center"/>
    </xf>
    <xf numFmtId="0" fontId="9" fillId="4" borderId="0" xfId="0" applyFont="1" applyFill="1" applyBorder="1" applyAlignment="1">
      <alignment horizontal="center"/>
    </xf>
    <xf numFmtId="175" fontId="4" fillId="4" borderId="0" xfId="0" applyNumberFormat="1" applyFont="1" applyFill="1" applyBorder="1"/>
    <xf numFmtId="0" fontId="2" fillId="4" borderId="0" xfId="0" applyFont="1" applyFill="1" applyBorder="1"/>
    <xf numFmtId="175" fontId="4" fillId="4" borderId="16" xfId="0" applyNumberFormat="1" applyFont="1" applyFill="1" applyBorder="1"/>
    <xf numFmtId="165" fontId="2" fillId="4" borderId="0" xfId="0" applyNumberFormat="1" applyFont="1" applyFill="1" applyBorder="1"/>
    <xf numFmtId="0" fontId="2" fillId="4" borderId="0" xfId="0" applyFont="1" applyFill="1"/>
    <xf numFmtId="165" fontId="5" fillId="4" borderId="0" xfId="0" applyNumberFormat="1" applyFont="1" applyFill="1" applyBorder="1"/>
    <xf numFmtId="44" fontId="2" fillId="4" borderId="0" xfId="0" applyNumberFormat="1" applyFont="1" applyFill="1" applyBorder="1"/>
    <xf numFmtId="44" fontId="5" fillId="4" borderId="0" xfId="0" applyNumberFormat="1" applyFont="1" applyFill="1" applyBorder="1"/>
    <xf numFmtId="166" fontId="3" fillId="4" borderId="0" xfId="0" applyNumberFormat="1" applyFont="1" applyFill="1" applyBorder="1" applyAlignment="1">
      <alignment horizontal="left"/>
    </xf>
    <xf numFmtId="177" fontId="3" fillId="5" borderId="4" xfId="0" applyNumberFormat="1" applyFont="1" applyFill="1" applyBorder="1" applyAlignment="1">
      <alignment horizontal="center"/>
    </xf>
    <xf numFmtId="178" fontId="3" fillId="5" borderId="4" xfId="0" applyNumberFormat="1" applyFont="1" applyFill="1" applyBorder="1" applyAlignment="1">
      <alignment horizontal="center"/>
    </xf>
    <xf numFmtId="179" fontId="3" fillId="5" borderId="4" xfId="0" applyNumberFormat="1" applyFont="1" applyFill="1" applyBorder="1" applyAlignment="1">
      <alignment horizontal="center"/>
    </xf>
    <xf numFmtId="180" fontId="3" fillId="5" borderId="4" xfId="0" applyNumberFormat="1" applyFont="1" applyFill="1" applyBorder="1" applyAlignment="1">
      <alignment horizontal="center"/>
    </xf>
    <xf numFmtId="175" fontId="3" fillId="4" borderId="0" xfId="0" applyNumberFormat="1" applyFont="1" applyFill="1" applyBorder="1" applyAlignment="1">
      <alignment horizontal="left"/>
    </xf>
    <xf numFmtId="175" fontId="15" fillId="4" borderId="0" xfId="0" applyNumberFormat="1" applyFont="1" applyFill="1" applyBorder="1"/>
    <xf numFmtId="37" fontId="15" fillId="4" borderId="0" xfId="0" applyNumberFormat="1" applyFont="1" applyFill="1" applyBorder="1"/>
    <xf numFmtId="175" fontId="9" fillId="4" borderId="0" xfId="0" applyNumberFormat="1" applyFont="1" applyFill="1" applyBorder="1"/>
    <xf numFmtId="175" fontId="4" fillId="4" borderId="0" xfId="0" applyNumberFormat="1" applyFont="1" applyFill="1"/>
    <xf numFmtId="175" fontId="9" fillId="0" borderId="0" xfId="0" applyNumberFormat="1" applyFont="1" applyFill="1" applyBorder="1"/>
    <xf numFmtId="37" fontId="15" fillId="4" borderId="0" xfId="0" applyNumberFormat="1" applyFont="1" applyFill="1"/>
    <xf numFmtId="0" fontId="2" fillId="0" borderId="18" xfId="0" applyFont="1" applyFill="1" applyBorder="1" applyAlignment="1">
      <alignment horizontal="left" indent="1"/>
    </xf>
    <xf numFmtId="0" fontId="2" fillId="0" borderId="18" xfId="0" applyFont="1" applyBorder="1"/>
    <xf numFmtId="0" fontId="2" fillId="0" borderId="0" xfId="0" applyFont="1" applyFill="1" applyAlignment="1">
      <alignment horizontal="left" indent="2"/>
    </xf>
    <xf numFmtId="0" fontId="4" fillId="5" borderId="18" xfId="0" applyFont="1" applyFill="1" applyBorder="1"/>
    <xf numFmtId="0" fontId="4" fillId="7" borderId="0" xfId="0" applyFont="1" applyFill="1"/>
    <xf numFmtId="0" fontId="2" fillId="4" borderId="0" xfId="0" applyFont="1" applyFill="1" applyAlignment="1">
      <alignment horizontal="left" indent="1"/>
    </xf>
    <xf numFmtId="175" fontId="2" fillId="4" borderId="0" xfId="0" applyNumberFormat="1" applyFont="1" applyFill="1" applyBorder="1"/>
    <xf numFmtId="165" fontId="2" fillId="0" borderId="0" xfId="0" applyNumberFormat="1" applyFont="1" applyBorder="1"/>
    <xf numFmtId="0" fontId="2" fillId="4" borderId="0" xfId="0" applyFont="1" applyFill="1" applyAlignment="1">
      <alignment horizontal="left" indent="2"/>
    </xf>
    <xf numFmtId="14" fontId="4" fillId="0" borderId="0" xfId="0" applyNumberFormat="1" applyFont="1"/>
    <xf numFmtId="0" fontId="2" fillId="0" borderId="0" xfId="0" applyFont="1" applyBorder="1" applyAlignment="1">
      <alignment horizontal="left" indent="1"/>
    </xf>
    <xf numFmtId="0" fontId="2" fillId="0" borderId="0" xfId="0" applyFont="1" applyAlignment="1">
      <alignment horizontal="left" indent="1"/>
    </xf>
    <xf numFmtId="0" fontId="4" fillId="0" borderId="18" xfId="0" applyFont="1" applyBorder="1"/>
    <xf numFmtId="0" fontId="4" fillId="0" borderId="0" xfId="0" applyFont="1" applyAlignment="1">
      <alignment horizontal="right"/>
    </xf>
    <xf numFmtId="14" fontId="4" fillId="0" borderId="0" xfId="0" applyNumberFormat="1" applyFont="1" applyBorder="1"/>
    <xf numFmtId="14" fontId="4" fillId="0" borderId="0" xfId="0" applyNumberFormat="1" applyFont="1" applyBorder="1" applyAlignment="1">
      <alignment horizontal="right"/>
    </xf>
    <xf numFmtId="0" fontId="2" fillId="0" borderId="0" xfId="0" applyFont="1" applyBorder="1" applyAlignment="1">
      <alignment horizontal="left" indent="2"/>
    </xf>
    <xf numFmtId="37" fontId="2" fillId="0" borderId="0" xfId="0" applyNumberFormat="1" applyFont="1" applyBorder="1" applyAlignment="1"/>
    <xf numFmtId="37" fontId="16" fillId="0" borderId="0" xfId="0" applyNumberFormat="1" applyFont="1" applyBorder="1" applyAlignment="1"/>
    <xf numFmtId="37" fontId="16" fillId="0" borderId="0" xfId="0" applyNumberFormat="1" applyFont="1" applyAlignment="1"/>
    <xf numFmtId="0" fontId="4" fillId="0" borderId="0" xfId="0" applyFont="1" applyBorder="1" applyAlignment="1">
      <alignment horizontal="left" indent="1"/>
    </xf>
    <xf numFmtId="37" fontId="2" fillId="0" borderId="18" xfId="0" applyNumberFormat="1" applyFont="1" applyBorder="1"/>
    <xf numFmtId="39" fontId="2" fillId="0" borderId="0" xfId="0" applyNumberFormat="1" applyFont="1"/>
    <xf numFmtId="37" fontId="2" fillId="0" borderId="0" xfId="0" applyNumberFormat="1" applyFont="1" applyBorder="1"/>
    <xf numFmtId="37" fontId="9" fillId="0" borderId="0" xfId="0" applyNumberFormat="1" applyFont="1" applyBorder="1" applyAlignment="1"/>
    <xf numFmtId="0" fontId="15" fillId="0" borderId="18" xfId="0" applyFont="1" applyBorder="1" applyAlignment="1">
      <alignment horizontal="right"/>
    </xf>
    <xf numFmtId="0" fontId="15" fillId="0" borderId="18" xfId="0" applyFont="1" applyBorder="1"/>
    <xf numFmtId="181" fontId="2" fillId="0" borderId="0" xfId="0" applyNumberFormat="1" applyFont="1" applyBorder="1"/>
    <xf numFmtId="181" fontId="17" fillId="0" borderId="0" xfId="0" applyNumberFormat="1" applyFont="1" applyBorder="1"/>
    <xf numFmtId="0" fontId="15" fillId="0" borderId="0" xfId="0" applyFont="1" applyBorder="1" applyAlignment="1">
      <alignment horizontal="right"/>
    </xf>
    <xf numFmtId="165" fontId="5" fillId="0" borderId="0" xfId="0" applyNumberFormat="1" applyFont="1" applyBorder="1" applyAlignment="1">
      <alignment horizontal="right"/>
    </xf>
    <xf numFmtId="37" fontId="17" fillId="0" borderId="0" xfId="0" applyNumberFormat="1" applyFont="1" applyBorder="1"/>
    <xf numFmtId="39" fontId="2" fillId="0" borderId="0" xfId="0" applyNumberFormat="1" applyFont="1" applyFill="1"/>
    <xf numFmtId="165" fontId="2" fillId="0" borderId="0" xfId="0" applyNumberFormat="1" applyFont="1" applyFill="1"/>
    <xf numFmtId="37" fontId="4" fillId="0" borderId="18" xfId="0" applyNumberFormat="1" applyFont="1" applyBorder="1"/>
    <xf numFmtId="0" fontId="4" fillId="0" borderId="0" xfId="0" applyFont="1" applyBorder="1" applyAlignment="1">
      <alignment horizontal="left"/>
    </xf>
    <xf numFmtId="0" fontId="16" fillId="0" borderId="18" xfId="0" applyFont="1" applyBorder="1"/>
    <xf numFmtId="0" fontId="16" fillId="0" borderId="0" xfId="0" applyFont="1"/>
    <xf numFmtId="0" fontId="16" fillId="0" borderId="0" xfId="0" applyFont="1" applyBorder="1"/>
    <xf numFmtId="165" fontId="17" fillId="0" borderId="0" xfId="0" applyNumberFormat="1" applyFont="1" applyBorder="1"/>
    <xf numFmtId="165" fontId="5" fillId="0" borderId="0" xfId="0" applyNumberFormat="1" applyFont="1" applyBorder="1"/>
    <xf numFmtId="37" fontId="9" fillId="0" borderId="18" xfId="0" applyNumberFormat="1" applyFont="1" applyBorder="1"/>
    <xf numFmtId="165" fontId="8" fillId="0" borderId="0" xfId="0" applyNumberFormat="1" applyFont="1"/>
    <xf numFmtId="0" fontId="4" fillId="6" borderId="0" xfId="0" applyFont="1" applyFill="1"/>
    <xf numFmtId="0" fontId="2" fillId="2" borderId="3" xfId="0" applyFont="1" applyFill="1" applyBorder="1" applyAlignment="1">
      <alignment horizontal="centerContinuous"/>
    </xf>
    <xf numFmtId="0" fontId="2" fillId="2" borderId="7" xfId="0" applyFont="1" applyFill="1" applyBorder="1" applyAlignment="1">
      <alignment horizontal="centerContinuous"/>
    </xf>
    <xf numFmtId="0" fontId="4" fillId="2" borderId="6" xfId="0" applyNumberFormat="1" applyFont="1" applyFill="1" applyBorder="1" applyAlignment="1">
      <alignment horizontal="centerContinuous"/>
    </xf>
    <xf numFmtId="0" fontId="2" fillId="6" borderId="6" xfId="0" applyFont="1" applyFill="1" applyBorder="1"/>
    <xf numFmtId="0" fontId="2" fillId="6" borderId="3" xfId="0" applyFont="1" applyFill="1" applyBorder="1"/>
    <xf numFmtId="0" fontId="2" fillId="6" borderId="8" xfId="0" applyFont="1" applyFill="1" applyBorder="1"/>
    <xf numFmtId="0" fontId="2" fillId="6" borderId="9" xfId="0" applyFont="1" applyFill="1" applyBorder="1"/>
    <xf numFmtId="0" fontId="2" fillId="6" borderId="0" xfId="0" applyFont="1" applyFill="1" applyBorder="1"/>
    <xf numFmtId="0" fontId="2" fillId="6" borderId="11" xfId="0" applyFont="1" applyFill="1" applyBorder="1"/>
    <xf numFmtId="175" fontId="15" fillId="4" borderId="0" xfId="0" applyNumberFormat="1" applyFont="1" applyFill="1" applyBorder="1" applyAlignment="1">
      <alignment horizontal="center"/>
    </xf>
    <xf numFmtId="175" fontId="15" fillId="4" borderId="18" xfId="0" applyNumberFormat="1" applyFont="1" applyFill="1" applyBorder="1" applyAlignment="1">
      <alignment horizontal="center"/>
    </xf>
    <xf numFmtId="168" fontId="15" fillId="4" borderId="18" xfId="0" applyNumberFormat="1" applyFont="1" applyFill="1" applyBorder="1" applyAlignment="1">
      <alignment horizontal="center"/>
    </xf>
    <xf numFmtId="168" fontId="15" fillId="4" borderId="0" xfId="0" applyNumberFormat="1" applyFont="1" applyFill="1" applyBorder="1" applyAlignment="1">
      <alignment horizontal="center"/>
    </xf>
    <xf numFmtId="0" fontId="15" fillId="4" borderId="0" xfId="0" applyNumberFormat="1" applyFont="1" applyFill="1" applyBorder="1" applyAlignment="1"/>
    <xf numFmtId="165" fontId="15" fillId="4" borderId="0" xfId="0" applyNumberFormat="1" applyFont="1" applyFill="1" applyBorder="1" applyAlignment="1"/>
    <xf numFmtId="165" fontId="8" fillId="4" borderId="16" xfId="0" applyNumberFormat="1" applyFont="1" applyFill="1" applyBorder="1"/>
    <xf numFmtId="175" fontId="9" fillId="4" borderId="0" xfId="0" applyNumberFormat="1" applyFont="1" applyFill="1" applyBorder="1" applyAlignment="1">
      <alignment horizontal="center"/>
    </xf>
    <xf numFmtId="0" fontId="8" fillId="0" borderId="0" xfId="0" applyFont="1"/>
    <xf numFmtId="0" fontId="2" fillId="0" borderId="0" xfId="0" applyFont="1" applyFill="1" applyBorder="1" applyAlignment="1">
      <alignment horizontal="centerContinuous"/>
    </xf>
    <xf numFmtId="165" fontId="4" fillId="6" borderId="7" xfId="0" applyNumberFormat="1" applyFont="1" applyFill="1" applyBorder="1"/>
    <xf numFmtId="182" fontId="4" fillId="6" borderId="12" xfId="0" applyNumberFormat="1" applyFont="1" applyFill="1" applyBorder="1"/>
    <xf numFmtId="165" fontId="4" fillId="6" borderId="10" xfId="0" applyNumberFormat="1" applyFont="1" applyFill="1" applyBorder="1"/>
    <xf numFmtId="37" fontId="2" fillId="4" borderId="0" xfId="0" applyNumberFormat="1" applyFont="1" applyFill="1" applyBorder="1"/>
    <xf numFmtId="37" fontId="16" fillId="4" borderId="0" xfId="0" applyNumberFormat="1" applyFont="1" applyFill="1" applyBorder="1"/>
    <xf numFmtId="0" fontId="2" fillId="0" borderId="0" xfId="0" applyFont="1" applyFill="1" applyAlignment="1">
      <alignment horizontal="left"/>
    </xf>
    <xf numFmtId="175" fontId="4" fillId="4" borderId="18" xfId="0" applyNumberFormat="1" applyFont="1" applyFill="1" applyBorder="1"/>
    <xf numFmtId="183" fontId="6" fillId="3" borderId="3" xfId="0" applyNumberFormat="1" applyFont="1" applyFill="1" applyBorder="1"/>
    <xf numFmtId="183" fontId="6" fillId="3" borderId="0" xfId="0" applyNumberFormat="1" applyFont="1" applyFill="1" applyBorder="1"/>
    <xf numFmtId="183" fontId="6" fillId="3" borderId="14" xfId="0" applyNumberFormat="1" applyFont="1" applyFill="1" applyBorder="1"/>
    <xf numFmtId="183" fontId="6" fillId="3" borderId="15" xfId="0" applyNumberFormat="1" applyFont="1" applyFill="1" applyBorder="1"/>
    <xf numFmtId="183" fontId="6" fillId="3" borderId="12" xfId="0" applyNumberFormat="1" applyFont="1" applyFill="1" applyBorder="1"/>
    <xf numFmtId="183" fontId="6" fillId="4" borderId="12" xfId="0" applyNumberFormat="1" applyFont="1" applyFill="1" applyBorder="1"/>
    <xf numFmtId="37" fontId="6" fillId="3" borderId="12" xfId="0" applyNumberFormat="1" applyFont="1" applyFill="1" applyBorder="1"/>
    <xf numFmtId="0" fontId="4" fillId="0" borderId="18" xfId="0" applyFont="1" applyFill="1" applyBorder="1"/>
    <xf numFmtId="175" fontId="6" fillId="3" borderId="0" xfId="0" applyNumberFormat="1" applyFont="1" applyFill="1" applyBorder="1"/>
    <xf numFmtId="0" fontId="4" fillId="0" borderId="19" xfId="0" applyFont="1" applyFill="1" applyBorder="1"/>
    <xf numFmtId="0" fontId="4" fillId="0" borderId="19" xfId="0" applyFont="1" applyFill="1" applyBorder="1" applyAlignment="1">
      <alignment horizontal="left"/>
    </xf>
    <xf numFmtId="0" fontId="4" fillId="0" borderId="0" xfId="0" applyFont="1" applyFill="1" applyBorder="1" applyAlignment="1">
      <alignment horizontal="left"/>
    </xf>
    <xf numFmtId="175" fontId="6" fillId="4" borderId="0" xfId="0" applyNumberFormat="1" applyFont="1" applyFill="1" applyBorder="1"/>
    <xf numFmtId="175" fontId="6" fillId="3" borderId="14" xfId="0" applyNumberFormat="1" applyFont="1" applyFill="1" applyBorder="1"/>
    <xf numFmtId="0" fontId="4" fillId="0" borderId="18" xfId="0" applyFont="1" applyFill="1" applyBorder="1" applyAlignment="1">
      <alignment horizontal="left"/>
    </xf>
    <xf numFmtId="0" fontId="2" fillId="0" borderId="0" xfId="0" applyFont="1" applyFill="1" applyBorder="1" applyAlignment="1">
      <alignment horizontal="left" indent="1"/>
    </xf>
    <xf numFmtId="168" fontId="3" fillId="0" borderId="20" xfId="0" applyNumberFormat="1" applyFont="1" applyFill="1" applyBorder="1" applyAlignment="1">
      <alignment horizontal="center"/>
    </xf>
    <xf numFmtId="175" fontId="9" fillId="0" borderId="2" xfId="0" applyNumberFormat="1" applyFont="1" applyFill="1" applyBorder="1" applyAlignment="1">
      <alignment horizontal="center"/>
    </xf>
    <xf numFmtId="175" fontId="3" fillId="0" borderId="2" xfId="0" applyNumberFormat="1" applyFont="1" applyFill="1" applyBorder="1" applyAlignment="1">
      <alignment horizontal="center"/>
    </xf>
    <xf numFmtId="175" fontId="15" fillId="0" borderId="20" xfId="0" applyNumberFormat="1" applyFont="1" applyFill="1" applyBorder="1" applyAlignment="1">
      <alignment horizontal="center"/>
    </xf>
    <xf numFmtId="165" fontId="14" fillId="0" borderId="2" xfId="0" applyNumberFormat="1" applyFont="1" applyFill="1" applyBorder="1" applyAlignment="1"/>
    <xf numFmtId="175" fontId="15" fillId="0" borderId="2" xfId="0" applyNumberFormat="1" applyFont="1" applyFill="1" applyBorder="1" applyAlignment="1">
      <alignment horizontal="center"/>
    </xf>
    <xf numFmtId="0" fontId="15" fillId="0" borderId="2" xfId="0" applyNumberFormat="1" applyFont="1" applyFill="1" applyBorder="1" applyAlignment="1"/>
    <xf numFmtId="165" fontId="15" fillId="0" borderId="2" xfId="0" applyNumberFormat="1" applyFont="1" applyFill="1" applyBorder="1" applyAlignment="1"/>
    <xf numFmtId="0" fontId="3" fillId="0" borderId="2" xfId="0" applyFont="1" applyFill="1" applyBorder="1" applyAlignment="1">
      <alignment horizontal="center"/>
    </xf>
    <xf numFmtId="175" fontId="4" fillId="7" borderId="2" xfId="0" applyNumberFormat="1" applyFont="1" applyFill="1" applyBorder="1"/>
    <xf numFmtId="175" fontId="4" fillId="0" borderId="2" xfId="0" applyNumberFormat="1" applyFont="1" applyFill="1" applyBorder="1"/>
    <xf numFmtId="175" fontId="4" fillId="5" borderId="20" xfId="0" applyNumberFormat="1" applyFont="1" applyFill="1" applyBorder="1"/>
    <xf numFmtId="175" fontId="15" fillId="0" borderId="2" xfId="0" applyNumberFormat="1" applyFont="1" applyFill="1" applyBorder="1"/>
    <xf numFmtId="165" fontId="2" fillId="0" borderId="2" xfId="0" applyNumberFormat="1" applyFont="1" applyFill="1" applyBorder="1"/>
    <xf numFmtId="165" fontId="2" fillId="4" borderId="2" xfId="0" applyNumberFormat="1" applyFont="1" applyFill="1" applyBorder="1"/>
    <xf numFmtId="0" fontId="2" fillId="0" borderId="2" xfId="0" applyFont="1" applyBorder="1"/>
    <xf numFmtId="182" fontId="2" fillId="0" borderId="2" xfId="0" applyNumberFormat="1" applyFont="1" applyFill="1" applyBorder="1"/>
    <xf numFmtId="167" fontId="2" fillId="0" borderId="2" xfId="0" applyNumberFormat="1" applyFont="1" applyFill="1" applyBorder="1"/>
    <xf numFmtId="175" fontId="4" fillId="0" borderId="2" xfId="0" applyNumberFormat="1" applyFont="1" applyBorder="1"/>
    <xf numFmtId="175" fontId="2" fillId="0" borderId="2" xfId="0" applyNumberFormat="1" applyFont="1" applyFill="1" applyBorder="1"/>
    <xf numFmtId="37" fontId="2" fillId="0" borderId="2" xfId="0" applyNumberFormat="1" applyFont="1" applyFill="1" applyBorder="1"/>
    <xf numFmtId="44" fontId="2" fillId="0" borderId="2" xfId="0" applyNumberFormat="1" applyFont="1" applyBorder="1"/>
    <xf numFmtId="44" fontId="2" fillId="0" borderId="2" xfId="0" applyNumberFormat="1" applyFont="1" applyFill="1" applyBorder="1"/>
    <xf numFmtId="165" fontId="4" fillId="0" borderId="2" xfId="0" applyNumberFormat="1" applyFont="1" applyFill="1" applyBorder="1"/>
    <xf numFmtId="175" fontId="4" fillId="0" borderId="20" xfId="0" applyNumberFormat="1" applyFont="1" applyFill="1" applyBorder="1"/>
    <xf numFmtId="175" fontId="4" fillId="0" borderId="4" xfId="0" applyNumberFormat="1" applyFont="1" applyFill="1" applyBorder="1"/>
    <xf numFmtId="175" fontId="4" fillId="0" borderId="2" xfId="0" applyNumberFormat="1" applyFont="1" applyFill="1" applyBorder="1" applyAlignment="1">
      <alignment horizontal="right"/>
    </xf>
    <xf numFmtId="175" fontId="2" fillId="0" borderId="20" xfId="0" applyNumberFormat="1" applyFont="1" applyBorder="1"/>
    <xf numFmtId="175" fontId="2" fillId="0" borderId="2" xfId="0" applyNumberFormat="1" applyFont="1" applyBorder="1"/>
    <xf numFmtId="181" fontId="2" fillId="0" borderId="2" xfId="0" applyNumberFormat="1" applyFont="1" applyFill="1" applyBorder="1"/>
    <xf numFmtId="165" fontId="2" fillId="0" borderId="2" xfId="0" applyNumberFormat="1" applyFont="1" applyBorder="1"/>
    <xf numFmtId="175" fontId="4" fillId="0" borderId="21" xfId="0" applyNumberFormat="1" applyFont="1" applyFill="1" applyBorder="1"/>
    <xf numFmtId="175" fontId="4" fillId="0" borderId="21" xfId="0" applyNumberFormat="1" applyFont="1" applyBorder="1"/>
    <xf numFmtId="175" fontId="3" fillId="0" borderId="2" xfId="0" applyNumberFormat="1" applyFont="1" applyFill="1" applyBorder="1" applyAlignment="1">
      <alignment horizontal="left"/>
    </xf>
    <xf numFmtId="0" fontId="2" fillId="0" borderId="2" xfId="0" applyFont="1" applyFill="1" applyBorder="1"/>
    <xf numFmtId="165" fontId="8" fillId="0" borderId="2" xfId="0" applyNumberFormat="1" applyFont="1" applyFill="1" applyBorder="1" applyAlignment="1"/>
    <xf numFmtId="175" fontId="15" fillId="0" borderId="2" xfId="0" applyNumberFormat="1" applyFont="1" applyBorder="1"/>
    <xf numFmtId="175" fontId="2" fillId="4" borderId="2" xfId="0" applyNumberFormat="1" applyFont="1" applyFill="1" applyBorder="1"/>
    <xf numFmtId="37" fontId="2" fillId="0" borderId="2" xfId="0" applyNumberFormat="1" applyFont="1" applyBorder="1"/>
    <xf numFmtId="44" fontId="4" fillId="0" borderId="2" xfId="0" applyNumberFormat="1" applyFont="1" applyBorder="1"/>
    <xf numFmtId="166" fontId="3" fillId="0" borderId="2" xfId="0" applyNumberFormat="1" applyFont="1" applyFill="1" applyBorder="1" applyAlignment="1">
      <alignment horizontal="left"/>
    </xf>
    <xf numFmtId="165" fontId="8" fillId="4" borderId="4" xfId="0" applyNumberFormat="1" applyFont="1" applyFill="1" applyBorder="1" applyAlignment="1">
      <alignment horizontal="right"/>
    </xf>
    <xf numFmtId="164" fontId="3" fillId="0" borderId="2" xfId="0" applyNumberFormat="1" applyFont="1" applyFill="1" applyBorder="1" applyAlignment="1">
      <alignment horizontal="center"/>
    </xf>
    <xf numFmtId="165" fontId="8" fillId="4" borderId="4" xfId="0" applyNumberFormat="1" applyFont="1" applyFill="1" applyBorder="1" applyAlignment="1">
      <alignment horizontal="left"/>
    </xf>
    <xf numFmtId="0" fontId="5" fillId="0" borderId="2" xfId="0" applyFont="1" applyFill="1" applyBorder="1"/>
    <xf numFmtId="175" fontId="9" fillId="0" borderId="2" xfId="0" applyNumberFormat="1" applyFont="1" applyFill="1" applyBorder="1"/>
    <xf numFmtId="165" fontId="17" fillId="4" borderId="2" xfId="0" applyNumberFormat="1" applyFont="1" applyFill="1" applyBorder="1"/>
    <xf numFmtId="175" fontId="5" fillId="4" borderId="2" xfId="0" applyNumberFormat="1" applyFont="1" applyFill="1" applyBorder="1"/>
    <xf numFmtId="165" fontId="17" fillId="0" borderId="2" xfId="0" applyNumberFormat="1" applyFont="1" applyBorder="1"/>
    <xf numFmtId="175" fontId="18" fillId="0" borderId="2" xfId="0" applyNumberFormat="1" applyFont="1" applyBorder="1"/>
    <xf numFmtId="165" fontId="17" fillId="0" borderId="2" xfId="0" applyNumberFormat="1" applyFont="1" applyFill="1" applyBorder="1"/>
    <xf numFmtId="0" fontId="2" fillId="5" borderId="20" xfId="0" applyFont="1" applyFill="1" applyBorder="1"/>
    <xf numFmtId="182" fontId="17" fillId="0" borderId="2" xfId="0" applyNumberFormat="1" applyFont="1" applyBorder="1"/>
    <xf numFmtId="167" fontId="17" fillId="0" borderId="2" xfId="0" applyNumberFormat="1" applyFont="1" applyBorder="1"/>
    <xf numFmtId="0" fontId="4" fillId="0" borderId="2" xfId="0" applyFont="1" applyBorder="1"/>
    <xf numFmtId="165" fontId="5" fillId="0" borderId="2" xfId="0" applyNumberFormat="1" applyFont="1" applyBorder="1"/>
    <xf numFmtId="44" fontId="17" fillId="0" borderId="2" xfId="0" applyNumberFormat="1" applyFont="1" applyBorder="1"/>
    <xf numFmtId="175" fontId="17" fillId="0" borderId="2" xfId="0" applyNumberFormat="1" applyFont="1" applyFill="1" applyBorder="1"/>
    <xf numFmtId="175" fontId="8" fillId="0" borderId="2" xfId="0" applyNumberFormat="1" applyFont="1" applyBorder="1"/>
    <xf numFmtId="169" fontId="17" fillId="0" borderId="2" xfId="0" applyNumberFormat="1" applyFont="1" applyBorder="1"/>
    <xf numFmtId="0" fontId="6" fillId="0" borderId="6" xfId="0" applyFont="1" applyBorder="1"/>
    <xf numFmtId="0" fontId="6" fillId="0" borderId="11" xfId="0" applyFont="1" applyBorder="1"/>
    <xf numFmtId="10" fontId="20" fillId="0" borderId="12" xfId="1" applyNumberFormat="1" applyFont="1" applyFill="1" applyBorder="1"/>
    <xf numFmtId="10" fontId="19" fillId="0" borderId="12" xfId="1" applyNumberFormat="1" applyFont="1" applyFill="1" applyBorder="1"/>
    <xf numFmtId="10" fontId="6" fillId="0" borderId="12" xfId="1" applyNumberFormat="1" applyFont="1" applyFill="1" applyBorder="1"/>
    <xf numFmtId="44" fontId="20" fillId="0" borderId="12" xfId="0" applyNumberFormat="1" applyFont="1" applyBorder="1"/>
    <xf numFmtId="0" fontId="7" fillId="0" borderId="11" xfId="0" applyFont="1" applyBorder="1"/>
    <xf numFmtId="0" fontId="6" fillId="0" borderId="12" xfId="0" applyFont="1" applyBorder="1"/>
    <xf numFmtId="44" fontId="19" fillId="0" borderId="12" xfId="0" applyNumberFormat="1" applyFont="1" applyBorder="1"/>
    <xf numFmtId="167" fontId="6" fillId="0" borderId="12" xfId="0" applyNumberFormat="1" applyFont="1" applyBorder="1"/>
    <xf numFmtId="10" fontId="20" fillId="0" borderId="12" xfId="1" applyNumberFormat="1" applyFont="1" applyFill="1" applyBorder="1" applyAlignment="1">
      <alignment horizontal="right"/>
    </xf>
    <xf numFmtId="0" fontId="6" fillId="0" borderId="0" xfId="2" applyFont="1"/>
    <xf numFmtId="0" fontId="21" fillId="2" borderId="11" xfId="2" applyFont="1" applyFill="1" applyBorder="1" applyAlignment="1">
      <alignment horizontal="left" vertical="center"/>
    </xf>
    <xf numFmtId="0" fontId="21" fillId="2" borderId="0" xfId="2" applyFont="1" applyFill="1" applyAlignment="1">
      <alignment horizontal="center"/>
    </xf>
    <xf numFmtId="0" fontId="21" fillId="2" borderId="22" xfId="2" applyFont="1" applyFill="1" applyBorder="1" applyAlignment="1">
      <alignment horizontal="center" vertical="center"/>
    </xf>
    <xf numFmtId="0" fontId="21" fillId="2" borderId="23" xfId="2" applyFont="1" applyFill="1" applyBorder="1" applyAlignment="1">
      <alignment horizontal="centerContinuous" vertical="center"/>
    </xf>
    <xf numFmtId="0" fontId="7" fillId="4" borderId="11" xfId="2" applyFont="1" applyFill="1" applyBorder="1"/>
    <xf numFmtId="0" fontId="6" fillId="4" borderId="0" xfId="2" applyFont="1" applyFill="1"/>
    <xf numFmtId="0" fontId="21" fillId="2" borderId="11" xfId="2" applyFont="1" applyFill="1" applyBorder="1"/>
    <xf numFmtId="0" fontId="19" fillId="2" borderId="0" xfId="2" applyFont="1" applyFill="1"/>
    <xf numFmtId="2" fontId="19" fillId="2" borderId="0" xfId="2" applyNumberFormat="1" applyFont="1" applyFill="1"/>
    <xf numFmtId="171" fontId="20" fillId="2" borderId="12" xfId="3" applyNumberFormat="1" applyFont="1" applyFill="1" applyBorder="1" applyAlignment="1">
      <alignment horizontal="right"/>
    </xf>
    <xf numFmtId="0" fontId="21" fillId="2" borderId="8" xfId="2" applyFont="1" applyFill="1" applyBorder="1"/>
    <xf numFmtId="0" fontId="19" fillId="2" borderId="9" xfId="2" applyFont="1" applyFill="1" applyBorder="1"/>
    <xf numFmtId="185" fontId="19" fillId="2" borderId="9" xfId="2" applyNumberFormat="1" applyFont="1" applyFill="1" applyBorder="1"/>
    <xf numFmtId="169" fontId="21" fillId="2" borderId="10" xfId="4" applyNumberFormat="1" applyFont="1" applyFill="1" applyBorder="1" applyAlignment="1">
      <alignment horizontal="right"/>
    </xf>
    <xf numFmtId="0" fontId="7" fillId="0" borderId="0" xfId="2" applyFont="1"/>
    <xf numFmtId="0" fontId="6" fillId="7" borderId="0" xfId="2" applyFont="1" applyFill="1" applyAlignment="1">
      <alignment horizontal="right"/>
    </xf>
    <xf numFmtId="0" fontId="21" fillId="2" borderId="25" xfId="2" applyFont="1" applyFill="1" applyBorder="1" applyAlignment="1">
      <alignment horizontal="left" vertical="center"/>
    </xf>
    <xf numFmtId="0" fontId="6" fillId="2" borderId="26" xfId="2" applyFont="1" applyFill="1" applyBorder="1"/>
    <xf numFmtId="0" fontId="6" fillId="2" borderId="27" xfId="2" applyFont="1" applyFill="1" applyBorder="1" applyAlignment="1">
      <alignment horizontal="right"/>
    </xf>
    <xf numFmtId="0" fontId="7" fillId="3" borderId="11" xfId="2" applyFont="1" applyFill="1" applyBorder="1"/>
    <xf numFmtId="0" fontId="6" fillId="3" borderId="0" xfId="2" applyFont="1" applyFill="1"/>
    <xf numFmtId="0" fontId="20" fillId="3" borderId="12" xfId="5" applyFont="1" applyFill="1" applyBorder="1" applyAlignment="1">
      <alignment horizontal="right"/>
    </xf>
    <xf numFmtId="0" fontId="20" fillId="4" borderId="12" xfId="5" applyFont="1" applyFill="1" applyBorder="1" applyAlignment="1">
      <alignment horizontal="right"/>
    </xf>
    <xf numFmtId="0" fontId="23" fillId="3" borderId="11" xfId="2" applyFont="1" applyFill="1" applyBorder="1"/>
    <xf numFmtId="0" fontId="23" fillId="4" borderId="11" xfId="2" applyFont="1" applyFill="1" applyBorder="1"/>
    <xf numFmtId="184" fontId="20" fillId="3" borderId="12" xfId="6" applyNumberFormat="1" applyFont="1" applyFill="1" applyBorder="1" applyAlignment="1">
      <alignment horizontal="right"/>
    </xf>
    <xf numFmtId="170" fontId="20" fillId="4" borderId="12" xfId="13" applyNumberFormat="1" applyFont="1" applyFill="1" applyBorder="1" applyAlignment="1">
      <alignment horizontal="right"/>
    </xf>
    <xf numFmtId="44" fontId="20" fillId="3" borderId="12" xfId="5" applyNumberFormat="1" applyFont="1" applyFill="1" applyBorder="1" applyAlignment="1">
      <alignment horizontal="right"/>
    </xf>
    <xf numFmtId="186" fontId="20" fillId="4" borderId="12" xfId="6" applyNumberFormat="1" applyFont="1" applyFill="1" applyBorder="1" applyAlignment="1">
      <alignment horizontal="right"/>
    </xf>
    <xf numFmtId="44" fontId="20" fillId="3" borderId="12" xfId="6" applyNumberFormat="1" applyFont="1" applyFill="1" applyBorder="1" applyAlignment="1">
      <alignment horizontal="right"/>
    </xf>
    <xf numFmtId="44" fontId="19" fillId="4" borderId="12" xfId="6" applyNumberFormat="1" applyFont="1" applyFill="1" applyBorder="1" applyAlignment="1">
      <alignment horizontal="right"/>
    </xf>
    <xf numFmtId="43" fontId="20" fillId="3" borderId="12" xfId="6" applyFont="1" applyFill="1" applyBorder="1" applyAlignment="1">
      <alignment horizontal="right"/>
    </xf>
    <xf numFmtId="0" fontId="7" fillId="4" borderId="8" xfId="2" applyFont="1" applyFill="1" applyBorder="1"/>
    <xf numFmtId="0" fontId="6" fillId="4" borderId="9" xfId="2" applyFont="1" applyFill="1" applyBorder="1"/>
    <xf numFmtId="43" fontId="20" fillId="4" borderId="10" xfId="6" applyFont="1" applyFill="1" applyBorder="1" applyAlignment="1">
      <alignment horizontal="right"/>
    </xf>
    <xf numFmtId="175" fontId="15" fillId="0" borderId="2" xfId="0" applyNumberFormat="1" applyFont="1" applyFill="1" applyBorder="1" applyAlignment="1">
      <alignment horizontal="right"/>
    </xf>
    <xf numFmtId="37" fontId="15" fillId="0" borderId="2" xfId="0" applyNumberFormat="1" applyFont="1" applyBorder="1"/>
    <xf numFmtId="175" fontId="15" fillId="4" borderId="0" xfId="0" applyNumberFormat="1" applyFont="1" applyFill="1"/>
    <xf numFmtId="0" fontId="7" fillId="2" borderId="1" xfId="0" applyFont="1" applyFill="1" applyBorder="1" applyAlignment="1">
      <alignment horizontal="center"/>
    </xf>
    <xf numFmtId="0" fontId="7" fillId="2" borderId="16" xfId="0" applyFont="1" applyFill="1" applyBorder="1" applyAlignment="1">
      <alignment horizontal="center"/>
    </xf>
    <xf numFmtId="0" fontId="7" fillId="2" borderId="17" xfId="0" applyFont="1" applyFill="1" applyBorder="1" applyAlignment="1">
      <alignment horizontal="center"/>
    </xf>
    <xf numFmtId="0" fontId="6" fillId="0" borderId="0" xfId="0" applyFont="1" applyAlignment="1">
      <alignment horizontal="centerContinuous" vertical="center"/>
    </xf>
    <xf numFmtId="0" fontId="7" fillId="2" borderId="1" xfId="0" applyFont="1" applyFill="1" applyBorder="1" applyAlignment="1">
      <alignment horizontal="center" vertical="center"/>
    </xf>
    <xf numFmtId="0" fontId="7" fillId="2" borderId="17" xfId="0" applyFont="1" applyFill="1" applyBorder="1" applyAlignment="1">
      <alignment horizontal="center" vertical="center"/>
    </xf>
    <xf numFmtId="0" fontId="7" fillId="0" borderId="6" xfId="0" applyFont="1" applyBorder="1"/>
    <xf numFmtId="0" fontId="7" fillId="0" borderId="3" xfId="0" applyFont="1" applyBorder="1"/>
    <xf numFmtId="2" fontId="7" fillId="0" borderId="7" xfId="0" applyNumberFormat="1" applyFont="1" applyBorder="1"/>
    <xf numFmtId="0" fontId="6" fillId="0" borderId="24" xfId="0" applyFont="1" applyBorder="1"/>
    <xf numFmtId="0" fontId="7" fillId="0" borderId="18" xfId="0" applyFont="1" applyBorder="1"/>
    <xf numFmtId="2" fontId="6" fillId="0" borderId="29" xfId="0" applyNumberFormat="1" applyFont="1" applyBorder="1"/>
    <xf numFmtId="0" fontId="20" fillId="0" borderId="12" xfId="0" applyFont="1" applyBorder="1"/>
    <xf numFmtId="2" fontId="20" fillId="0" borderId="12" xfId="0" applyNumberFormat="1" applyFont="1" applyBorder="1"/>
    <xf numFmtId="0" fontId="6" fillId="0" borderId="8" xfId="0" applyFont="1" applyBorder="1"/>
    <xf numFmtId="0" fontId="6" fillId="0" borderId="9" xfId="0" applyFont="1" applyBorder="1"/>
    <xf numFmtId="44" fontId="6" fillId="0" borderId="0" xfId="0" applyNumberFormat="1" applyFont="1"/>
    <xf numFmtId="14" fontId="6" fillId="0" borderId="0" xfId="0" applyNumberFormat="1" applyFont="1"/>
    <xf numFmtId="165" fontId="6" fillId="0" borderId="0" xfId="0" applyNumberFormat="1" applyFont="1" applyAlignment="1">
      <alignment horizontal="right"/>
    </xf>
    <xf numFmtId="2" fontId="20" fillId="0" borderId="10" xfId="0" applyNumberFormat="1" applyFont="1" applyBorder="1"/>
    <xf numFmtId="0" fontId="6" fillId="0" borderId="0" xfId="0" applyFont="1" applyBorder="1"/>
    <xf numFmtId="0" fontId="20" fillId="0" borderId="0" xfId="0" applyFont="1" applyBorder="1"/>
    <xf numFmtId="2" fontId="20" fillId="0" borderId="0" xfId="0" applyNumberFormat="1" applyFont="1" applyBorder="1"/>
    <xf numFmtId="0" fontId="7" fillId="5" borderId="7" xfId="0" quotePrefix="1" applyFont="1" applyFill="1" applyBorder="1" applyAlignment="1">
      <alignment horizontal="centerContinuous" vertical="center"/>
    </xf>
    <xf numFmtId="0" fontId="7" fillId="5" borderId="1" xfId="0" applyFont="1" applyFill="1" applyBorder="1" applyAlignment="1">
      <alignment horizontal="centerContinuous"/>
    </xf>
    <xf numFmtId="0" fontId="7" fillId="5" borderId="16" xfId="0" applyFont="1" applyFill="1" applyBorder="1" applyAlignment="1">
      <alignment horizontal="centerContinuous"/>
    </xf>
    <xf numFmtId="0" fontId="7" fillId="5" borderId="17" xfId="0" applyFont="1" applyFill="1" applyBorder="1" applyAlignment="1">
      <alignment horizontal="centerContinuous"/>
    </xf>
    <xf numFmtId="182" fontId="6" fillId="0" borderId="0" xfId="0" applyNumberFormat="1" applyFont="1"/>
    <xf numFmtId="0" fontId="6" fillId="0" borderId="18" xfId="0" applyFont="1" applyBorder="1"/>
    <xf numFmtId="0" fontId="6" fillId="0" borderId="3" xfId="0" applyFont="1" applyBorder="1"/>
    <xf numFmtId="0" fontId="6" fillId="0" borderId="7" xfId="0" applyFont="1" applyBorder="1"/>
    <xf numFmtId="0" fontId="7" fillId="0" borderId="30" xfId="0" applyFont="1" applyBorder="1"/>
    <xf numFmtId="0" fontId="6" fillId="0" borderId="31" xfId="0" applyFont="1" applyBorder="1"/>
    <xf numFmtId="0" fontId="6" fillId="5" borderId="16" xfId="0" applyFont="1" applyFill="1" applyBorder="1" applyAlignment="1">
      <alignment horizontal="centerContinuous"/>
    </xf>
    <xf numFmtId="0" fontId="6" fillId="5" borderId="17" xfId="0" applyFont="1" applyFill="1" applyBorder="1" applyAlignment="1">
      <alignment horizontal="centerContinuous"/>
    </xf>
    <xf numFmtId="2" fontId="6" fillId="0" borderId="18" xfId="0" applyNumberFormat="1" applyFont="1" applyBorder="1"/>
    <xf numFmtId="167" fontId="19" fillId="0" borderId="12" xfId="0" applyNumberFormat="1" applyFont="1" applyBorder="1"/>
    <xf numFmtId="0" fontId="7" fillId="5" borderId="6" xfId="0" applyFont="1" applyFill="1" applyBorder="1" applyAlignment="1">
      <alignment horizontal="centerContinuous" vertical="center"/>
    </xf>
    <xf numFmtId="10" fontId="7" fillId="0" borderId="32" xfId="1" applyNumberFormat="1" applyFont="1" applyFill="1" applyBorder="1"/>
    <xf numFmtId="167" fontId="7" fillId="0" borderId="32" xfId="0" applyNumberFormat="1" applyFont="1" applyBorder="1"/>
    <xf numFmtId="165" fontId="6" fillId="0" borderId="31" xfId="0" applyNumberFormat="1" applyFont="1" applyBorder="1"/>
    <xf numFmtId="181" fontId="17" fillId="0" borderId="0" xfId="0" applyNumberFormat="1" applyFont="1"/>
    <xf numFmtId="0" fontId="9" fillId="4" borderId="28" xfId="0" applyFont="1" applyFill="1" applyBorder="1" applyAlignment="1">
      <alignment horizontal="centerContinuous"/>
    </xf>
    <xf numFmtId="0" fontId="15" fillId="4" borderId="17" xfId="0" applyFont="1" applyFill="1" applyBorder="1" applyAlignment="1">
      <alignment horizontal="centerContinuous"/>
    </xf>
    <xf numFmtId="0" fontId="8" fillId="4" borderId="17" xfId="0" applyFont="1" applyFill="1" applyBorder="1" applyAlignment="1">
      <alignment horizontal="centerContinuous"/>
    </xf>
    <xf numFmtId="0" fontId="9" fillId="4" borderId="16" xfId="0" applyFont="1" applyFill="1" applyBorder="1" applyAlignment="1">
      <alignment horizontal="centerContinuous"/>
    </xf>
    <xf numFmtId="0" fontId="18" fillId="4" borderId="28" xfId="0" applyFont="1" applyFill="1" applyBorder="1" applyAlignment="1">
      <alignment horizontal="centerContinuous"/>
    </xf>
    <xf numFmtId="0" fontId="7" fillId="0" borderId="0" xfId="0" applyFont="1" applyAlignment="1">
      <alignment horizontal="right"/>
    </xf>
    <xf numFmtId="0" fontId="7" fillId="8" borderId="1" xfId="0" applyFont="1" applyFill="1" applyBorder="1" applyAlignment="1">
      <alignment horizontal="centerContinuous"/>
    </xf>
    <xf numFmtId="0" fontId="7" fillId="9" borderId="16" xfId="0" applyFont="1" applyFill="1" applyBorder="1" applyAlignment="1">
      <alignment horizontal="centerContinuous"/>
    </xf>
    <xf numFmtId="0" fontId="7" fillId="10" borderId="16" xfId="0" applyFont="1" applyFill="1" applyBorder="1" applyAlignment="1">
      <alignment horizontal="centerContinuous"/>
    </xf>
    <xf numFmtId="0" fontId="6" fillId="10" borderId="17" xfId="0" applyFont="1" applyFill="1" applyBorder="1" applyAlignment="1">
      <alignment horizontal="centerContinuous"/>
    </xf>
    <xf numFmtId="0" fontId="7" fillId="0" borderId="0" xfId="0" applyFont="1" applyAlignment="1">
      <alignment horizontal="centerContinuous"/>
    </xf>
    <xf numFmtId="0" fontId="6" fillId="5" borderId="33" xfId="0" applyFont="1" applyFill="1" applyBorder="1" applyAlignment="1">
      <alignment horizontal="centerContinuous"/>
    </xf>
    <xf numFmtId="0" fontId="6" fillId="5" borderId="22" xfId="0" applyFont="1" applyFill="1" applyBorder="1"/>
    <xf numFmtId="44" fontId="6" fillId="5" borderId="22" xfId="0" applyNumberFormat="1" applyFont="1" applyFill="1" applyBorder="1"/>
    <xf numFmtId="175" fontId="6" fillId="5" borderId="22" xfId="0" applyNumberFormat="1" applyFont="1" applyFill="1" applyBorder="1"/>
    <xf numFmtId="184" fontId="6" fillId="5" borderId="22" xfId="0" applyNumberFormat="1" applyFont="1" applyFill="1" applyBorder="1"/>
    <xf numFmtId="0" fontId="6" fillId="5" borderId="34" xfId="0" applyFont="1" applyFill="1" applyBorder="1"/>
    <xf numFmtId="182" fontId="6" fillId="5" borderId="34" xfId="0" applyNumberFormat="1" applyFont="1" applyFill="1" applyBorder="1"/>
    <xf numFmtId="182" fontId="6" fillId="5" borderId="35" xfId="0" applyNumberFormat="1" applyFont="1" applyFill="1" applyBorder="1"/>
    <xf numFmtId="0" fontId="4" fillId="2" borderId="36" xfId="0" applyFont="1" applyFill="1" applyBorder="1" applyAlignment="1">
      <alignment horizontal="centerContinuous"/>
    </xf>
    <xf numFmtId="0" fontId="7" fillId="2" borderId="34" xfId="0" applyFont="1" applyFill="1" applyBorder="1" applyAlignment="1">
      <alignment horizontal="centerContinuous"/>
    </xf>
    <xf numFmtId="0" fontId="7" fillId="2" borderId="35" xfId="0" applyFont="1" applyFill="1" applyBorder="1" applyAlignment="1">
      <alignment horizontal="centerContinuous"/>
    </xf>
    <xf numFmtId="0" fontId="2" fillId="0" borderId="36" xfId="0" applyFont="1" applyBorder="1" applyAlignment="1">
      <alignment horizontal="centerContinuous"/>
    </xf>
    <xf numFmtId="0" fontId="6" fillId="0" borderId="34" xfId="0" applyFont="1" applyBorder="1"/>
    <xf numFmtId="44" fontId="6" fillId="0" borderId="34" xfId="0" applyNumberFormat="1" applyFont="1" applyBorder="1"/>
    <xf numFmtId="182" fontId="6" fillId="0" borderId="34" xfId="0" applyNumberFormat="1" applyFont="1" applyBorder="1"/>
    <xf numFmtId="165" fontId="6" fillId="0" borderId="34" xfId="0" applyNumberFormat="1" applyFont="1" applyBorder="1"/>
    <xf numFmtId="0" fontId="4" fillId="0" borderId="0" xfId="0" applyFont="1" applyAlignment="1">
      <alignment horizontal="centerContinuous"/>
    </xf>
    <xf numFmtId="169" fontId="6" fillId="5" borderId="22" xfId="0" applyNumberFormat="1" applyFont="1" applyFill="1" applyBorder="1"/>
    <xf numFmtId="165" fontId="6" fillId="5" borderId="22" xfId="0" applyNumberFormat="1" applyFont="1" applyFill="1" applyBorder="1"/>
    <xf numFmtId="0" fontId="4" fillId="5" borderId="36" xfId="0" applyFont="1" applyFill="1" applyBorder="1" applyAlignment="1">
      <alignment horizontal="centerContinuous"/>
    </xf>
    <xf numFmtId="187" fontId="7" fillId="5" borderId="34" xfId="0" applyNumberFormat="1" applyFont="1" applyFill="1" applyBorder="1"/>
    <xf numFmtId="0" fontId="7" fillId="5" borderId="16" xfId="0" applyFont="1" applyFill="1" applyBorder="1" applyAlignment="1">
      <alignment horizontal="right"/>
    </xf>
    <xf numFmtId="0" fontId="7" fillId="5" borderId="17" xfId="0" applyFont="1" applyFill="1" applyBorder="1" applyAlignment="1">
      <alignment horizontal="center"/>
    </xf>
    <xf numFmtId="0" fontId="7" fillId="5" borderId="1" xfId="0" applyFont="1" applyFill="1" applyBorder="1" applyAlignment="1">
      <alignment horizontal="center"/>
    </xf>
    <xf numFmtId="0" fontId="7" fillId="5" borderId="16" xfId="0" applyFont="1" applyFill="1" applyBorder="1" applyAlignment="1">
      <alignment horizontal="center"/>
    </xf>
    <xf numFmtId="175" fontId="6" fillId="0" borderId="0" xfId="0" applyNumberFormat="1" applyFont="1"/>
    <xf numFmtId="184" fontId="6" fillId="0" borderId="34" xfId="0" applyNumberFormat="1" applyFont="1" applyBorder="1"/>
    <xf numFmtId="0" fontId="6" fillId="5" borderId="11" xfId="0" applyFont="1" applyFill="1" applyBorder="1" applyAlignment="1">
      <alignment horizontal="left" indent="1"/>
    </xf>
    <xf numFmtId="175" fontId="6" fillId="5" borderId="0" xfId="0" applyNumberFormat="1" applyFont="1" applyFill="1" applyBorder="1"/>
    <xf numFmtId="183" fontId="6" fillId="5" borderId="12" xfId="0" applyNumberFormat="1" applyFont="1" applyFill="1" applyBorder="1"/>
    <xf numFmtId="44" fontId="6" fillId="5" borderId="0" xfId="0" applyNumberFormat="1" applyFont="1" applyFill="1" applyBorder="1"/>
    <xf numFmtId="175" fontId="9" fillId="0" borderId="2" xfId="0" applyNumberFormat="1" applyFont="1" applyBorder="1"/>
    <xf numFmtId="0" fontId="19" fillId="5" borderId="11" xfId="0" applyFont="1" applyFill="1" applyBorder="1"/>
    <xf numFmtId="165" fontId="19" fillId="5" borderId="12" xfId="0" applyNumberFormat="1" applyFont="1" applyFill="1" applyBorder="1"/>
    <xf numFmtId="0" fontId="7" fillId="0" borderId="0" xfId="0" quotePrefix="1" applyFont="1" applyAlignment="1">
      <alignment horizontal="centerContinuous"/>
    </xf>
    <xf numFmtId="171" fontId="7" fillId="0" borderId="0" xfId="0" applyNumberFormat="1" applyFont="1"/>
    <xf numFmtId="167" fontId="6" fillId="0" borderId="0" xfId="0" applyNumberFormat="1" applyFont="1"/>
    <xf numFmtId="167" fontId="7" fillId="0" borderId="0" xfId="0" applyNumberFormat="1" applyFont="1"/>
    <xf numFmtId="0" fontId="7" fillId="0" borderId="0" xfId="0" applyFont="1" applyAlignment="1">
      <alignment horizontal="right" wrapText="1"/>
    </xf>
    <xf numFmtId="10" fontId="7" fillId="0" borderId="0" xfId="1" applyNumberFormat="1" applyFont="1" applyFill="1"/>
    <xf numFmtId="165" fontId="19" fillId="5" borderId="0" xfId="0" applyNumberFormat="1" applyFont="1" applyFill="1" applyBorder="1"/>
    <xf numFmtId="0" fontId="6" fillId="5" borderId="11" xfId="0" applyFont="1" applyFill="1" applyBorder="1" applyAlignment="1">
      <alignment horizontal="left" indent="2"/>
    </xf>
    <xf numFmtId="165" fontId="6" fillId="5" borderId="0" xfId="0" applyNumberFormat="1" applyFont="1" applyFill="1" applyBorder="1"/>
    <xf numFmtId="165" fontId="6" fillId="5" borderId="12" xfId="0" applyNumberFormat="1" applyFont="1" applyFill="1" applyBorder="1"/>
    <xf numFmtId="0" fontId="6" fillId="11" borderId="6" xfId="0" applyFont="1" applyFill="1" applyBorder="1"/>
    <xf numFmtId="0" fontId="7" fillId="11" borderId="3" xfId="0" applyFont="1" applyFill="1" applyBorder="1" applyAlignment="1">
      <alignment horizontal="centerContinuous"/>
    </xf>
    <xf numFmtId="0" fontId="7" fillId="11" borderId="7" xfId="0" applyFont="1" applyFill="1" applyBorder="1" applyAlignment="1">
      <alignment horizontal="centerContinuous"/>
    </xf>
    <xf numFmtId="0" fontId="7" fillId="11" borderId="11" xfId="0" applyFont="1" applyFill="1" applyBorder="1"/>
    <xf numFmtId="175" fontId="6" fillId="11" borderId="0" xfId="0" applyNumberFormat="1" applyFont="1" applyFill="1" applyBorder="1"/>
    <xf numFmtId="175" fontId="6" fillId="11" borderId="12" xfId="0" applyNumberFormat="1" applyFont="1" applyFill="1" applyBorder="1"/>
    <xf numFmtId="0" fontId="6" fillId="11" borderId="11" xfId="0" applyFont="1" applyFill="1" applyBorder="1" applyAlignment="1">
      <alignment horizontal="left" indent="2"/>
    </xf>
    <xf numFmtId="0" fontId="6" fillId="11" borderId="0" xfId="0" applyFont="1" applyFill="1" applyBorder="1"/>
    <xf numFmtId="165" fontId="6" fillId="11" borderId="0" xfId="0" applyNumberFormat="1" applyFont="1" applyFill="1" applyBorder="1"/>
    <xf numFmtId="165" fontId="6" fillId="11" borderId="12" xfId="0" applyNumberFormat="1" applyFont="1" applyFill="1" applyBorder="1"/>
    <xf numFmtId="0" fontId="2" fillId="11" borderId="11" xfId="0" applyFont="1" applyFill="1" applyBorder="1" applyAlignment="1">
      <alignment horizontal="left" indent="1"/>
    </xf>
    <xf numFmtId="0" fontId="7" fillId="11" borderId="24" xfId="0" applyFont="1" applyFill="1" applyBorder="1"/>
    <xf numFmtId="175" fontId="6" fillId="11" borderId="18" xfId="0" applyNumberFormat="1" applyFont="1" applyFill="1" applyBorder="1"/>
    <xf numFmtId="175" fontId="6" fillId="11" borderId="29" xfId="0" applyNumberFormat="1" applyFont="1" applyFill="1" applyBorder="1"/>
    <xf numFmtId="44" fontId="6" fillId="11" borderId="0" xfId="0" applyNumberFormat="1" applyFont="1" applyFill="1" applyBorder="1"/>
    <xf numFmtId="44" fontId="6" fillId="11" borderId="12" xfId="0" applyNumberFormat="1" applyFont="1" applyFill="1" applyBorder="1"/>
    <xf numFmtId="0" fontId="6" fillId="11" borderId="11" xfId="0" applyFont="1" applyFill="1" applyBorder="1"/>
    <xf numFmtId="0" fontId="6" fillId="11" borderId="8" xfId="0" applyFont="1" applyFill="1" applyBorder="1"/>
    <xf numFmtId="175" fontId="6" fillId="11" borderId="9" xfId="0" applyNumberFormat="1" applyFont="1" applyFill="1" applyBorder="1"/>
    <xf numFmtId="175" fontId="6" fillId="11" borderId="10" xfId="0" applyNumberFormat="1" applyFont="1" applyFill="1" applyBorder="1"/>
    <xf numFmtId="0" fontId="9" fillId="0" borderId="0" xfId="0" applyFont="1" applyFill="1" applyBorder="1" applyAlignment="1">
      <alignment horizontal="left"/>
    </xf>
    <xf numFmtId="175" fontId="4" fillId="0" borderId="5" xfId="0" applyNumberFormat="1" applyFont="1" applyFill="1" applyBorder="1"/>
    <xf numFmtId="0" fontId="2" fillId="0" borderId="18" xfId="0" applyFont="1" applyBorder="1" applyAlignment="1">
      <alignment horizontal="centerContinuous"/>
    </xf>
    <xf numFmtId="182" fontId="2" fillId="0" borderId="18" xfId="0" applyNumberFormat="1" applyFont="1" applyBorder="1" applyAlignment="1">
      <alignment horizontal="left"/>
    </xf>
    <xf numFmtId="37" fontId="4" fillId="0" borderId="2" xfId="0" applyNumberFormat="1" applyFont="1" applyFill="1" applyBorder="1"/>
    <xf numFmtId="0" fontId="3" fillId="5" borderId="6" xfId="0" applyFont="1" applyFill="1" applyBorder="1"/>
    <xf numFmtId="0" fontId="2" fillId="5" borderId="3" xfId="0" applyFont="1" applyFill="1" applyBorder="1"/>
    <xf numFmtId="165" fontId="4" fillId="5" borderId="7" xfId="0" applyNumberFormat="1" applyFont="1" applyFill="1" applyBorder="1"/>
    <xf numFmtId="0" fontId="3" fillId="5" borderId="8" xfId="0" applyFont="1" applyFill="1" applyBorder="1"/>
    <xf numFmtId="0" fontId="2" fillId="5" borderId="9" xfId="0" applyFont="1" applyFill="1" applyBorder="1"/>
    <xf numFmtId="165" fontId="4" fillId="5" borderId="10" xfId="0" applyNumberFormat="1" applyFont="1" applyFill="1" applyBorder="1"/>
    <xf numFmtId="37" fontId="15" fillId="0" borderId="2" xfId="0" applyNumberFormat="1" applyFont="1" applyFill="1" applyBorder="1"/>
    <xf numFmtId="165" fontId="5" fillId="0" borderId="2" xfId="0" applyNumberFormat="1" applyFont="1" applyFill="1" applyBorder="1"/>
    <xf numFmtId="37" fontId="8" fillId="0" borderId="2" xfId="0" applyNumberFormat="1" applyFont="1" applyBorder="1"/>
    <xf numFmtId="37" fontId="9" fillId="0" borderId="2" xfId="0" applyNumberFormat="1" applyFont="1" applyBorder="1"/>
    <xf numFmtId="37" fontId="9" fillId="4" borderId="0" xfId="0" applyNumberFormat="1" applyFont="1" applyFill="1" applyBorder="1"/>
    <xf numFmtId="37" fontId="9" fillId="4" borderId="0" xfId="0" applyNumberFormat="1" applyFont="1" applyFill="1"/>
    <xf numFmtId="37" fontId="4" fillId="0" borderId="2" xfId="0" applyNumberFormat="1" applyFont="1" applyBorder="1"/>
    <xf numFmtId="0" fontId="2" fillId="0" borderId="38" xfId="0" applyFont="1" applyBorder="1"/>
    <xf numFmtId="165" fontId="8" fillId="0" borderId="38" xfId="0" applyNumberFormat="1" applyFont="1" applyBorder="1"/>
    <xf numFmtId="37" fontId="9" fillId="0" borderId="2" xfId="0" applyNumberFormat="1" applyFont="1" applyFill="1" applyBorder="1"/>
    <xf numFmtId="165" fontId="8" fillId="0" borderId="0" xfId="0" applyNumberFormat="1" applyFont="1" applyBorder="1"/>
    <xf numFmtId="37" fontId="5" fillId="0" borderId="2" xfId="0" applyNumberFormat="1" applyFont="1" applyBorder="1"/>
    <xf numFmtId="37" fontId="5" fillId="0" borderId="2" xfId="0" applyNumberFormat="1" applyFont="1" applyFill="1" applyBorder="1"/>
    <xf numFmtId="37" fontId="17" fillId="0" borderId="2" xfId="0" applyNumberFormat="1" applyFont="1" applyFill="1" applyBorder="1"/>
    <xf numFmtId="44" fontId="9" fillId="0" borderId="2" xfId="0" applyNumberFormat="1" applyFont="1" applyBorder="1"/>
    <xf numFmtId="175" fontId="9" fillId="0" borderId="2" xfId="0" applyNumberFormat="1" applyFont="1" applyFill="1" applyBorder="1" applyAlignment="1">
      <alignment horizontal="right"/>
    </xf>
    <xf numFmtId="44" fontId="9" fillId="4" borderId="0" xfId="0" applyNumberFormat="1" applyFont="1" applyFill="1" applyBorder="1"/>
    <xf numFmtId="176" fontId="9" fillId="4" borderId="0" xfId="0" applyNumberFormat="1" applyFont="1" applyFill="1" applyBorder="1"/>
    <xf numFmtId="165" fontId="2" fillId="0" borderId="38" xfId="0" applyNumberFormat="1" applyFont="1" applyFill="1" applyBorder="1"/>
    <xf numFmtId="165" fontId="2" fillId="0" borderId="38" xfId="0" applyNumberFormat="1" applyFont="1" applyBorder="1"/>
    <xf numFmtId="167" fontId="17" fillId="0" borderId="2" xfId="0" applyNumberFormat="1" applyFont="1" applyFill="1" applyBorder="1"/>
    <xf numFmtId="175" fontId="15" fillId="0" borderId="2" xfId="0" applyNumberFormat="1" applyFont="1" applyFill="1" applyBorder="1" applyAlignment="1">
      <alignment horizontal="left"/>
    </xf>
    <xf numFmtId="175" fontId="8" fillId="0" borderId="2" xfId="0" applyNumberFormat="1" applyFont="1" applyFill="1" applyBorder="1" applyAlignment="1">
      <alignment horizontal="left"/>
    </xf>
    <xf numFmtId="175" fontId="9" fillId="0" borderId="2" xfId="0" applyNumberFormat="1" applyFont="1" applyFill="1" applyBorder="1" applyAlignment="1">
      <alignment horizontal="left"/>
    </xf>
    <xf numFmtId="182" fontId="8" fillId="0" borderId="0" xfId="0" applyNumberFormat="1" applyFont="1"/>
    <xf numFmtId="181" fontId="17" fillId="0" borderId="2" xfId="0" applyNumberFormat="1" applyFont="1" applyFill="1" applyBorder="1"/>
    <xf numFmtId="182" fontId="17" fillId="0" borderId="2" xfId="0" applyNumberFormat="1" applyFont="1" applyFill="1" applyBorder="1"/>
    <xf numFmtId="1" fontId="2" fillId="0" borderId="0" xfId="0" applyNumberFormat="1" applyFont="1"/>
    <xf numFmtId="0" fontId="2" fillId="0" borderId="0" xfId="0" applyFont="1" applyAlignment="1">
      <alignment horizontal="centerContinuous"/>
    </xf>
    <xf numFmtId="167" fontId="2" fillId="0" borderId="0" xfId="0" applyNumberFormat="1" applyFont="1" applyAlignment="1">
      <alignment horizontal="centerContinuous"/>
    </xf>
    <xf numFmtId="167" fontId="2" fillId="0" borderId="0" xfId="0" applyNumberFormat="1" applyFont="1" applyFill="1"/>
    <xf numFmtId="0" fontId="2" fillId="7" borderId="0" xfId="0" applyFont="1" applyFill="1"/>
    <xf numFmtId="167" fontId="2" fillId="7" borderId="0" xfId="0" applyNumberFormat="1" applyFont="1" applyFill="1"/>
    <xf numFmtId="0" fontId="4" fillId="5" borderId="1" xfId="0" applyFont="1" applyFill="1" applyBorder="1"/>
    <xf numFmtId="0" fontId="4" fillId="5" borderId="16" xfId="0" applyFont="1" applyFill="1" applyBorder="1"/>
    <xf numFmtId="0" fontId="4" fillId="5" borderId="17" xfId="0" applyFont="1" applyFill="1" applyBorder="1"/>
    <xf numFmtId="0" fontId="6" fillId="10" borderId="0" xfId="0" applyFont="1" applyFill="1"/>
    <xf numFmtId="175" fontId="6" fillId="10" borderId="0" xfId="0" applyNumberFormat="1" applyFont="1" applyFill="1"/>
    <xf numFmtId="165" fontId="6" fillId="10" borderId="0" xfId="0" applyNumberFormat="1" applyFont="1" applyFill="1"/>
    <xf numFmtId="182" fontId="6" fillId="10" borderId="0" xfId="0" applyNumberFormat="1" applyFont="1" applyFill="1"/>
    <xf numFmtId="182" fontId="6" fillId="10" borderId="0" xfId="0" applyNumberFormat="1" applyFont="1" applyFill="1" applyAlignment="1">
      <alignment horizontal="right"/>
    </xf>
    <xf numFmtId="0" fontId="6" fillId="8" borderId="0" xfId="0" applyFont="1" applyFill="1"/>
    <xf numFmtId="175" fontId="6" fillId="8" borderId="0" xfId="0" applyNumberFormat="1" applyFont="1" applyFill="1"/>
    <xf numFmtId="165" fontId="6" fillId="8" borderId="0" xfId="0" applyNumberFormat="1" applyFont="1" applyFill="1"/>
    <xf numFmtId="0" fontId="6" fillId="8" borderId="0" xfId="0" applyFont="1" applyFill="1" applyAlignment="1">
      <alignment horizontal="right"/>
    </xf>
    <xf numFmtId="182" fontId="6" fillId="8" borderId="0" xfId="0" applyNumberFormat="1" applyFont="1" applyFill="1"/>
    <xf numFmtId="182" fontId="6" fillId="8" borderId="0" xfId="0" applyNumberFormat="1" applyFont="1" applyFill="1" applyAlignment="1">
      <alignment horizontal="right"/>
    </xf>
    <xf numFmtId="0" fontId="6" fillId="9" borderId="0" xfId="0" applyFont="1" applyFill="1"/>
    <xf numFmtId="175" fontId="6" fillId="9" borderId="0" xfId="0" applyNumberFormat="1" applyFont="1" applyFill="1"/>
    <xf numFmtId="165" fontId="6" fillId="9" borderId="0" xfId="0" applyNumberFormat="1" applyFont="1" applyFill="1"/>
    <xf numFmtId="182" fontId="6" fillId="9" borderId="0" xfId="0" applyNumberFormat="1" applyFont="1" applyFill="1"/>
    <xf numFmtId="182" fontId="6" fillId="9" borderId="0" xfId="0" applyNumberFormat="1" applyFont="1" applyFill="1" applyAlignment="1">
      <alignment horizontal="right"/>
    </xf>
    <xf numFmtId="0" fontId="6" fillId="10" borderId="0" xfId="0" applyFont="1" applyFill="1" applyAlignment="1">
      <alignment horizontal="right"/>
    </xf>
    <xf numFmtId="44" fontId="6" fillId="9" borderId="0" xfId="0" applyNumberFormat="1" applyFont="1" applyFill="1"/>
    <xf numFmtId="44" fontId="6" fillId="8" borderId="0" xfId="0" applyNumberFormat="1" applyFont="1" applyFill="1"/>
    <xf numFmtId="44" fontId="6" fillId="10" borderId="0" xfId="0" applyNumberFormat="1" applyFont="1" applyFill="1"/>
    <xf numFmtId="165" fontId="6" fillId="10" borderId="0" xfId="0" applyNumberFormat="1" applyFont="1" applyFill="1" applyAlignment="1">
      <alignment horizontal="right"/>
    </xf>
    <xf numFmtId="165" fontId="6" fillId="9" borderId="0" xfId="0" applyNumberFormat="1" applyFont="1" applyFill="1" applyAlignment="1">
      <alignment horizontal="right"/>
    </xf>
    <xf numFmtId="165" fontId="6" fillId="8" borderId="0" xfId="0" applyNumberFormat="1" applyFont="1" applyFill="1" applyAlignment="1">
      <alignment horizontal="right"/>
    </xf>
    <xf numFmtId="0" fontId="2" fillId="0" borderId="36" xfId="0" applyFont="1" applyBorder="1"/>
    <xf numFmtId="0" fontId="2" fillId="0" borderId="34" xfId="0" applyFont="1" applyBorder="1"/>
    <xf numFmtId="175" fontId="2" fillId="0" borderId="34" xfId="0" applyNumberFormat="1" applyFont="1" applyBorder="1"/>
    <xf numFmtId="165" fontId="2" fillId="0" borderId="34" xfId="0" applyNumberFormat="1" applyFont="1" applyBorder="1"/>
    <xf numFmtId="182" fontId="2" fillId="0" borderId="34" xfId="0" applyNumberFormat="1" applyFont="1" applyBorder="1"/>
    <xf numFmtId="182" fontId="2" fillId="0" borderId="35" xfId="0" applyNumberFormat="1" applyFont="1" applyBorder="1"/>
    <xf numFmtId="39" fontId="2" fillId="0" borderId="34" xfId="0" applyNumberFormat="1" applyFont="1" applyBorder="1"/>
    <xf numFmtId="2" fontId="6" fillId="10" borderId="0" xfId="0" applyNumberFormat="1" applyFont="1" applyFill="1"/>
    <xf numFmtId="188" fontId="6" fillId="5" borderId="34" xfId="0" applyNumberFormat="1" applyFont="1" applyFill="1" applyBorder="1"/>
    <xf numFmtId="182" fontId="2" fillId="0" borderId="35" xfId="0" applyNumberFormat="1" applyFont="1" applyBorder="1" applyAlignment="1">
      <alignment horizontal="right"/>
    </xf>
    <xf numFmtId="39" fontId="2" fillId="0" borderId="34" xfId="0" applyNumberFormat="1" applyFont="1" applyBorder="1" applyAlignment="1">
      <alignment horizontal="right"/>
    </xf>
    <xf numFmtId="0" fontId="7" fillId="8" borderId="40" xfId="0" applyFont="1" applyFill="1" applyBorder="1" applyAlignment="1">
      <alignment horizontal="centerContinuous"/>
    </xf>
    <xf numFmtId="0" fontId="7" fillId="9" borderId="40" xfId="0" applyFont="1" applyFill="1" applyBorder="1" applyAlignment="1">
      <alignment horizontal="centerContinuous"/>
    </xf>
    <xf numFmtId="175" fontId="6" fillId="0" borderId="34" xfId="0" applyNumberFormat="1" applyFont="1" applyFill="1" applyBorder="1"/>
    <xf numFmtId="188" fontId="6" fillId="0" borderId="35" xfId="0" applyNumberFormat="1" applyFont="1" applyBorder="1"/>
    <xf numFmtId="187" fontId="7" fillId="5" borderId="35" xfId="0" applyNumberFormat="1" applyFont="1" applyFill="1" applyBorder="1"/>
    <xf numFmtId="44" fontId="6" fillId="0" borderId="0" xfId="0" applyNumberFormat="1" applyFont="1" applyAlignment="1">
      <alignment horizontal="centerContinuous"/>
    </xf>
    <xf numFmtId="175" fontId="7" fillId="5" borderId="0" xfId="0" applyNumberFormat="1" applyFont="1" applyFill="1" applyBorder="1" applyAlignment="1">
      <alignment horizontal="centerContinuous"/>
    </xf>
    <xf numFmtId="165" fontId="7" fillId="5" borderId="0" xfId="0" applyNumberFormat="1" applyFont="1" applyFill="1" applyBorder="1" applyAlignment="1">
      <alignment horizontal="centerContinuous"/>
    </xf>
    <xf numFmtId="165" fontId="7" fillId="5" borderId="0" xfId="0" applyNumberFormat="1" applyFont="1" applyFill="1" applyBorder="1" applyAlignment="1">
      <alignment horizontal="left"/>
    </xf>
    <xf numFmtId="171" fontId="6" fillId="0" borderId="0" xfId="0" applyNumberFormat="1" applyFont="1"/>
    <xf numFmtId="0" fontId="21" fillId="5" borderId="1" xfId="2" applyFont="1" applyFill="1" applyBorder="1" applyAlignment="1">
      <alignment horizontal="left" vertical="center"/>
    </xf>
    <xf numFmtId="0" fontId="21" fillId="5" borderId="16" xfId="2" applyFont="1" applyFill="1" applyBorder="1" applyAlignment="1">
      <alignment horizontal="center" vertical="center"/>
    </xf>
    <xf numFmtId="0" fontId="21" fillId="5" borderId="16" xfId="2" applyFont="1" applyFill="1" applyBorder="1" applyAlignment="1">
      <alignment horizontal="left" vertical="center"/>
    </xf>
    <xf numFmtId="0" fontId="21" fillId="5" borderId="17" xfId="2" applyFont="1" applyFill="1" applyBorder="1" applyAlignment="1">
      <alignment horizontal="right" vertical="center"/>
    </xf>
    <xf numFmtId="0" fontId="7" fillId="11" borderId="24" xfId="2" applyFont="1" applyFill="1" applyBorder="1"/>
    <xf numFmtId="37" fontId="6" fillId="11" borderId="18" xfId="2" applyNumberFormat="1" applyFont="1" applyFill="1" applyBorder="1" applyAlignment="1">
      <alignment horizontal="right"/>
    </xf>
    <xf numFmtId="171" fontId="19" fillId="11" borderId="0" xfId="3" applyNumberFormat="1" applyFont="1" applyFill="1" applyAlignment="1">
      <alignment horizontal="center"/>
    </xf>
    <xf numFmtId="185" fontId="22" fillId="11" borderId="12" xfId="2" applyNumberFormat="1" applyFont="1" applyFill="1" applyBorder="1" applyAlignment="1">
      <alignment horizontal="center" vertical="center"/>
    </xf>
    <xf numFmtId="0" fontId="7" fillId="11" borderId="11" xfId="2" applyFont="1" applyFill="1" applyBorder="1"/>
    <xf numFmtId="37" fontId="6" fillId="11" borderId="0" xfId="2" applyNumberFormat="1" applyFont="1" applyFill="1" applyAlignment="1">
      <alignment horizontal="right"/>
    </xf>
    <xf numFmtId="171" fontId="6" fillId="11" borderId="0" xfId="3" applyNumberFormat="1" applyFont="1" applyFill="1" applyBorder="1" applyAlignment="1">
      <alignment horizontal="center"/>
    </xf>
    <xf numFmtId="0" fontId="25" fillId="7" borderId="0" xfId="7" applyFont="1" applyFill="1" applyAlignment="1">
      <alignment horizontal="center"/>
    </xf>
    <xf numFmtId="0" fontId="25" fillId="7" borderId="0" xfId="7" applyFont="1" applyFill="1"/>
    <xf numFmtId="0" fontId="1" fillId="7" borderId="0" xfId="7" applyFill="1"/>
    <xf numFmtId="0" fontId="1" fillId="0" borderId="0" xfId="7"/>
    <xf numFmtId="0" fontId="23" fillId="0" borderId="22" xfId="7" applyFont="1" applyBorder="1" applyAlignment="1">
      <alignment horizontal="centerContinuous"/>
    </xf>
    <xf numFmtId="0" fontId="26" fillId="0" borderId="0" xfId="7" applyFont="1" applyAlignment="1">
      <alignment horizontal="centerContinuous"/>
    </xf>
    <xf numFmtId="0" fontId="7" fillId="7" borderId="0" xfId="7" applyFont="1" applyFill="1" applyAlignment="1">
      <alignment horizontal="center"/>
    </xf>
    <xf numFmtId="0" fontId="27" fillId="7" borderId="18" xfId="7" applyFont="1" applyFill="1" applyBorder="1"/>
    <xf numFmtId="2" fontId="19" fillId="0" borderId="42" xfId="7" applyNumberFormat="1" applyFont="1" applyBorder="1" applyAlignment="1">
      <alignment horizontal="right"/>
    </xf>
    <xf numFmtId="0" fontId="27" fillId="0" borderId="0" xfId="7" applyFont="1"/>
    <xf numFmtId="0" fontId="26" fillId="0" borderId="0" xfId="7" applyFont="1"/>
    <xf numFmtId="0" fontId="27" fillId="0" borderId="34" xfId="7" applyFont="1" applyBorder="1" applyAlignment="1">
      <alignment horizontal="center"/>
    </xf>
    <xf numFmtId="0" fontId="27" fillId="0" borderId="42" xfId="7" applyFont="1" applyBorder="1" applyAlignment="1">
      <alignment horizontal="center"/>
    </xf>
    <xf numFmtId="0" fontId="6" fillId="7" borderId="0" xfId="7" applyFont="1" applyFill="1"/>
    <xf numFmtId="0" fontId="27" fillId="0" borderId="36" xfId="7" applyFont="1" applyBorder="1" applyAlignment="1">
      <alignment horizontal="center"/>
    </xf>
    <xf numFmtId="10" fontId="6" fillId="7" borderId="0" xfId="8" applyNumberFormat="1" applyFont="1" applyFill="1" applyBorder="1"/>
    <xf numFmtId="0" fontId="27" fillId="7" borderId="0" xfId="7" applyFont="1" applyFill="1"/>
    <xf numFmtId="2" fontId="6" fillId="7" borderId="43" xfId="7" applyNumberFormat="1" applyFont="1" applyFill="1" applyBorder="1" applyAlignment="1">
      <alignment horizontal="right"/>
    </xf>
    <xf numFmtId="10" fontId="19" fillId="0" borderId="43" xfId="1" applyNumberFormat="1" applyFont="1" applyFill="1" applyBorder="1" applyAlignment="1">
      <alignment horizontal="right"/>
    </xf>
    <xf numFmtId="3" fontId="19" fillId="0" borderId="18" xfId="9" applyNumberFormat="1" applyFont="1" applyFill="1" applyBorder="1" applyAlignment="1">
      <alignment horizontal="center"/>
    </xf>
    <xf numFmtId="3" fontId="19" fillId="0" borderId="42" xfId="9" applyNumberFormat="1" applyFont="1" applyFill="1" applyBorder="1" applyAlignment="1">
      <alignment horizontal="center"/>
    </xf>
    <xf numFmtId="0" fontId="7" fillId="7" borderId="0" xfId="7" applyFont="1" applyFill="1"/>
    <xf numFmtId="0" fontId="27" fillId="0" borderId="41" xfId="7" applyFont="1" applyBorder="1" applyAlignment="1">
      <alignment horizontal="left"/>
    </xf>
    <xf numFmtId="0" fontId="27" fillId="0" borderId="18" xfId="7" applyFont="1" applyBorder="1" applyAlignment="1">
      <alignment horizontal="center"/>
    </xf>
    <xf numFmtId="183" fontId="27" fillId="0" borderId="18" xfId="7" applyNumberFormat="1" applyFont="1" applyBorder="1" applyAlignment="1">
      <alignment horizontal="center"/>
    </xf>
    <xf numFmtId="10" fontId="6" fillId="7" borderId="0" xfId="7" applyNumberFormat="1" applyFont="1" applyFill="1"/>
    <xf numFmtId="2" fontId="27" fillId="7" borderId="0" xfId="9" applyNumberFormat="1" applyFont="1" applyFill="1"/>
    <xf numFmtId="2" fontId="19" fillId="0" borderId="43" xfId="9" applyNumberFormat="1" applyFont="1" applyBorder="1" applyAlignment="1">
      <alignment horizontal="right"/>
    </xf>
    <xf numFmtId="10" fontId="6" fillId="0" borderId="43" xfId="1" applyNumberFormat="1" applyFont="1" applyFill="1" applyBorder="1" applyAlignment="1">
      <alignment horizontal="right"/>
    </xf>
    <xf numFmtId="169" fontId="19" fillId="0" borderId="0" xfId="1" applyNumberFormat="1" applyFont="1" applyFill="1" applyBorder="1" applyAlignment="1">
      <alignment horizontal="center"/>
    </xf>
    <xf numFmtId="169" fontId="6" fillId="0" borderId="0" xfId="1" applyNumberFormat="1" applyFont="1" applyFill="1" applyBorder="1" applyAlignment="1">
      <alignment horizontal="center"/>
    </xf>
    <xf numFmtId="169" fontId="6" fillId="0" borderId="43" xfId="1" applyNumberFormat="1" applyFont="1" applyFill="1" applyBorder="1" applyAlignment="1">
      <alignment horizontal="center"/>
    </xf>
    <xf numFmtId="0" fontId="29" fillId="7" borderId="0" xfId="7" applyFont="1" applyFill="1"/>
    <xf numFmtId="0" fontId="27" fillId="0" borderId="18" xfId="7" applyFont="1" applyBorder="1"/>
    <xf numFmtId="183" fontId="19" fillId="0" borderId="43" xfId="7" applyNumberFormat="1" applyFont="1" applyBorder="1" applyAlignment="1">
      <alignment horizontal="right"/>
    </xf>
    <xf numFmtId="10" fontId="6" fillId="0" borderId="43" xfId="14" quotePrefix="1" applyNumberFormat="1" applyFont="1" applyFill="1" applyBorder="1" applyAlignment="1">
      <alignment horizontal="right"/>
    </xf>
    <xf numFmtId="37" fontId="19" fillId="0" borderId="0" xfId="9" applyNumberFormat="1" applyFont="1" applyFill="1" applyBorder="1" applyAlignment="1">
      <alignment horizontal="center"/>
    </xf>
    <xf numFmtId="37" fontId="19" fillId="0" borderId="43" xfId="9" applyNumberFormat="1" applyFont="1" applyFill="1" applyBorder="1" applyAlignment="1">
      <alignment horizontal="center"/>
    </xf>
    <xf numFmtId="10" fontId="6" fillId="7" borderId="0" xfId="8" applyNumberFormat="1" applyFont="1" applyFill="1"/>
    <xf numFmtId="0" fontId="27" fillId="0" borderId="38" xfId="7" applyFont="1" applyBorder="1" applyAlignment="1">
      <alignment horizontal="left"/>
    </xf>
    <xf numFmtId="0" fontId="27" fillId="0" borderId="0" xfId="7" applyFont="1" applyAlignment="1">
      <alignment horizontal="center"/>
    </xf>
    <xf numFmtId="183" fontId="27" fillId="0" borderId="0" xfId="7" applyNumberFormat="1" applyFont="1" applyAlignment="1">
      <alignment horizontal="center"/>
    </xf>
    <xf numFmtId="2" fontId="19" fillId="0" borderId="43" xfId="8" applyNumberFormat="1" applyFont="1" applyFill="1" applyBorder="1" applyAlignment="1">
      <alignment horizontal="right"/>
    </xf>
    <xf numFmtId="169" fontId="19" fillId="0" borderId="43" xfId="1" applyNumberFormat="1" applyFont="1" applyFill="1" applyBorder="1" applyAlignment="1">
      <alignment horizontal="right"/>
    </xf>
    <xf numFmtId="0" fontId="6" fillId="7" borderId="38" xfId="7" applyFont="1" applyFill="1" applyBorder="1"/>
    <xf numFmtId="165" fontId="19" fillId="7" borderId="0" xfId="1" applyNumberFormat="1" applyFont="1" applyFill="1" applyBorder="1" applyAlignment="1">
      <alignment horizontal="center"/>
    </xf>
    <xf numFmtId="165" fontId="19" fillId="7" borderId="43" xfId="1" applyNumberFormat="1" applyFont="1" applyFill="1" applyBorder="1" applyAlignment="1">
      <alignment horizontal="center"/>
    </xf>
    <xf numFmtId="0" fontId="27" fillId="7" borderId="38" xfId="7" applyFont="1" applyFill="1" applyBorder="1"/>
    <xf numFmtId="3" fontId="6" fillId="0" borderId="43" xfId="14" applyNumberFormat="1" applyFont="1" applyFill="1" applyBorder="1" applyAlignment="1">
      <alignment horizontal="right"/>
    </xf>
    <xf numFmtId="2" fontId="19" fillId="0" borderId="43" xfId="8" quotePrefix="1" applyNumberFormat="1" applyFont="1" applyFill="1" applyBorder="1" applyAlignment="1">
      <alignment horizontal="right"/>
    </xf>
    <xf numFmtId="169" fontId="19" fillId="0" borderId="43" xfId="1" applyNumberFormat="1" applyFont="1" applyFill="1" applyBorder="1" applyAlignment="1">
      <alignment horizontal="center"/>
    </xf>
    <xf numFmtId="0" fontId="6" fillId="7" borderId="0" xfId="7" applyFont="1" applyFill="1" applyAlignment="1">
      <alignment horizontal="center"/>
    </xf>
    <xf numFmtId="0" fontId="29" fillId="7" borderId="0" xfId="7" applyFont="1" applyFill="1" applyAlignment="1">
      <alignment horizontal="center"/>
    </xf>
    <xf numFmtId="10" fontId="19" fillId="0" borderId="43" xfId="8" applyNumberFormat="1" applyFont="1" applyFill="1" applyBorder="1" applyAlignment="1">
      <alignment horizontal="right"/>
    </xf>
    <xf numFmtId="171" fontId="19" fillId="0" borderId="0" xfId="8" applyNumberFormat="1" applyFont="1" applyFill="1" applyBorder="1" applyAlignment="1">
      <alignment horizontal="center"/>
    </xf>
    <xf numFmtId="171" fontId="19" fillId="0" borderId="43" xfId="8" applyNumberFormat="1" applyFont="1" applyFill="1" applyBorder="1" applyAlignment="1">
      <alignment horizontal="center"/>
    </xf>
    <xf numFmtId="10" fontId="30" fillId="7" borderId="0" xfId="8" applyNumberFormat="1" applyFont="1" applyFill="1" applyBorder="1" applyAlignment="1">
      <alignment horizontal="center"/>
    </xf>
    <xf numFmtId="172" fontId="19" fillId="0" borderId="0" xfId="10" quotePrefix="1" applyNumberFormat="1" applyFont="1" applyFill="1" applyBorder="1" applyAlignment="1">
      <alignment horizontal="center"/>
    </xf>
    <xf numFmtId="172" fontId="19" fillId="0" borderId="43" xfId="10" quotePrefix="1" applyNumberFormat="1" applyFont="1" applyFill="1" applyBorder="1" applyAlignment="1">
      <alignment horizontal="center"/>
    </xf>
    <xf numFmtId="10" fontId="6" fillId="0" borderId="0" xfId="8" applyNumberFormat="1" applyFont="1" applyFill="1" applyBorder="1" applyAlignment="1">
      <alignment horizontal="center"/>
    </xf>
    <xf numFmtId="0" fontId="27" fillId="0" borderId="22" xfId="7" applyFont="1" applyBorder="1"/>
    <xf numFmtId="0" fontId="27" fillId="0" borderId="22" xfId="7" applyFont="1" applyBorder="1" applyAlignment="1">
      <alignment horizontal="center"/>
    </xf>
    <xf numFmtId="183" fontId="27" fillId="0" borderId="22" xfId="7" applyNumberFormat="1" applyFont="1" applyBorder="1" applyAlignment="1">
      <alignment horizontal="center"/>
    </xf>
    <xf numFmtId="0" fontId="27" fillId="7" borderId="22" xfId="7" applyFont="1" applyFill="1" applyBorder="1"/>
    <xf numFmtId="10" fontId="19" fillId="0" borderId="37" xfId="8" applyNumberFormat="1" applyFont="1" applyFill="1" applyBorder="1" applyAlignment="1">
      <alignment horizontal="right"/>
    </xf>
    <xf numFmtId="0" fontId="27" fillId="0" borderId="33" xfId="7" applyFont="1" applyBorder="1" applyAlignment="1">
      <alignment horizontal="left"/>
    </xf>
    <xf numFmtId="169" fontId="19" fillId="0" borderId="37" xfId="1" applyNumberFormat="1" applyFont="1" applyFill="1" applyBorder="1" applyAlignment="1">
      <alignment horizontal="right"/>
    </xf>
    <xf numFmtId="172" fontId="19" fillId="0" borderId="22" xfId="7" quotePrefix="1" applyNumberFormat="1" applyFont="1" applyBorder="1" applyAlignment="1">
      <alignment horizontal="center"/>
    </xf>
    <xf numFmtId="172" fontId="19" fillId="0" borderId="37" xfId="7" quotePrefix="1" applyNumberFormat="1" applyFont="1" applyBorder="1" applyAlignment="1">
      <alignment horizontal="center"/>
    </xf>
    <xf numFmtId="0" fontId="1" fillId="0" borderId="0" xfId="7" applyAlignment="1">
      <alignment horizontal="center"/>
    </xf>
    <xf numFmtId="44" fontId="6" fillId="7" borderId="0" xfId="7" applyNumberFormat="1" applyFont="1" applyFill="1"/>
    <xf numFmtId="0" fontId="27" fillId="0" borderId="33" xfId="7" applyFont="1" applyBorder="1"/>
    <xf numFmtId="0" fontId="27" fillId="0" borderId="22" xfId="7" applyFont="1" applyBorder="1" applyAlignment="1">
      <alignment wrapText="1"/>
    </xf>
    <xf numFmtId="183" fontId="27" fillId="0" borderId="22" xfId="8" quotePrefix="1" applyNumberFormat="1" applyFont="1" applyFill="1" applyBorder="1" applyAlignment="1">
      <alignment horizontal="center"/>
    </xf>
    <xf numFmtId="0" fontId="31" fillId="7" borderId="0" xfId="7" applyFont="1" applyFill="1"/>
    <xf numFmtId="165" fontId="6" fillId="7" borderId="0" xfId="7" applyNumberFormat="1" applyFont="1" applyFill="1"/>
    <xf numFmtId="0" fontId="6" fillId="7" borderId="0" xfId="7" applyFont="1" applyFill="1" applyAlignment="1">
      <alignment horizontal="right"/>
    </xf>
    <xf numFmtId="0" fontId="2" fillId="7" borderId="0" xfId="7" applyFont="1" applyFill="1" applyAlignment="1">
      <alignment horizontal="right"/>
    </xf>
    <xf numFmtId="0" fontId="32" fillId="7" borderId="0" xfId="7" applyFont="1" applyFill="1"/>
    <xf numFmtId="0" fontId="32" fillId="0" borderId="0" xfId="7" applyFont="1" applyAlignment="1">
      <alignment horizontal="right"/>
    </xf>
    <xf numFmtId="0" fontId="23" fillId="0" borderId="0" xfId="7" applyFont="1" applyAlignment="1">
      <alignment horizontal="centerContinuous"/>
    </xf>
    <xf numFmtId="0" fontId="27" fillId="7" borderId="0" xfId="7" applyFont="1" applyFill="1" applyAlignment="1">
      <alignment horizontal="centerContinuous"/>
    </xf>
    <xf numFmtId="0" fontId="33" fillId="7" borderId="34" xfId="7" applyFont="1" applyFill="1" applyBorder="1" applyAlignment="1">
      <alignment horizontal="center"/>
    </xf>
    <xf numFmtId="0" fontId="27" fillId="0" borderId="35" xfId="7" applyFont="1" applyBorder="1" applyAlignment="1">
      <alignment horizontal="center"/>
    </xf>
    <xf numFmtId="0" fontId="6" fillId="0" borderId="0" xfId="7" applyFont="1"/>
    <xf numFmtId="0" fontId="27" fillId="0" borderId="36" xfId="7" applyFont="1" applyBorder="1" applyAlignment="1">
      <alignment horizontal="left"/>
    </xf>
    <xf numFmtId="0" fontId="28" fillId="0" borderId="34" xfId="7" applyFont="1" applyBorder="1" applyAlignment="1">
      <alignment horizontal="left"/>
    </xf>
    <xf numFmtId="183" fontId="27" fillId="0" borderId="34" xfId="7" applyNumberFormat="1" applyFont="1" applyBorder="1" applyAlignment="1">
      <alignment horizontal="center"/>
    </xf>
    <xf numFmtId="169" fontId="27" fillId="0" borderId="34" xfId="1" applyNumberFormat="1" applyFont="1" applyBorder="1" applyAlignment="1">
      <alignment horizontal="center"/>
    </xf>
    <xf numFmtId="169" fontId="6" fillId="7" borderId="34" xfId="1" applyNumberFormat="1" applyFont="1" applyFill="1" applyBorder="1" applyAlignment="1">
      <alignment horizontal="center"/>
    </xf>
    <xf numFmtId="169" fontId="27" fillId="0" borderId="35" xfId="1" applyNumberFormat="1" applyFont="1" applyBorder="1" applyAlignment="1">
      <alignment horizontal="center"/>
    </xf>
    <xf numFmtId="169" fontId="27" fillId="0" borderId="18" xfId="1" applyNumberFormat="1" applyFont="1" applyBorder="1" applyAlignment="1">
      <alignment horizontal="center"/>
    </xf>
    <xf numFmtId="169" fontId="6" fillId="7" borderId="18" xfId="1" applyNumberFormat="1" applyFont="1" applyFill="1" applyBorder="1" applyAlignment="1">
      <alignment horizontal="center"/>
    </xf>
    <xf numFmtId="169" fontId="27" fillId="0" borderId="42" xfId="1" applyNumberFormat="1" applyFont="1" applyBorder="1" applyAlignment="1">
      <alignment horizontal="center"/>
    </xf>
    <xf numFmtId="181" fontId="6" fillId="7" borderId="0" xfId="7" applyNumberFormat="1" applyFont="1" applyFill="1"/>
    <xf numFmtId="169" fontId="27" fillId="0" borderId="0" xfId="1" applyNumberFormat="1" applyFont="1" applyBorder="1" applyAlignment="1">
      <alignment horizontal="center"/>
    </xf>
    <xf numFmtId="169" fontId="6" fillId="7" borderId="0" xfId="1" applyNumberFormat="1" applyFont="1" applyFill="1" applyBorder="1" applyAlignment="1">
      <alignment horizontal="center"/>
    </xf>
    <xf numFmtId="169" fontId="27" fillId="0" borderId="43" xfId="1" applyNumberFormat="1" applyFont="1" applyBorder="1" applyAlignment="1">
      <alignment horizontal="center"/>
    </xf>
    <xf numFmtId="0" fontId="24" fillId="0" borderId="0" xfId="7" applyFont="1"/>
    <xf numFmtId="44" fontId="6" fillId="7" borderId="0" xfId="11" applyFont="1" applyFill="1"/>
    <xf numFmtId="172" fontId="27" fillId="0" borderId="0" xfId="7" applyNumberFormat="1" applyFont="1" applyAlignment="1">
      <alignment horizontal="center"/>
    </xf>
    <xf numFmtId="2" fontId="6" fillId="7" borderId="0" xfId="7" applyNumberFormat="1" applyFont="1" applyFill="1"/>
    <xf numFmtId="0" fontId="27" fillId="0" borderId="36" xfId="7" applyFont="1" applyBorder="1"/>
    <xf numFmtId="0" fontId="27" fillId="0" borderId="34" xfId="7" applyFont="1" applyBorder="1" applyAlignment="1">
      <alignment wrapText="1"/>
    </xf>
    <xf numFmtId="165" fontId="27" fillId="0" borderId="34" xfId="7" applyNumberFormat="1" applyFont="1" applyBorder="1" applyAlignment="1">
      <alignment horizontal="center"/>
    </xf>
    <xf numFmtId="165" fontId="27" fillId="0" borderId="35" xfId="7" applyNumberFormat="1" applyFont="1" applyBorder="1" applyAlignment="1">
      <alignment horizontal="center"/>
    </xf>
    <xf numFmtId="182" fontId="6" fillId="7" borderId="0" xfId="7" applyNumberFormat="1" applyFont="1" applyFill="1"/>
    <xf numFmtId="43" fontId="6" fillId="7" borderId="0" xfId="7" applyNumberFormat="1" applyFont="1" applyFill="1"/>
    <xf numFmtId="172" fontId="27" fillId="0" borderId="0" xfId="8" applyNumberFormat="1" applyFont="1" applyFill="1" applyBorder="1" applyAlignment="1">
      <alignment horizontal="center"/>
    </xf>
    <xf numFmtId="171" fontId="6" fillId="7" borderId="0" xfId="7" applyNumberFormat="1" applyFont="1" applyFill="1"/>
    <xf numFmtId="0" fontId="34" fillId="0" borderId="0" xfId="7" applyFont="1" applyAlignment="1">
      <alignment horizontal="right"/>
    </xf>
    <xf numFmtId="169" fontId="6" fillId="7" borderId="0" xfId="12" applyNumberFormat="1" applyFont="1" applyFill="1"/>
    <xf numFmtId="3" fontId="6" fillId="7" borderId="0" xfId="7" applyNumberFormat="1" applyFont="1" applyFill="1"/>
    <xf numFmtId="0" fontId="7" fillId="0" borderId="0" xfId="0" applyFont="1"/>
    <xf numFmtId="169" fontId="6" fillId="7" borderId="0" xfId="1" applyNumberFormat="1" applyFont="1" applyFill="1" applyBorder="1"/>
    <xf numFmtId="9" fontId="6" fillId="7" borderId="0" xfId="12" applyFont="1" applyFill="1"/>
    <xf numFmtId="169" fontId="27" fillId="7" borderId="0" xfId="1" applyNumberFormat="1" applyFont="1" applyFill="1" applyBorder="1" applyAlignment="1">
      <alignment horizontal="center"/>
    </xf>
    <xf numFmtId="0" fontId="22" fillId="7" borderId="0" xfId="7" applyFont="1" applyFill="1"/>
    <xf numFmtId="186" fontId="0" fillId="0" borderId="0" xfId="14" applyNumberFormat="1" applyFont="1" applyFill="1"/>
    <xf numFmtId="169" fontId="0" fillId="0" borderId="0" xfId="1" applyNumberFormat="1" applyFont="1" applyFill="1"/>
    <xf numFmtId="172" fontId="0" fillId="0" borderId="0" xfId="0" applyNumberFormat="1"/>
    <xf numFmtId="2" fontId="0" fillId="0" borderId="0" xfId="0" applyNumberFormat="1"/>
    <xf numFmtId="0" fontId="0" fillId="7" borderId="0" xfId="0" applyFill="1"/>
    <xf numFmtId="186" fontId="0" fillId="7" borderId="0" xfId="0" applyNumberFormat="1" applyFill="1"/>
    <xf numFmtId="43" fontId="0" fillId="7" borderId="0" xfId="0" applyNumberFormat="1" applyFill="1"/>
    <xf numFmtId="169" fontId="0" fillId="7" borderId="0" xfId="1" applyNumberFormat="1" applyFont="1" applyFill="1" applyBorder="1"/>
    <xf numFmtId="186" fontId="0" fillId="7" borderId="0" xfId="14" applyNumberFormat="1" applyFont="1" applyFill="1" applyBorder="1"/>
    <xf numFmtId="189" fontId="0" fillId="7" borderId="0" xfId="0" applyNumberFormat="1" applyFill="1"/>
    <xf numFmtId="2" fontId="0" fillId="7" borderId="0" xfId="0" applyNumberFormat="1" applyFill="1"/>
    <xf numFmtId="190" fontId="6" fillId="8" borderId="18" xfId="0" applyNumberFormat="1" applyFont="1" applyFill="1" applyBorder="1"/>
    <xf numFmtId="190" fontId="6" fillId="8" borderId="0" xfId="0" applyNumberFormat="1" applyFont="1" applyFill="1" applyBorder="1"/>
    <xf numFmtId="190" fontId="6" fillId="9" borderId="0" xfId="0" applyNumberFormat="1" applyFont="1" applyFill="1" applyBorder="1"/>
    <xf numFmtId="0" fontId="6" fillId="12" borderId="39" xfId="0" applyFont="1" applyFill="1" applyBorder="1" applyAlignment="1">
      <alignment horizontal="centerContinuous"/>
    </xf>
    <xf numFmtId="165" fontId="14" fillId="4" borderId="0" xfId="0" applyNumberFormat="1" applyFont="1" applyFill="1" applyBorder="1" applyAlignment="1"/>
    <xf numFmtId="175" fontId="15" fillId="4" borderId="18" xfId="0" applyNumberFormat="1" applyFont="1" applyFill="1" applyBorder="1"/>
    <xf numFmtId="167" fontId="2" fillId="4" borderId="0" xfId="0" applyNumberFormat="1" applyFont="1" applyFill="1" applyBorder="1"/>
    <xf numFmtId="44" fontId="2" fillId="4" borderId="0" xfId="0" applyNumberFormat="1" applyFont="1" applyFill="1"/>
    <xf numFmtId="165" fontId="2" fillId="4" borderId="0" xfId="0" applyNumberFormat="1" applyFont="1" applyFill="1"/>
    <xf numFmtId="165" fontId="4" fillId="4" borderId="0" xfId="0" applyNumberFormat="1" applyFont="1" applyFill="1" applyBorder="1"/>
    <xf numFmtId="175" fontId="2" fillId="4" borderId="18" xfId="0" applyNumberFormat="1" applyFont="1" applyFill="1" applyBorder="1"/>
    <xf numFmtId="175" fontId="4" fillId="4" borderId="19" xfId="0" applyNumberFormat="1" applyFont="1" applyFill="1" applyBorder="1"/>
    <xf numFmtId="168" fontId="3" fillId="4" borderId="2" xfId="0" applyNumberFormat="1" applyFont="1" applyFill="1" applyBorder="1" applyAlignment="1">
      <alignment horizontal="centerContinuous"/>
    </xf>
    <xf numFmtId="168" fontId="3" fillId="4" borderId="38" xfId="0" applyNumberFormat="1" applyFont="1" applyFill="1" applyBorder="1" applyAlignment="1">
      <alignment horizontal="centerContinuous"/>
    </xf>
    <xf numFmtId="175" fontId="9" fillId="4" borderId="2" xfId="0" applyNumberFormat="1" applyFont="1" applyFill="1" applyBorder="1" applyAlignment="1">
      <alignment horizontal="center"/>
    </xf>
    <xf numFmtId="0" fontId="4" fillId="4" borderId="2" xfId="0" applyFont="1" applyFill="1" applyBorder="1" applyAlignment="1">
      <alignment horizontal="centerContinuous"/>
    </xf>
    <xf numFmtId="0" fontId="2" fillId="4" borderId="2" xfId="0" applyFont="1" applyFill="1" applyBorder="1"/>
    <xf numFmtId="165" fontId="14" fillId="4" borderId="2" xfId="0" applyNumberFormat="1" applyFont="1" applyFill="1" applyBorder="1" applyAlignment="1"/>
    <xf numFmtId="168" fontId="4" fillId="4" borderId="2" xfId="0" applyNumberFormat="1" applyFont="1" applyFill="1" applyBorder="1" applyAlignment="1">
      <alignment horizontal="centerContinuous"/>
    </xf>
    <xf numFmtId="0" fontId="7" fillId="5" borderId="6" xfId="0" applyFont="1" applyFill="1" applyBorder="1" applyAlignment="1">
      <alignment horizontal="centerContinuous"/>
    </xf>
    <xf numFmtId="0" fontId="6" fillId="5" borderId="3" xfId="0" applyFont="1" applyFill="1" applyBorder="1" applyAlignment="1">
      <alignment horizontal="centerContinuous"/>
    </xf>
    <xf numFmtId="0" fontId="6" fillId="5" borderId="7" xfId="0" applyFont="1" applyFill="1" applyBorder="1" applyAlignment="1">
      <alignment horizontal="centerContinuous"/>
    </xf>
    <xf numFmtId="0" fontId="6" fillId="7" borderId="0" xfId="7" applyFont="1" applyFill="1" applyBorder="1"/>
    <xf numFmtId="0" fontId="27" fillId="0" borderId="0" xfId="7" applyFont="1" applyBorder="1" applyAlignment="1">
      <alignment horizontal="left"/>
    </xf>
    <xf numFmtId="169" fontId="19" fillId="0" borderId="43" xfId="1" quotePrefix="1" applyNumberFormat="1" applyFont="1" applyFill="1" applyBorder="1" applyAlignment="1">
      <alignment horizontal="right"/>
    </xf>
    <xf numFmtId="182" fontId="2" fillId="4" borderId="0" xfId="0" applyNumberFormat="1" applyFont="1" applyFill="1" applyBorder="1"/>
    <xf numFmtId="175" fontId="4" fillId="0" borderId="38" xfId="0" applyNumberFormat="1" applyFont="1" applyFill="1" applyBorder="1"/>
    <xf numFmtId="175" fontId="8" fillId="0" borderId="2" xfId="0" applyNumberFormat="1" applyFont="1" applyFill="1" applyBorder="1"/>
    <xf numFmtId="175" fontId="4" fillId="0" borderId="0" xfId="0" applyNumberFormat="1" applyFont="1" applyFill="1" applyBorder="1"/>
    <xf numFmtId="175" fontId="4" fillId="0" borderId="43" xfId="0" applyNumberFormat="1" applyFont="1" applyFill="1" applyBorder="1"/>
    <xf numFmtId="44" fontId="4" fillId="0" borderId="38" xfId="0" applyNumberFormat="1" applyFont="1" applyFill="1" applyBorder="1"/>
    <xf numFmtId="175" fontId="15" fillId="0" borderId="0" xfId="0" applyNumberFormat="1" applyFont="1" applyFill="1" applyBorder="1"/>
    <xf numFmtId="175" fontId="15" fillId="0" borderId="38" xfId="0" applyNumberFormat="1" applyFont="1" applyFill="1" applyBorder="1"/>
    <xf numFmtId="175" fontId="15" fillId="0" borderId="43" xfId="0" applyNumberFormat="1" applyFont="1" applyFill="1" applyBorder="1"/>
    <xf numFmtId="175" fontId="8" fillId="0" borderId="38" xfId="0" applyNumberFormat="1" applyFont="1" applyFill="1" applyBorder="1"/>
    <xf numFmtId="175" fontId="4" fillId="0" borderId="18" xfId="0" applyNumberFormat="1" applyFont="1" applyFill="1" applyBorder="1" applyAlignment="1">
      <alignment horizontal="left"/>
    </xf>
    <xf numFmtId="175" fontId="4" fillId="0" borderId="41" xfId="0" applyNumberFormat="1" applyFont="1" applyFill="1" applyBorder="1" applyAlignment="1">
      <alignment horizontal="left"/>
    </xf>
    <xf numFmtId="175" fontId="4" fillId="0" borderId="20" xfId="0" applyNumberFormat="1" applyFont="1" applyFill="1" applyBorder="1" applyAlignment="1">
      <alignment horizontal="left"/>
    </xf>
    <xf numFmtId="175" fontId="4" fillId="0" borderId="42" xfId="0" applyNumberFormat="1" applyFont="1" applyFill="1" applyBorder="1" applyAlignment="1">
      <alignment horizontal="left"/>
    </xf>
    <xf numFmtId="165" fontId="4" fillId="0" borderId="38" xfId="0" applyNumberFormat="1" applyFont="1" applyBorder="1"/>
    <xf numFmtId="165" fontId="4" fillId="0" borderId="2" xfId="0" applyNumberFormat="1" applyFont="1" applyBorder="1"/>
    <xf numFmtId="165" fontId="4" fillId="0" borderId="0" xfId="0" applyNumberFormat="1" applyFont="1" applyBorder="1"/>
    <xf numFmtId="0" fontId="2" fillId="0" borderId="43" xfId="0" applyFont="1" applyBorder="1"/>
    <xf numFmtId="165" fontId="4" fillId="0" borderId="43" xfId="0" applyNumberFormat="1" applyFont="1" applyBorder="1"/>
    <xf numFmtId="175" fontId="4" fillId="0" borderId="43" xfId="0" applyNumberFormat="1" applyFont="1" applyBorder="1"/>
    <xf numFmtId="175" fontId="4" fillId="0" borderId="38" xfId="0" applyNumberFormat="1" applyFont="1" applyBorder="1"/>
    <xf numFmtId="175" fontId="8" fillId="2" borderId="38" xfId="0" applyNumberFormat="1" applyFont="1" applyFill="1" applyBorder="1"/>
    <xf numFmtId="0" fontId="27" fillId="0" borderId="0" xfId="7" applyFont="1" applyBorder="1"/>
    <xf numFmtId="0" fontId="27" fillId="0" borderId="0" xfId="7" applyFont="1" applyBorder="1" applyAlignment="1">
      <alignment horizontal="center"/>
    </xf>
    <xf numFmtId="183" fontId="27" fillId="0" borderId="0" xfId="7" applyNumberFormat="1" applyFont="1" applyBorder="1" applyAlignment="1">
      <alignment horizontal="center"/>
    </xf>
    <xf numFmtId="182" fontId="27" fillId="0" borderId="0" xfId="8" applyNumberFormat="1" applyFont="1" applyFill="1" applyBorder="1" applyAlignment="1">
      <alignment horizontal="center"/>
    </xf>
    <xf numFmtId="182" fontId="27" fillId="0" borderId="43" xfId="8" applyNumberFormat="1" applyFont="1" applyFill="1" applyBorder="1" applyAlignment="1">
      <alignment horizontal="center"/>
    </xf>
    <xf numFmtId="182" fontId="27" fillId="0" borderId="22" xfId="8" applyNumberFormat="1" applyFont="1" applyFill="1" applyBorder="1" applyAlignment="1">
      <alignment horizontal="center"/>
    </xf>
    <xf numFmtId="182" fontId="27" fillId="0" borderId="37" xfId="8" applyNumberFormat="1" applyFont="1" applyFill="1" applyBorder="1" applyAlignment="1">
      <alignment horizontal="center"/>
    </xf>
    <xf numFmtId="182" fontId="27" fillId="0" borderId="34" xfId="7" applyNumberFormat="1" applyFont="1" applyBorder="1" applyAlignment="1">
      <alignment horizontal="center"/>
    </xf>
    <xf numFmtId="182" fontId="27" fillId="0" borderId="35" xfId="7" applyNumberFormat="1" applyFont="1" applyBorder="1" applyAlignment="1">
      <alignment horizontal="center"/>
    </xf>
    <xf numFmtId="175" fontId="4" fillId="4" borderId="38" xfId="0" applyNumberFormat="1" applyFont="1" applyFill="1" applyBorder="1"/>
    <xf numFmtId="175" fontId="4" fillId="4" borderId="43" xfId="0" applyNumberFormat="1" applyFont="1" applyFill="1" applyBorder="1"/>
    <xf numFmtId="175" fontId="4" fillId="4" borderId="41" xfId="0" applyNumberFormat="1" applyFont="1" applyFill="1" applyBorder="1"/>
    <xf numFmtId="165" fontId="2" fillId="4" borderId="38" xfId="0" applyNumberFormat="1" applyFont="1" applyFill="1" applyBorder="1"/>
    <xf numFmtId="175" fontId="4" fillId="4" borderId="42" xfId="0" applyNumberFormat="1" applyFont="1" applyFill="1" applyBorder="1"/>
    <xf numFmtId="165" fontId="2" fillId="4" borderId="43" xfId="0" applyNumberFormat="1" applyFont="1" applyFill="1" applyBorder="1"/>
    <xf numFmtId="167" fontId="2" fillId="4" borderId="38" xfId="0" applyNumberFormat="1" applyFont="1" applyFill="1" applyBorder="1"/>
    <xf numFmtId="175" fontId="15" fillId="4" borderId="38" xfId="0" applyNumberFormat="1" applyFont="1" applyFill="1" applyBorder="1"/>
    <xf numFmtId="44" fontId="9" fillId="4" borderId="38" xfId="0" applyNumberFormat="1" applyFont="1" applyFill="1" applyBorder="1"/>
    <xf numFmtId="37" fontId="2" fillId="4" borderId="38" xfId="0" applyNumberFormat="1" applyFont="1" applyFill="1" applyBorder="1"/>
    <xf numFmtId="37" fontId="5" fillId="4" borderId="38" xfId="0" applyNumberFormat="1" applyFont="1" applyFill="1" applyBorder="1"/>
    <xf numFmtId="37" fontId="4" fillId="4" borderId="38" xfId="0" applyNumberFormat="1" applyFont="1" applyFill="1" applyBorder="1"/>
    <xf numFmtId="167" fontId="2" fillId="4" borderId="43" xfId="0" applyNumberFormat="1" applyFont="1" applyFill="1" applyBorder="1"/>
    <xf numFmtId="175" fontId="15" fillId="4" borderId="43" xfId="0" applyNumberFormat="1" applyFont="1" applyFill="1" applyBorder="1"/>
    <xf numFmtId="44" fontId="9" fillId="4" borderId="43" xfId="0" applyNumberFormat="1" applyFont="1" applyFill="1" applyBorder="1"/>
    <xf numFmtId="37" fontId="2" fillId="4" borderId="43" xfId="0" applyNumberFormat="1" applyFont="1" applyFill="1" applyBorder="1"/>
    <xf numFmtId="37" fontId="5" fillId="4" borderId="43" xfId="0" applyNumberFormat="1" applyFont="1" applyFill="1" applyBorder="1"/>
    <xf numFmtId="37" fontId="4" fillId="4" borderId="43" xfId="0" applyNumberFormat="1" applyFont="1" applyFill="1" applyBorder="1"/>
    <xf numFmtId="37" fontId="5" fillId="4" borderId="0" xfId="0" applyNumberFormat="1" applyFont="1" applyFill="1" applyBorder="1"/>
    <xf numFmtId="37" fontId="4" fillId="4" borderId="0" xfId="0" applyNumberFormat="1" applyFont="1" applyFill="1" applyBorder="1"/>
    <xf numFmtId="182" fontId="2" fillId="4" borderId="38" xfId="0" applyNumberFormat="1" applyFont="1" applyFill="1" applyBorder="1"/>
    <xf numFmtId="182" fontId="2" fillId="4" borderId="43" xfId="0" applyNumberFormat="1" applyFont="1" applyFill="1" applyBorder="1"/>
    <xf numFmtId="175" fontId="4" fillId="4" borderId="18" xfId="0" applyNumberFormat="1" applyFont="1" applyFill="1" applyBorder="1" applyAlignment="1">
      <alignment horizontal="left"/>
    </xf>
    <xf numFmtId="165" fontId="4" fillId="4" borderId="0" xfId="0" applyNumberFormat="1" applyFont="1" applyFill="1"/>
    <xf numFmtId="175" fontId="4" fillId="4" borderId="42" xfId="0" applyNumberFormat="1" applyFont="1" applyFill="1" applyBorder="1" applyAlignment="1">
      <alignment horizontal="left"/>
    </xf>
    <xf numFmtId="0" fontId="2" fillId="4" borderId="43" xfId="0" applyFont="1" applyFill="1" applyBorder="1"/>
    <xf numFmtId="165" fontId="4" fillId="4" borderId="43" xfId="0" applyNumberFormat="1" applyFont="1" applyFill="1" applyBorder="1"/>
    <xf numFmtId="175" fontId="9" fillId="4" borderId="38" xfId="0" applyNumberFormat="1" applyFont="1" applyFill="1" applyBorder="1"/>
    <xf numFmtId="175" fontId="9" fillId="4" borderId="43" xfId="0" applyNumberFormat="1" applyFont="1" applyFill="1" applyBorder="1"/>
    <xf numFmtId="165" fontId="6" fillId="0" borderId="18" xfId="0" applyNumberFormat="1" applyFont="1" applyBorder="1" applyAlignment="1">
      <alignment horizontal="centerContinuous"/>
    </xf>
    <xf numFmtId="167" fontId="6" fillId="0" borderId="18" xfId="0" applyNumberFormat="1" applyFont="1" applyBorder="1" applyAlignment="1">
      <alignment horizontal="centerContinuous"/>
    </xf>
    <xf numFmtId="165" fontId="6" fillId="0" borderId="29" xfId="0" applyNumberFormat="1" applyFont="1" applyBorder="1" applyAlignment="1">
      <alignment horizontal="centerContinuous"/>
    </xf>
    <xf numFmtId="165" fontId="6" fillId="0" borderId="0" xfId="0" applyNumberFormat="1" applyFont="1" applyBorder="1" applyAlignment="1">
      <alignment horizontal="centerContinuous"/>
    </xf>
    <xf numFmtId="167" fontId="6" fillId="0" borderId="0" xfId="0" applyNumberFormat="1" applyFont="1" applyBorder="1" applyAlignment="1">
      <alignment horizontal="centerContinuous"/>
    </xf>
    <xf numFmtId="165" fontId="6" fillId="0" borderId="12" xfId="0" applyNumberFormat="1" applyFont="1" applyBorder="1" applyAlignment="1">
      <alignment horizontal="centerContinuous"/>
    </xf>
    <xf numFmtId="0" fontId="4" fillId="0" borderId="0" xfId="0" applyFont="1" applyAlignment="1"/>
    <xf numFmtId="182" fontId="5" fillId="0" borderId="2" xfId="0" applyNumberFormat="1" applyFont="1" applyBorder="1"/>
    <xf numFmtId="165" fontId="2" fillId="0" borderId="0" xfId="0" applyNumberFormat="1" applyFont="1" applyAlignment="1">
      <alignment horizontal="left"/>
    </xf>
    <xf numFmtId="191" fontId="7" fillId="11" borderId="11" xfId="2" applyNumberFormat="1" applyFont="1" applyFill="1" applyBorder="1" applyAlignment="1">
      <alignment horizontal="left"/>
    </xf>
    <xf numFmtId="165" fontId="27" fillId="0" borderId="0" xfId="8" applyNumberFormat="1" applyFont="1" applyFill="1" applyBorder="1" applyAlignment="1">
      <alignment horizontal="center"/>
    </xf>
    <xf numFmtId="165" fontId="27" fillId="0" borderId="22" xfId="8" applyNumberFormat="1" applyFont="1" applyFill="1" applyBorder="1" applyAlignment="1">
      <alignment horizontal="center"/>
    </xf>
    <xf numFmtId="175" fontId="6" fillId="0" borderId="34" xfId="0" applyNumberFormat="1" applyFont="1" applyBorder="1"/>
    <xf numFmtId="172" fontId="6" fillId="0" borderId="34" xfId="0" applyNumberFormat="1" applyFont="1" applyBorder="1"/>
    <xf numFmtId="0" fontId="4" fillId="0" borderId="0" xfId="0" applyFont="1" applyFill="1" applyAlignment="1">
      <alignment horizontal="left"/>
    </xf>
    <xf numFmtId="0" fontId="3" fillId="5" borderId="9" xfId="0" applyFont="1" applyFill="1" applyBorder="1"/>
    <xf numFmtId="0" fontId="3" fillId="0" borderId="0" xfId="0" applyFont="1" applyFill="1" applyBorder="1"/>
    <xf numFmtId="165" fontId="4" fillId="0" borderId="0" xfId="0" applyNumberFormat="1" applyFont="1" applyFill="1" applyBorder="1"/>
    <xf numFmtId="0" fontId="2" fillId="8" borderId="0" xfId="0" applyFont="1" applyFill="1" applyAlignment="1">
      <alignment horizontal="left" indent="1"/>
    </xf>
    <xf numFmtId="175" fontId="4" fillId="8" borderId="2" xfId="0" applyNumberFormat="1" applyFont="1" applyFill="1" applyBorder="1"/>
    <xf numFmtId="165" fontId="14" fillId="8" borderId="2" xfId="0" applyNumberFormat="1" applyFont="1" applyFill="1" applyBorder="1" applyAlignment="1"/>
    <xf numFmtId="165" fontId="14" fillId="8" borderId="0" xfId="0" applyNumberFormat="1" applyFont="1" applyFill="1" applyBorder="1" applyAlignment="1"/>
    <xf numFmtId="165" fontId="17" fillId="8" borderId="2" xfId="0" applyNumberFormat="1" applyFont="1" applyFill="1" applyBorder="1"/>
    <xf numFmtId="169" fontId="17" fillId="8" borderId="2" xfId="0" applyNumberFormat="1" applyFont="1" applyFill="1" applyBorder="1"/>
    <xf numFmtId="165" fontId="8" fillId="8" borderId="0" xfId="0" applyNumberFormat="1" applyFont="1" applyFill="1"/>
    <xf numFmtId="0" fontId="6" fillId="8" borderId="11" xfId="0" applyFont="1" applyFill="1" applyBorder="1"/>
    <xf numFmtId="2" fontId="6" fillId="8" borderId="12" xfId="0" applyNumberFormat="1" applyFont="1" applyFill="1" applyBorder="1"/>
    <xf numFmtId="165" fontId="2" fillId="0" borderId="0" xfId="0" applyNumberFormat="1" applyFont="1" applyFill="1" applyBorder="1"/>
    <xf numFmtId="2" fontId="6" fillId="0" borderId="7" xfId="0" applyNumberFormat="1" applyFont="1" applyBorder="1"/>
    <xf numFmtId="2" fontId="19" fillId="0" borderId="12" xfId="0" applyNumberFormat="1" applyFont="1" applyBorder="1"/>
    <xf numFmtId="0" fontId="4" fillId="8" borderId="11" xfId="0" applyFont="1" applyFill="1" applyBorder="1"/>
    <xf numFmtId="0" fontId="4" fillId="8" borderId="0" xfId="0" applyFont="1" applyFill="1" applyBorder="1"/>
    <xf numFmtId="182" fontId="4" fillId="8" borderId="12" xfId="0" applyNumberFormat="1" applyFont="1" applyFill="1" applyBorder="1"/>
    <xf numFmtId="0" fontId="36" fillId="4" borderId="1" xfId="0" applyFont="1" applyFill="1" applyBorder="1"/>
    <xf numFmtId="0" fontId="36" fillId="4" borderId="16" xfId="0" applyFont="1" applyFill="1" applyBorder="1"/>
    <xf numFmtId="0" fontId="36" fillId="4" borderId="17" xfId="0" applyFont="1" applyFill="1" applyBorder="1"/>
    <xf numFmtId="0" fontId="36" fillId="0" borderId="0" xfId="0" applyFont="1" applyFill="1" applyBorder="1" applyAlignment="1">
      <alignment horizontal="centerContinuous"/>
    </xf>
    <xf numFmtId="0" fontId="35" fillId="0" borderId="0" xfId="0" applyFont="1" applyFill="1" applyBorder="1" applyAlignment="1">
      <alignment horizontal="centerContinuous"/>
    </xf>
    <xf numFmtId="192" fontId="4" fillId="6" borderId="28" xfId="0" applyNumberFormat="1" applyFont="1" applyFill="1" applyBorder="1" applyAlignment="1">
      <alignment horizontal="centerContinuous"/>
    </xf>
    <xf numFmtId="175" fontId="3" fillId="4" borderId="38" xfId="0" applyNumberFormat="1" applyFont="1" applyFill="1" applyBorder="1" applyAlignment="1">
      <alignment horizontal="center"/>
    </xf>
    <xf numFmtId="175" fontId="3" fillId="4" borderId="43" xfId="0" applyNumberFormat="1" applyFont="1" applyFill="1" applyBorder="1" applyAlignment="1">
      <alignment horizontal="center"/>
    </xf>
    <xf numFmtId="0" fontId="6" fillId="7" borderId="0" xfId="7" applyFont="1" applyFill="1" applyAlignment="1">
      <alignment horizontal="centerContinuous"/>
    </xf>
    <xf numFmtId="175" fontId="6" fillId="7" borderId="0" xfId="7" applyNumberFormat="1" applyFont="1" applyFill="1" applyBorder="1" applyAlignment="1">
      <alignment horizontal="centerContinuous"/>
    </xf>
    <xf numFmtId="165" fontId="6" fillId="7" borderId="0" xfId="7" applyNumberFormat="1" applyFont="1" applyFill="1" applyBorder="1" applyAlignment="1">
      <alignment horizontal="centerContinuous"/>
    </xf>
    <xf numFmtId="182" fontId="6" fillId="7" borderId="0" xfId="7" applyNumberFormat="1" applyFont="1" applyFill="1" applyBorder="1" applyAlignment="1">
      <alignment horizontal="centerContinuous"/>
    </xf>
    <xf numFmtId="0" fontId="7" fillId="7" borderId="34" xfId="7" applyFont="1" applyFill="1" applyBorder="1"/>
    <xf numFmtId="182" fontId="6" fillId="7" borderId="0" xfId="7" applyNumberFormat="1" applyFont="1" applyFill="1" applyBorder="1"/>
    <xf numFmtId="165" fontId="7" fillId="7" borderId="34" xfId="7" applyNumberFormat="1" applyFont="1" applyFill="1" applyBorder="1" applyAlignment="1">
      <alignment horizontal="centerContinuous"/>
    </xf>
    <xf numFmtId="182" fontId="7" fillId="7" borderId="34" xfId="7" applyNumberFormat="1" applyFont="1" applyFill="1" applyBorder="1" applyAlignment="1">
      <alignment horizontal="centerContinuous"/>
    </xf>
    <xf numFmtId="175" fontId="7" fillId="7" borderId="34" xfId="7" applyNumberFormat="1" applyFont="1" applyFill="1" applyBorder="1" applyAlignment="1">
      <alignment horizontal="centerContinuous"/>
    </xf>
    <xf numFmtId="0" fontId="23" fillId="0" borderId="0" xfId="7" applyFont="1" applyBorder="1" applyAlignment="1">
      <alignment horizontal="centerContinuous"/>
    </xf>
    <xf numFmtId="0" fontId="7" fillId="7" borderId="25" xfId="7" applyFont="1" applyFill="1" applyBorder="1"/>
    <xf numFmtId="0" fontId="7" fillId="7" borderId="26" xfId="7" applyFont="1" applyFill="1" applyBorder="1"/>
    <xf numFmtId="0" fontId="7" fillId="7" borderId="26" xfId="7" applyFont="1" applyFill="1" applyBorder="1" applyAlignment="1">
      <alignment horizontal="centerContinuous"/>
    </xf>
    <xf numFmtId="0" fontId="7" fillId="7" borderId="27" xfId="7" applyFont="1" applyFill="1" applyBorder="1" applyAlignment="1">
      <alignment horizontal="centerContinuous"/>
    </xf>
    <xf numFmtId="0" fontId="6" fillId="7" borderId="11" xfId="7" applyFont="1" applyFill="1" applyBorder="1"/>
    <xf numFmtId="0" fontId="6" fillId="7" borderId="12" xfId="7" applyFont="1" applyFill="1" applyBorder="1"/>
    <xf numFmtId="0" fontId="7" fillId="7" borderId="46" xfId="7" applyFont="1" applyFill="1" applyBorder="1"/>
    <xf numFmtId="182" fontId="7" fillId="7" borderId="47" xfId="7" applyNumberFormat="1" applyFont="1" applyFill="1" applyBorder="1" applyAlignment="1">
      <alignment horizontal="centerContinuous"/>
    </xf>
    <xf numFmtId="182" fontId="6" fillId="7" borderId="12" xfId="7" applyNumberFormat="1" applyFont="1" applyFill="1" applyBorder="1" applyAlignment="1">
      <alignment horizontal="centerContinuous"/>
    </xf>
    <xf numFmtId="0" fontId="7" fillId="7" borderId="30" xfId="7" applyFont="1" applyFill="1" applyBorder="1"/>
    <xf numFmtId="0" fontId="7" fillId="7" borderId="31" xfId="7" applyFont="1" applyFill="1" applyBorder="1"/>
    <xf numFmtId="0" fontId="7" fillId="7" borderId="31" xfId="7" applyFont="1" applyFill="1" applyBorder="1" applyAlignment="1">
      <alignment horizontal="centerContinuous"/>
    </xf>
    <xf numFmtId="165" fontId="7" fillId="7" borderId="31" xfId="7" applyNumberFormat="1" applyFont="1" applyFill="1" applyBorder="1" applyAlignment="1">
      <alignment horizontal="centerContinuous"/>
    </xf>
    <xf numFmtId="182" fontId="7" fillId="7" borderId="31" xfId="7" applyNumberFormat="1" applyFont="1" applyFill="1" applyBorder="1" applyAlignment="1">
      <alignment horizontal="centerContinuous"/>
    </xf>
    <xf numFmtId="182" fontId="7" fillId="7" borderId="32" xfId="7" applyNumberFormat="1" applyFont="1" applyFill="1" applyBorder="1" applyAlignment="1">
      <alignment horizontal="centerContinuous"/>
    </xf>
    <xf numFmtId="0" fontId="4" fillId="5" borderId="33" xfId="0" applyFont="1" applyFill="1" applyBorder="1" applyAlignment="1">
      <alignment horizontal="centerContinuous"/>
    </xf>
    <xf numFmtId="187" fontId="7" fillId="5" borderId="22" xfId="0" applyNumberFormat="1" applyFont="1" applyFill="1" applyBorder="1"/>
    <xf numFmtId="187" fontId="7" fillId="5" borderId="37" xfId="0" applyNumberFormat="1" applyFont="1" applyFill="1" applyBorder="1"/>
    <xf numFmtId="182" fontId="6" fillId="0" borderId="35" xfId="0" applyNumberFormat="1" applyFont="1" applyBorder="1"/>
    <xf numFmtId="0" fontId="6" fillId="0" borderId="0" xfId="2" applyFont="1" applyFill="1"/>
    <xf numFmtId="171" fontId="6" fillId="11" borderId="0" xfId="0" applyNumberFormat="1" applyFont="1" applyFill="1" applyAlignment="1">
      <alignment horizontal="left"/>
    </xf>
    <xf numFmtId="171" fontId="19" fillId="11" borderId="0" xfId="3" applyNumberFormat="1" applyFont="1" applyFill="1" applyAlignment="1">
      <alignment horizontal="left"/>
    </xf>
    <xf numFmtId="171" fontId="6" fillId="11" borderId="0" xfId="3" applyNumberFormat="1" applyFont="1" applyFill="1" applyBorder="1" applyAlignment="1">
      <alignment horizontal="left"/>
    </xf>
    <xf numFmtId="171" fontId="21" fillId="2" borderId="12" xfId="3" applyNumberFormat="1" applyFont="1" applyFill="1" applyBorder="1" applyAlignment="1">
      <alignment horizontal="right"/>
    </xf>
    <xf numFmtId="171" fontId="19" fillId="2" borderId="0" xfId="2" applyNumberFormat="1" applyFont="1" applyFill="1"/>
    <xf numFmtId="190" fontId="6" fillId="8" borderId="0" xfId="0" applyNumberFormat="1" applyFont="1" applyFill="1"/>
    <xf numFmtId="190" fontId="6" fillId="9" borderId="0" xfId="0" applyNumberFormat="1" applyFont="1" applyFill="1"/>
    <xf numFmtId="0" fontId="2" fillId="0" borderId="36" xfId="0" applyFont="1" applyBorder="1" applyAlignment="1">
      <alignment horizontal="left"/>
    </xf>
    <xf numFmtId="0" fontId="6" fillId="10" borderId="0" xfId="0" applyNumberFormat="1" applyFont="1" applyFill="1" applyAlignment="1">
      <alignment horizontal="right"/>
    </xf>
    <xf numFmtId="44" fontId="7" fillId="0" borderId="0" xfId="0" applyNumberFormat="1" applyFont="1"/>
    <xf numFmtId="0" fontId="6" fillId="0" borderId="0" xfId="0" applyNumberFormat="1" applyFont="1"/>
    <xf numFmtId="2" fontId="6" fillId="8" borderId="0" xfId="0" applyNumberFormat="1" applyFont="1" applyFill="1"/>
    <xf numFmtId="0" fontId="4" fillId="8" borderId="44" xfId="0" applyFont="1" applyFill="1" applyBorder="1" applyAlignment="1">
      <alignment horizontal="center" wrapText="1"/>
    </xf>
    <xf numFmtId="0" fontId="4" fillId="8" borderId="45" xfId="0" applyFont="1" applyFill="1" applyBorder="1" applyAlignment="1">
      <alignment horizontal="center" wrapText="1"/>
    </xf>
    <xf numFmtId="0" fontId="4" fillId="0" borderId="0" xfId="0" applyFont="1" applyAlignment="1">
      <alignment horizontal="center"/>
    </xf>
    <xf numFmtId="0" fontId="27" fillId="7" borderId="38" xfId="7" applyFont="1" applyFill="1" applyBorder="1" applyAlignment="1">
      <alignment horizontal="left"/>
    </xf>
    <xf numFmtId="0" fontId="27" fillId="7" borderId="0" xfId="7" applyFont="1" applyFill="1" applyAlignment="1">
      <alignment horizontal="left"/>
    </xf>
    <xf numFmtId="0" fontId="27" fillId="0" borderId="38" xfId="7" applyFont="1" applyBorder="1" applyAlignment="1">
      <alignment horizontal="left"/>
    </xf>
    <xf numFmtId="0" fontId="27" fillId="0" borderId="0" xfId="7" applyFont="1" applyAlignment="1">
      <alignment horizontal="left"/>
    </xf>
    <xf numFmtId="0" fontId="27" fillId="0" borderId="0" xfId="7" applyFont="1" applyBorder="1" applyAlignment="1">
      <alignment horizontal="left"/>
    </xf>
    <xf numFmtId="0" fontId="27" fillId="7" borderId="33" xfId="7" applyFont="1" applyFill="1" applyBorder="1" applyAlignment="1">
      <alignment horizontal="left"/>
    </xf>
    <xf numFmtId="0" fontId="27" fillId="7" borderId="22" xfId="7" applyFont="1" applyFill="1" applyBorder="1" applyAlignment="1">
      <alignment horizontal="left"/>
    </xf>
    <xf numFmtId="0" fontId="27" fillId="0" borderId="33" xfId="7" applyFont="1" applyBorder="1" applyAlignment="1">
      <alignment horizontal="left"/>
    </xf>
    <xf numFmtId="0" fontId="27" fillId="0" borderId="22" xfId="7" applyFont="1" applyBorder="1" applyAlignment="1">
      <alignment horizontal="left"/>
    </xf>
    <xf numFmtId="0" fontId="27" fillId="7" borderId="41" xfId="7" applyFont="1" applyFill="1" applyBorder="1" applyAlignment="1">
      <alignment horizontal="left"/>
    </xf>
    <xf numFmtId="0" fontId="27" fillId="7" borderId="18" xfId="7" applyFont="1" applyFill="1" applyBorder="1" applyAlignment="1">
      <alignment horizontal="left"/>
    </xf>
    <xf numFmtId="0" fontId="27" fillId="0" borderId="41" xfId="7" applyFont="1" applyBorder="1" applyAlignment="1">
      <alignment horizontal="left"/>
    </xf>
    <xf numFmtId="0" fontId="27" fillId="0" borderId="18" xfId="7" applyFont="1" applyBorder="1" applyAlignment="1">
      <alignment horizontal="left"/>
    </xf>
    <xf numFmtId="0" fontId="27" fillId="0" borderId="36" xfId="7" applyFont="1" applyBorder="1" applyAlignment="1">
      <alignment horizontal="left"/>
    </xf>
    <xf numFmtId="0" fontId="27" fillId="0" borderId="34" xfId="7" applyFont="1" applyBorder="1" applyAlignment="1">
      <alignment horizontal="left"/>
    </xf>
  </cellXfs>
  <cellStyles count="15">
    <cellStyle name="Comma" xfId="14" builtinId="3"/>
    <cellStyle name="Comma 2" xfId="6" xr:uid="{08B43EAD-3A82-453F-8DF6-9545A3C98596}"/>
    <cellStyle name="Comma 3" xfId="9" xr:uid="{4602B347-1B40-48B6-B3D9-2C4726024BA9}"/>
    <cellStyle name="Currency" xfId="13" builtinId="4"/>
    <cellStyle name="Currency 2" xfId="3" xr:uid="{E81B6FC1-480D-4CA4-B845-ACF63E4823BB}"/>
    <cellStyle name="Currency 2 2" xfId="11" xr:uid="{53355298-DC1D-4877-9778-A196B516B1F8}"/>
    <cellStyle name="Currency 2 2 2" xfId="10" xr:uid="{918E2E35-170E-43DA-825B-D1AC7001D3DE}"/>
    <cellStyle name="Normal" xfId="0" builtinId="0"/>
    <cellStyle name="Normal 2" xfId="2" xr:uid="{C7327624-E431-497A-80FD-91A3E9382113}"/>
    <cellStyle name="Normal 3" xfId="5" xr:uid="{FBD24B0A-9140-47F3-B4BC-8872AA320BEE}"/>
    <cellStyle name="Normal 3 2 2" xfId="7" xr:uid="{B491DA77-BE34-4C91-8499-BC0FDD1554F5}"/>
    <cellStyle name="Percent" xfId="1" builtinId="5"/>
    <cellStyle name="Percent 2" xfId="4" xr:uid="{E2302878-B7DB-461A-AB86-0F4E84DC365A}"/>
    <cellStyle name="Percent 2 2" xfId="8" xr:uid="{B33F9881-618E-461B-B8F8-E0C39E58C81B}"/>
    <cellStyle name="Percent 4" xfId="12" xr:uid="{90DEE507-2AEF-49C5-A1F4-B8F1848ADF06}"/>
  </cellStyles>
  <dxfs count="0"/>
  <tableStyles count="0" defaultTableStyle="TableStyleMedium2" defaultPivotStyle="PivotStyleLight16"/>
  <colors>
    <mruColors>
      <color rgb="FFFF7C80"/>
      <color rgb="FF619F61"/>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en-US" b="1">
                <a:ln>
                  <a:noFill/>
                </a:ln>
                <a:solidFill>
                  <a:schemeClr val="tx1"/>
                </a:solidFill>
                <a:latin typeface="Times New Roman" panose="02020603050405020304" pitchFamily="18" charset="0"/>
                <a:cs typeface="Times New Roman" panose="02020603050405020304" pitchFamily="18" charset="0"/>
              </a:rPr>
              <a:t>Goosehead</a:t>
            </a:r>
            <a:r>
              <a:rPr lang="en-US" b="1" baseline="0">
                <a:ln>
                  <a:noFill/>
                </a:ln>
                <a:solidFill>
                  <a:schemeClr val="tx1"/>
                </a:solidFill>
                <a:latin typeface="Times New Roman" panose="02020603050405020304" pitchFamily="18" charset="0"/>
                <a:cs typeface="Times New Roman" panose="02020603050405020304" pitchFamily="18" charset="0"/>
              </a:rPr>
              <a:t> Written Premium Growth</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lotArea>
      <c:layout/>
      <c:lineChart>
        <c:grouping val="stacked"/>
        <c:varyColors val="0"/>
        <c:ser>
          <c:idx val="3"/>
          <c:order val="0"/>
          <c:tx>
            <c:strRef>
              <c:f>'Pro Forma'!$B$10</c:f>
              <c:strCache>
                <c:ptCount val="1"/>
                <c:pt idx="0">
                  <c:v>Homeowner</c:v>
                </c:pt>
              </c:strCache>
            </c:strRef>
          </c:tx>
          <c:spPr>
            <a:ln w="28575" cap="rnd">
              <a:solidFill>
                <a:schemeClr val="accent4"/>
              </a:solidFill>
              <a:round/>
            </a:ln>
            <a:effectLst/>
          </c:spPr>
          <c:marker>
            <c:symbol val="none"/>
          </c:marker>
          <c:cat>
            <c:numRef>
              <c:f>'Pro Forma'!$C$4:$O$4</c:f>
              <c:numCache>
                <c:formatCode>"FY '"#</c:formatCode>
                <c:ptCount val="5"/>
                <c:pt idx="0">
                  <c:v>17</c:v>
                </c:pt>
                <c:pt idx="1">
                  <c:v>18</c:v>
                </c:pt>
                <c:pt idx="2">
                  <c:v>19</c:v>
                </c:pt>
                <c:pt idx="3">
                  <c:v>20</c:v>
                </c:pt>
                <c:pt idx="4">
                  <c:v>21</c:v>
                </c:pt>
              </c:numCache>
            </c:numRef>
          </c:cat>
          <c:val>
            <c:numRef>
              <c:f>'Pro Forma'!$C$10:$O$10</c:f>
              <c:numCache>
                <c:formatCode>_("$"* #,##0_);_("$"* \(#,##0\);_("$"* "-"??_);_(@_)</c:formatCode>
                <c:ptCount val="5"/>
                <c:pt idx="0">
                  <c:v>188570</c:v>
                </c:pt>
                <c:pt idx="1">
                  <c:v>270479</c:v>
                </c:pt>
                <c:pt idx="2">
                  <c:v>395572</c:v>
                </c:pt>
                <c:pt idx="3">
                  <c:v>585515</c:v>
                </c:pt>
                <c:pt idx="4">
                  <c:v>885130</c:v>
                </c:pt>
              </c:numCache>
            </c:numRef>
          </c:val>
          <c:smooth val="0"/>
          <c:extLst>
            <c:ext xmlns:c16="http://schemas.microsoft.com/office/drawing/2014/chart" uri="{C3380CC4-5D6E-409C-BE32-E72D297353CC}">
              <c16:uniqueId val="{00000003-DCC3-424A-AAC5-924A58C382AD}"/>
            </c:ext>
          </c:extLst>
        </c:ser>
        <c:ser>
          <c:idx val="4"/>
          <c:order val="1"/>
          <c:tx>
            <c:strRef>
              <c:f>'Pro Forma'!$B$13</c:f>
              <c:strCache>
                <c:ptCount val="1"/>
                <c:pt idx="0">
                  <c:v>Automotive</c:v>
                </c:pt>
              </c:strCache>
            </c:strRef>
          </c:tx>
          <c:spPr>
            <a:ln w="28575" cap="rnd">
              <a:solidFill>
                <a:schemeClr val="accent5"/>
              </a:solidFill>
              <a:round/>
            </a:ln>
            <a:effectLst/>
          </c:spPr>
          <c:marker>
            <c:symbol val="none"/>
          </c:marker>
          <c:cat>
            <c:numRef>
              <c:f>'Pro Forma'!$C$4:$O$4</c:f>
              <c:numCache>
                <c:formatCode>"FY '"#</c:formatCode>
                <c:ptCount val="5"/>
                <c:pt idx="0">
                  <c:v>17</c:v>
                </c:pt>
                <c:pt idx="1">
                  <c:v>18</c:v>
                </c:pt>
                <c:pt idx="2">
                  <c:v>19</c:v>
                </c:pt>
                <c:pt idx="3">
                  <c:v>20</c:v>
                </c:pt>
                <c:pt idx="4">
                  <c:v>21</c:v>
                </c:pt>
              </c:numCache>
            </c:numRef>
          </c:cat>
          <c:val>
            <c:numRef>
              <c:f>'Pro Forma'!$C$13:$O$13</c:f>
              <c:numCache>
                <c:formatCode>_("$"* #,##0_);_("$"* \(#,##0\);_("$"* "-"??_);_(@_)</c:formatCode>
                <c:ptCount val="5"/>
                <c:pt idx="0">
                  <c:v>144884</c:v>
                </c:pt>
                <c:pt idx="1">
                  <c:v>225591</c:v>
                </c:pt>
                <c:pt idx="2">
                  <c:v>321857</c:v>
                </c:pt>
                <c:pt idx="3">
                  <c:v>456320</c:v>
                </c:pt>
                <c:pt idx="4">
                  <c:v>618483</c:v>
                </c:pt>
              </c:numCache>
            </c:numRef>
          </c:val>
          <c:smooth val="0"/>
          <c:extLst>
            <c:ext xmlns:c16="http://schemas.microsoft.com/office/drawing/2014/chart" uri="{C3380CC4-5D6E-409C-BE32-E72D297353CC}">
              <c16:uniqueId val="{00000004-DCC3-424A-AAC5-924A58C382AD}"/>
            </c:ext>
          </c:extLst>
        </c:ser>
        <c:ser>
          <c:idx val="5"/>
          <c:order val="2"/>
          <c:tx>
            <c:strRef>
              <c:f>'Pro Forma'!$B$16</c:f>
              <c:strCache>
                <c:ptCount val="1"/>
                <c:pt idx="0">
                  <c:v>Commercial</c:v>
                </c:pt>
              </c:strCache>
            </c:strRef>
          </c:tx>
          <c:spPr>
            <a:ln w="28575" cap="rnd">
              <a:solidFill>
                <a:schemeClr val="accent6"/>
              </a:solidFill>
              <a:round/>
            </a:ln>
            <a:effectLst/>
          </c:spPr>
          <c:marker>
            <c:symbol val="none"/>
          </c:marker>
          <c:cat>
            <c:numRef>
              <c:f>'Pro Forma'!$C$4:$O$4</c:f>
              <c:numCache>
                <c:formatCode>"FY '"#</c:formatCode>
                <c:ptCount val="5"/>
                <c:pt idx="0">
                  <c:v>17</c:v>
                </c:pt>
                <c:pt idx="1">
                  <c:v>18</c:v>
                </c:pt>
                <c:pt idx="2">
                  <c:v>19</c:v>
                </c:pt>
                <c:pt idx="3">
                  <c:v>20</c:v>
                </c:pt>
                <c:pt idx="4">
                  <c:v>21</c:v>
                </c:pt>
              </c:numCache>
            </c:numRef>
          </c:cat>
          <c:val>
            <c:numRef>
              <c:f>'Pro Forma'!$C$16:$O$16</c:f>
              <c:numCache>
                <c:formatCode>_("$"* #,##0_);_("$"* \(#,##0\);_("$"* "-"??_);_(@_)</c:formatCode>
                <c:ptCount val="5"/>
                <c:pt idx="0">
                  <c:v>5818</c:v>
                </c:pt>
                <c:pt idx="1">
                  <c:v>8507</c:v>
                </c:pt>
                <c:pt idx="2">
                  <c:v>13831</c:v>
                </c:pt>
                <c:pt idx="3">
                  <c:v>20730</c:v>
                </c:pt>
                <c:pt idx="4">
                  <c:v>39254</c:v>
                </c:pt>
              </c:numCache>
            </c:numRef>
          </c:val>
          <c:smooth val="0"/>
          <c:extLst>
            <c:ext xmlns:c16="http://schemas.microsoft.com/office/drawing/2014/chart" uri="{C3380CC4-5D6E-409C-BE32-E72D297353CC}">
              <c16:uniqueId val="{00000005-DCC3-424A-AAC5-924A58C382AD}"/>
            </c:ext>
          </c:extLst>
        </c:ser>
        <c:ser>
          <c:idx val="6"/>
          <c:order val="3"/>
          <c:tx>
            <c:strRef>
              <c:f>'Pro Forma'!$F$4:$F$5</c:f>
              <c:strCache>
                <c:ptCount val="1"/>
                <c:pt idx="0">
                  <c:v>FY '20 Q1 Actual</c:v>
                </c:pt>
              </c:strCache>
            </c:strRef>
          </c:tx>
          <c:spPr>
            <a:ln w="28575" cap="rnd">
              <a:solidFill>
                <a:schemeClr val="accent1">
                  <a:lumMod val="60000"/>
                </a:schemeClr>
              </a:solidFill>
              <a:round/>
            </a:ln>
            <a:effectLst/>
          </c:spPr>
          <c:marker>
            <c:symbol val="none"/>
          </c:marker>
          <c:cat>
            <c:numRef>
              <c:f>'Pro Forma'!$C$4:$O$4</c:f>
              <c:numCache>
                <c:formatCode>"FY '"#</c:formatCode>
                <c:ptCount val="5"/>
                <c:pt idx="0">
                  <c:v>17</c:v>
                </c:pt>
                <c:pt idx="1">
                  <c:v>18</c:v>
                </c:pt>
                <c:pt idx="2">
                  <c:v>19</c:v>
                </c:pt>
                <c:pt idx="3">
                  <c:v>20</c:v>
                </c:pt>
                <c:pt idx="4">
                  <c:v>21</c:v>
                </c:pt>
              </c:numCache>
            </c:numRef>
          </c:cat>
          <c:val>
            <c:numRef>
              <c:f>'Pro Forma'!$F$6:$F$21</c:f>
            </c:numRef>
          </c:val>
          <c:smooth val="0"/>
          <c:extLst>
            <c:ext xmlns:c16="http://schemas.microsoft.com/office/drawing/2014/chart" uri="{C3380CC4-5D6E-409C-BE32-E72D297353CC}">
              <c16:uniqueId val="{00000006-DCC3-424A-AAC5-924A58C382AD}"/>
            </c:ext>
          </c:extLst>
        </c:ser>
        <c:ser>
          <c:idx val="8"/>
          <c:order val="4"/>
          <c:tx>
            <c:strRef>
              <c:f>'Pro Forma'!$G$4:$G$5</c:f>
              <c:strCache>
                <c:ptCount val="1"/>
                <c:pt idx="0">
                  <c:v>FY '20 Q2 Actual</c:v>
                </c:pt>
              </c:strCache>
            </c:strRef>
          </c:tx>
          <c:spPr>
            <a:ln w="28575" cap="rnd">
              <a:solidFill>
                <a:schemeClr val="accent3">
                  <a:lumMod val="60000"/>
                </a:schemeClr>
              </a:solidFill>
              <a:round/>
            </a:ln>
            <a:effectLst/>
          </c:spPr>
          <c:marker>
            <c:symbol val="none"/>
          </c:marker>
          <c:cat>
            <c:numRef>
              <c:f>'Pro Forma'!$C$4:$O$4</c:f>
              <c:numCache>
                <c:formatCode>"FY '"#</c:formatCode>
                <c:ptCount val="5"/>
                <c:pt idx="0">
                  <c:v>17</c:v>
                </c:pt>
                <c:pt idx="1">
                  <c:v>18</c:v>
                </c:pt>
                <c:pt idx="2">
                  <c:v>19</c:v>
                </c:pt>
                <c:pt idx="3">
                  <c:v>20</c:v>
                </c:pt>
                <c:pt idx="4">
                  <c:v>21</c:v>
                </c:pt>
              </c:numCache>
            </c:numRef>
          </c:cat>
          <c:val>
            <c:numRef>
              <c:f>'Pro Forma'!$G$6:$G$21</c:f>
            </c:numRef>
          </c:val>
          <c:smooth val="0"/>
          <c:extLst>
            <c:ext xmlns:c16="http://schemas.microsoft.com/office/drawing/2014/chart" uri="{C3380CC4-5D6E-409C-BE32-E72D297353CC}">
              <c16:uniqueId val="{00000008-DCC3-424A-AAC5-924A58C382AD}"/>
            </c:ext>
          </c:extLst>
        </c:ser>
        <c:ser>
          <c:idx val="9"/>
          <c:order val="5"/>
          <c:tx>
            <c:strRef>
              <c:f>'Pro Forma'!$H$4:$H$5</c:f>
              <c:strCache>
                <c:ptCount val="1"/>
                <c:pt idx="0">
                  <c:v>FY '20 Q3 Actual</c:v>
                </c:pt>
              </c:strCache>
            </c:strRef>
          </c:tx>
          <c:spPr>
            <a:ln w="28575" cap="rnd">
              <a:solidFill>
                <a:schemeClr val="accent4">
                  <a:lumMod val="60000"/>
                </a:schemeClr>
              </a:solidFill>
              <a:round/>
            </a:ln>
            <a:effectLst/>
          </c:spPr>
          <c:marker>
            <c:symbol val="none"/>
          </c:marker>
          <c:cat>
            <c:numRef>
              <c:f>'Pro Forma'!$C$4:$O$4</c:f>
              <c:numCache>
                <c:formatCode>"FY '"#</c:formatCode>
                <c:ptCount val="5"/>
                <c:pt idx="0">
                  <c:v>17</c:v>
                </c:pt>
                <c:pt idx="1">
                  <c:v>18</c:v>
                </c:pt>
                <c:pt idx="2">
                  <c:v>19</c:v>
                </c:pt>
                <c:pt idx="3">
                  <c:v>20</c:v>
                </c:pt>
                <c:pt idx="4">
                  <c:v>21</c:v>
                </c:pt>
              </c:numCache>
            </c:numRef>
          </c:cat>
          <c:val>
            <c:numRef>
              <c:f>'Pro Forma'!$H$6:$H$21</c:f>
            </c:numRef>
          </c:val>
          <c:smooth val="0"/>
          <c:extLst>
            <c:ext xmlns:c16="http://schemas.microsoft.com/office/drawing/2014/chart" uri="{C3380CC4-5D6E-409C-BE32-E72D297353CC}">
              <c16:uniqueId val="{00000009-DCC3-424A-AAC5-924A58C382AD}"/>
            </c:ext>
          </c:extLst>
        </c:ser>
        <c:ser>
          <c:idx val="10"/>
          <c:order val="6"/>
          <c:tx>
            <c:strRef>
              <c:f>'Pro Forma'!$I$4:$I$5</c:f>
              <c:strCache>
                <c:ptCount val="1"/>
                <c:pt idx="0">
                  <c:v>FY '20 Q4 Actual</c:v>
                </c:pt>
              </c:strCache>
            </c:strRef>
          </c:tx>
          <c:spPr>
            <a:ln w="28575" cap="rnd">
              <a:solidFill>
                <a:schemeClr val="accent5">
                  <a:lumMod val="60000"/>
                </a:schemeClr>
              </a:solidFill>
              <a:round/>
            </a:ln>
            <a:effectLst/>
          </c:spPr>
          <c:marker>
            <c:symbol val="none"/>
          </c:marker>
          <c:cat>
            <c:numRef>
              <c:f>'Pro Forma'!$C$4:$O$4</c:f>
              <c:numCache>
                <c:formatCode>"FY '"#</c:formatCode>
                <c:ptCount val="5"/>
                <c:pt idx="0">
                  <c:v>17</c:v>
                </c:pt>
                <c:pt idx="1">
                  <c:v>18</c:v>
                </c:pt>
                <c:pt idx="2">
                  <c:v>19</c:v>
                </c:pt>
                <c:pt idx="3">
                  <c:v>20</c:v>
                </c:pt>
                <c:pt idx="4">
                  <c:v>21</c:v>
                </c:pt>
              </c:numCache>
            </c:numRef>
          </c:cat>
          <c:val>
            <c:numRef>
              <c:f>'Pro Forma'!$I$6:$I$21</c:f>
            </c:numRef>
          </c:val>
          <c:smooth val="0"/>
          <c:extLst>
            <c:ext xmlns:c16="http://schemas.microsoft.com/office/drawing/2014/chart" uri="{C3380CC4-5D6E-409C-BE32-E72D297353CC}">
              <c16:uniqueId val="{0000000A-DCC3-424A-AAC5-924A58C382AD}"/>
            </c:ext>
          </c:extLst>
        </c:ser>
        <c:ser>
          <c:idx val="11"/>
          <c:order val="7"/>
          <c:tx>
            <c:strRef>
              <c:f>'Pro Forma'!$B$19</c:f>
              <c:strCache>
                <c:ptCount val="1"/>
                <c:pt idx="0">
                  <c:v>Other</c:v>
                </c:pt>
              </c:strCache>
            </c:strRef>
          </c:tx>
          <c:spPr>
            <a:ln w="28575" cap="rnd">
              <a:solidFill>
                <a:schemeClr val="accent6">
                  <a:lumMod val="60000"/>
                </a:schemeClr>
              </a:solidFill>
              <a:round/>
            </a:ln>
            <a:effectLst/>
          </c:spPr>
          <c:marker>
            <c:symbol val="none"/>
          </c:marker>
          <c:cat>
            <c:numRef>
              <c:f>'Pro Forma'!$C$4:$O$4</c:f>
              <c:numCache>
                <c:formatCode>"FY '"#</c:formatCode>
                <c:ptCount val="5"/>
                <c:pt idx="0">
                  <c:v>17</c:v>
                </c:pt>
                <c:pt idx="1">
                  <c:v>18</c:v>
                </c:pt>
                <c:pt idx="2">
                  <c:v>19</c:v>
                </c:pt>
                <c:pt idx="3">
                  <c:v>20</c:v>
                </c:pt>
                <c:pt idx="4">
                  <c:v>21</c:v>
                </c:pt>
              </c:numCache>
            </c:numRef>
          </c:cat>
          <c:val>
            <c:numRef>
              <c:f>'Pro Forma'!$C$19:$O$19</c:f>
              <c:numCache>
                <c:formatCode>_("$"* #,##0_);_("$"* \(#,##0\);_("$"* "-"??_);_(@_)</c:formatCode>
                <c:ptCount val="5"/>
                <c:pt idx="0">
                  <c:v>3058</c:v>
                </c:pt>
                <c:pt idx="1">
                  <c:v>4435</c:v>
                </c:pt>
                <c:pt idx="2">
                  <c:v>7749</c:v>
                </c:pt>
                <c:pt idx="3">
                  <c:v>11511</c:v>
                </c:pt>
                <c:pt idx="4">
                  <c:v>16991</c:v>
                </c:pt>
              </c:numCache>
            </c:numRef>
          </c:val>
          <c:smooth val="0"/>
          <c:extLst>
            <c:ext xmlns:c16="http://schemas.microsoft.com/office/drawing/2014/chart" uri="{C3380CC4-5D6E-409C-BE32-E72D297353CC}">
              <c16:uniqueId val="{0000000B-DCC3-424A-AAC5-924A58C382AD}"/>
            </c:ext>
          </c:extLst>
        </c:ser>
        <c:ser>
          <c:idx val="0"/>
          <c:order val="8"/>
          <c:tx>
            <c:strRef>
              <c:f>'Pro Forma'!$K$4:$K$5</c:f>
              <c:strCache>
                <c:ptCount val="1"/>
                <c:pt idx="0">
                  <c:v>FY '21 Q1 Actual</c:v>
                </c:pt>
              </c:strCache>
            </c:strRef>
          </c:tx>
          <c:spPr>
            <a:ln w="28575" cap="rnd">
              <a:solidFill>
                <a:schemeClr val="accent1"/>
              </a:solidFill>
              <a:round/>
            </a:ln>
            <a:effectLst/>
          </c:spPr>
          <c:marker>
            <c:symbol val="none"/>
          </c:marker>
          <c:cat>
            <c:numRef>
              <c:f>'Pro Forma'!$C$4:$O$4</c:f>
              <c:numCache>
                <c:formatCode>"FY '"#</c:formatCode>
                <c:ptCount val="5"/>
                <c:pt idx="0">
                  <c:v>17</c:v>
                </c:pt>
                <c:pt idx="1">
                  <c:v>18</c:v>
                </c:pt>
                <c:pt idx="2">
                  <c:v>19</c:v>
                </c:pt>
                <c:pt idx="3">
                  <c:v>20</c:v>
                </c:pt>
                <c:pt idx="4">
                  <c:v>21</c:v>
                </c:pt>
              </c:numCache>
            </c:numRef>
          </c:cat>
          <c:val>
            <c:numRef>
              <c:f>'Pro Forma'!$K$6:$K$21</c:f>
            </c:numRef>
          </c:val>
          <c:smooth val="0"/>
          <c:extLst>
            <c:ext xmlns:c16="http://schemas.microsoft.com/office/drawing/2014/chart" uri="{C3380CC4-5D6E-409C-BE32-E72D297353CC}">
              <c16:uniqueId val="{0000000E-DCC3-424A-AAC5-924A58C382AD}"/>
            </c:ext>
          </c:extLst>
        </c:ser>
        <c:ser>
          <c:idx val="1"/>
          <c:order val="9"/>
          <c:tx>
            <c:strRef>
              <c:f>'Pro Forma'!$L$4:$L$5</c:f>
              <c:strCache>
                <c:ptCount val="1"/>
                <c:pt idx="0">
                  <c:v>FY '21 Q2 Actual</c:v>
                </c:pt>
              </c:strCache>
            </c:strRef>
          </c:tx>
          <c:spPr>
            <a:ln w="28575" cap="rnd">
              <a:solidFill>
                <a:schemeClr val="accent2"/>
              </a:solidFill>
              <a:round/>
            </a:ln>
            <a:effectLst/>
          </c:spPr>
          <c:marker>
            <c:symbol val="none"/>
          </c:marker>
          <c:cat>
            <c:numRef>
              <c:f>'Pro Forma'!$C$4:$O$4</c:f>
              <c:numCache>
                <c:formatCode>"FY '"#</c:formatCode>
                <c:ptCount val="5"/>
                <c:pt idx="0">
                  <c:v>17</c:v>
                </c:pt>
                <c:pt idx="1">
                  <c:v>18</c:v>
                </c:pt>
                <c:pt idx="2">
                  <c:v>19</c:v>
                </c:pt>
                <c:pt idx="3">
                  <c:v>20</c:v>
                </c:pt>
                <c:pt idx="4">
                  <c:v>21</c:v>
                </c:pt>
              </c:numCache>
            </c:numRef>
          </c:cat>
          <c:val>
            <c:numRef>
              <c:f>'Pro Forma'!$L$6:$L$21</c:f>
            </c:numRef>
          </c:val>
          <c:smooth val="0"/>
          <c:extLst>
            <c:ext xmlns:c16="http://schemas.microsoft.com/office/drawing/2014/chart" uri="{C3380CC4-5D6E-409C-BE32-E72D297353CC}">
              <c16:uniqueId val="{0000000F-DCC3-424A-AAC5-924A58C382AD}"/>
            </c:ext>
          </c:extLst>
        </c:ser>
        <c:ser>
          <c:idx val="2"/>
          <c:order val="10"/>
          <c:tx>
            <c:strRef>
              <c:f>'Pro Forma'!$M$4:$M$5</c:f>
              <c:strCache>
                <c:ptCount val="1"/>
                <c:pt idx="0">
                  <c:v>FY '21 Q3 Actual</c:v>
                </c:pt>
              </c:strCache>
            </c:strRef>
          </c:tx>
          <c:spPr>
            <a:ln w="28575" cap="rnd">
              <a:solidFill>
                <a:schemeClr val="accent3"/>
              </a:solidFill>
              <a:round/>
            </a:ln>
            <a:effectLst/>
          </c:spPr>
          <c:marker>
            <c:symbol val="none"/>
          </c:marker>
          <c:cat>
            <c:numRef>
              <c:f>'Pro Forma'!$C$4:$O$4</c:f>
              <c:numCache>
                <c:formatCode>"FY '"#</c:formatCode>
                <c:ptCount val="5"/>
                <c:pt idx="0">
                  <c:v>17</c:v>
                </c:pt>
                <c:pt idx="1">
                  <c:v>18</c:v>
                </c:pt>
                <c:pt idx="2">
                  <c:v>19</c:v>
                </c:pt>
                <c:pt idx="3">
                  <c:v>20</c:v>
                </c:pt>
                <c:pt idx="4">
                  <c:v>21</c:v>
                </c:pt>
              </c:numCache>
            </c:numRef>
          </c:cat>
          <c:val>
            <c:numRef>
              <c:f>'Pro Forma'!$M$6:$M$21</c:f>
            </c:numRef>
          </c:val>
          <c:smooth val="0"/>
          <c:extLst>
            <c:ext xmlns:c16="http://schemas.microsoft.com/office/drawing/2014/chart" uri="{C3380CC4-5D6E-409C-BE32-E72D297353CC}">
              <c16:uniqueId val="{00000010-DCC3-424A-AAC5-924A58C382AD}"/>
            </c:ext>
          </c:extLst>
        </c:ser>
        <c:ser>
          <c:idx val="7"/>
          <c:order val="11"/>
          <c:tx>
            <c:strRef>
              <c:f>'Pro Forma'!$N$4:$N$5</c:f>
              <c:strCache>
                <c:ptCount val="1"/>
                <c:pt idx="0">
                  <c:v>FY '21 Q4 Actual</c:v>
                </c:pt>
              </c:strCache>
            </c:strRef>
          </c:tx>
          <c:spPr>
            <a:ln w="28575" cap="rnd">
              <a:solidFill>
                <a:schemeClr val="accent2">
                  <a:lumMod val="60000"/>
                </a:schemeClr>
              </a:solidFill>
              <a:round/>
            </a:ln>
            <a:effectLst/>
          </c:spPr>
          <c:marker>
            <c:symbol val="none"/>
          </c:marker>
          <c:cat>
            <c:numRef>
              <c:f>'Pro Forma'!$C$4:$O$4</c:f>
              <c:numCache>
                <c:formatCode>"FY '"#</c:formatCode>
                <c:ptCount val="5"/>
                <c:pt idx="0">
                  <c:v>17</c:v>
                </c:pt>
                <c:pt idx="1">
                  <c:v>18</c:v>
                </c:pt>
                <c:pt idx="2">
                  <c:v>19</c:v>
                </c:pt>
                <c:pt idx="3">
                  <c:v>20</c:v>
                </c:pt>
                <c:pt idx="4">
                  <c:v>21</c:v>
                </c:pt>
              </c:numCache>
            </c:numRef>
          </c:cat>
          <c:val>
            <c:numRef>
              <c:f>'Pro Forma'!$N$6:$N$21</c:f>
            </c:numRef>
          </c:val>
          <c:smooth val="0"/>
          <c:extLst>
            <c:ext xmlns:c16="http://schemas.microsoft.com/office/drawing/2014/chart" uri="{C3380CC4-5D6E-409C-BE32-E72D297353CC}">
              <c16:uniqueId val="{00000011-DCC3-424A-AAC5-924A58C382AD}"/>
            </c:ext>
          </c:extLst>
        </c:ser>
        <c:ser>
          <c:idx val="12"/>
          <c:order val="12"/>
          <c:tx>
            <c:strRef>
              <c:f>'Pro Forma'!$B$8</c:f>
              <c:strCache>
                <c:ptCount val="1"/>
                <c:pt idx="0">
                  <c:v>Total written premium</c:v>
                </c:pt>
              </c:strCache>
            </c:strRef>
          </c:tx>
          <c:spPr>
            <a:ln w="28575" cap="rnd">
              <a:solidFill>
                <a:schemeClr val="accent1">
                  <a:lumMod val="80000"/>
                  <a:lumOff val="20000"/>
                </a:schemeClr>
              </a:solidFill>
              <a:round/>
            </a:ln>
            <a:effectLst/>
          </c:spPr>
          <c:marker>
            <c:symbol val="none"/>
          </c:marker>
          <c:cat>
            <c:numRef>
              <c:f>'Pro Forma'!$C$4:$O$4</c:f>
              <c:numCache>
                <c:formatCode>"FY '"#</c:formatCode>
                <c:ptCount val="5"/>
                <c:pt idx="0">
                  <c:v>17</c:v>
                </c:pt>
                <c:pt idx="1">
                  <c:v>18</c:v>
                </c:pt>
                <c:pt idx="2">
                  <c:v>19</c:v>
                </c:pt>
                <c:pt idx="3">
                  <c:v>20</c:v>
                </c:pt>
                <c:pt idx="4">
                  <c:v>21</c:v>
                </c:pt>
              </c:numCache>
            </c:numRef>
          </c:cat>
          <c:val>
            <c:numRef>
              <c:f>'Pro Forma'!$C$8:$O$8</c:f>
              <c:numCache>
                <c:formatCode>_("$"* #,##0_);_("$"* \(#,##0\);_("$"* "-"??_);_(@_)</c:formatCode>
                <c:ptCount val="5"/>
                <c:pt idx="0">
                  <c:v>342330</c:v>
                </c:pt>
                <c:pt idx="1">
                  <c:v>509012</c:v>
                </c:pt>
                <c:pt idx="2">
                  <c:v>739009</c:v>
                </c:pt>
                <c:pt idx="3">
                  <c:v>1074076</c:v>
                </c:pt>
                <c:pt idx="4">
                  <c:v>1559858</c:v>
                </c:pt>
              </c:numCache>
            </c:numRef>
          </c:val>
          <c:smooth val="0"/>
          <c:extLst>
            <c:ext xmlns:c16="http://schemas.microsoft.com/office/drawing/2014/chart" uri="{C3380CC4-5D6E-409C-BE32-E72D297353CC}">
              <c16:uniqueId val="{00000012-DCC3-424A-AAC5-924A58C382AD}"/>
            </c:ext>
          </c:extLst>
        </c:ser>
        <c:dLbls>
          <c:showLegendKey val="0"/>
          <c:showVal val="0"/>
          <c:showCatName val="0"/>
          <c:showSerName val="0"/>
          <c:showPercent val="0"/>
          <c:showBubbleSize val="0"/>
        </c:dLbls>
        <c:smooth val="0"/>
        <c:axId val="570338511"/>
        <c:axId val="570334767"/>
      </c:lineChart>
      <c:catAx>
        <c:axId val="570338511"/>
        <c:scaling>
          <c:orientation val="minMax"/>
        </c:scaling>
        <c:delete val="0"/>
        <c:axPos val="b"/>
        <c:numFmt formatCode="&quot;FY '&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70334767"/>
        <c:crosses val="autoZero"/>
        <c:auto val="1"/>
        <c:lblAlgn val="ctr"/>
        <c:lblOffset val="100"/>
        <c:noMultiLvlLbl val="0"/>
      </c:catAx>
      <c:valAx>
        <c:axId val="570334767"/>
        <c:scaling>
          <c:orientation val="minMax"/>
          <c:max val="2500000"/>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70338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latin typeface="Times New Roman" panose="02020603050405020304" pitchFamily="18" charset="0"/>
                <a:cs typeface="Times New Roman" panose="02020603050405020304" pitchFamily="18" charset="0"/>
              </a:rPr>
              <a:t>Geographic footprint assuming diminished</a:t>
            </a:r>
            <a:r>
              <a:rPr lang="en-US" b="1" baseline="0">
                <a:solidFill>
                  <a:schemeClr val="tx1"/>
                </a:solidFill>
                <a:latin typeface="Times New Roman" panose="02020603050405020304" pitchFamily="18" charset="0"/>
                <a:cs typeface="Times New Roman" panose="02020603050405020304" pitchFamily="18" charset="0"/>
              </a:rPr>
              <a:t> growth in all states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'Franchise Revenue'!$B$4</c:f>
              <c:strCache>
                <c:ptCount val="1"/>
                <c:pt idx="0">
                  <c:v>Texas</c:v>
                </c:pt>
              </c:strCache>
            </c:strRef>
          </c:tx>
          <c:spPr>
            <a:ln w="28575" cap="rnd">
              <a:solidFill>
                <a:srgbClr val="C00000"/>
              </a:solidFill>
              <a:round/>
            </a:ln>
            <a:effectLst/>
          </c:spPr>
          <c:marker>
            <c:symbol val="none"/>
          </c:marker>
          <c:cat>
            <c:numRef>
              <c:f>'Franchise Revenue'!$C$3:$Q$3</c:f>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f>'Franchise Revenue'!$C$4:$Q$4</c:f>
              <c:numCache>
                <c:formatCode>General</c:formatCode>
                <c:ptCount val="15"/>
                <c:pt idx="0">
                  <c:v>226</c:v>
                </c:pt>
                <c:pt idx="1">
                  <c:v>231</c:v>
                </c:pt>
                <c:pt idx="2">
                  <c:v>282</c:v>
                </c:pt>
                <c:pt idx="3">
                  <c:v>358</c:v>
                </c:pt>
                <c:pt idx="4" formatCode="#,##0_);\(#,##0\)">
                  <c:v>419.1471948416027</c:v>
                </c:pt>
                <c:pt idx="5" formatCode="#,##0_);\(#,##0\)">
                  <c:v>478.1640504776135</c:v>
                </c:pt>
                <c:pt idx="6" formatCode="#,##0_);\(#,##0\)">
                  <c:v>531.145688903718</c:v>
                </c:pt>
                <c:pt idx="7" formatCode="#,##0_);\(#,##0\)">
                  <c:v>574.06343983163731</c:v>
                </c:pt>
                <c:pt idx="8" formatCode="#,##0_);\(#,##0\)">
                  <c:v>603.22713712677307</c:v>
                </c:pt>
                <c:pt idx="9" formatCode="#,##0_);\(#,##0\)">
                  <c:v>615.77560088075415</c:v>
                </c:pt>
                <c:pt idx="10" formatCode="#,##0_);\(#,##0\)">
                  <c:v>615.77560088075415</c:v>
                </c:pt>
                <c:pt idx="11" formatCode="#,##0_);\(#,##0\)">
                  <c:v>615.77560088075415</c:v>
                </c:pt>
                <c:pt idx="12" formatCode="#,##0_);\(#,##0\)">
                  <c:v>615.77560088075415</c:v>
                </c:pt>
                <c:pt idx="13" formatCode="#,##0_);\(#,##0\)">
                  <c:v>615.77560088075415</c:v>
                </c:pt>
                <c:pt idx="14" formatCode="#,##0_);\(#,##0\)">
                  <c:v>615.77560088075415</c:v>
                </c:pt>
              </c:numCache>
            </c:numRef>
          </c:val>
          <c:smooth val="0"/>
          <c:extLst>
            <c:ext xmlns:c16="http://schemas.microsoft.com/office/drawing/2014/chart" uri="{C3380CC4-5D6E-409C-BE32-E72D297353CC}">
              <c16:uniqueId val="{00000000-F375-4DD0-96EB-0097916BDF95}"/>
            </c:ext>
          </c:extLst>
        </c:ser>
        <c:ser>
          <c:idx val="2"/>
          <c:order val="2"/>
          <c:tx>
            <c:strRef>
              <c:f>'Franchise Revenue'!$B$6</c:f>
              <c:strCache>
                <c:ptCount val="1"/>
                <c:pt idx="0">
                  <c:v>California</c:v>
                </c:pt>
              </c:strCache>
            </c:strRef>
          </c:tx>
          <c:spPr>
            <a:ln w="28575" cap="rnd">
              <a:solidFill>
                <a:schemeClr val="bg2">
                  <a:lumMod val="75000"/>
                </a:schemeClr>
              </a:solidFill>
              <a:round/>
            </a:ln>
            <a:effectLst/>
          </c:spPr>
          <c:marker>
            <c:symbol val="none"/>
          </c:marker>
          <c:cat>
            <c:numRef>
              <c:f>'Franchise Revenue'!$C$3:$Q$3</c:f>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f>'Franchise Revenue'!$C$6:$Q$6</c:f>
              <c:numCache>
                <c:formatCode>General</c:formatCode>
                <c:ptCount val="15"/>
                <c:pt idx="0">
                  <c:v>72</c:v>
                </c:pt>
                <c:pt idx="1">
                  <c:v>101</c:v>
                </c:pt>
                <c:pt idx="2">
                  <c:v>148</c:v>
                </c:pt>
                <c:pt idx="3">
                  <c:v>198</c:v>
                </c:pt>
                <c:pt idx="4" formatCode="#,##0_);\(#,##0\)">
                  <c:v>264.89189189189193</c:v>
                </c:pt>
                <c:pt idx="5" formatCode="#,##0_);\(#,##0\)">
                  <c:v>346.43563915266623</c:v>
                </c:pt>
                <c:pt idx="6" formatCode="#,##0_);\(#,##0\)">
                  <c:v>442.6885680848124</c:v>
                </c:pt>
                <c:pt idx="7" formatCode="#,##0_);\(#,##0\)">
                  <c:v>552.40354563448079</c:v>
                </c:pt>
                <c:pt idx="8" formatCode="#,##0_);\(#,##0\)">
                  <c:v>672.73793962945149</c:v>
                </c:pt>
                <c:pt idx="9" formatCode="#,##0_);\(#,##0\)">
                  <c:v>799.10357964092952</c:v>
                </c:pt>
                <c:pt idx="10" formatCode="#,##0_);\(#,##0\)">
                  <c:v>925.2323608599304</c:v>
                </c:pt>
                <c:pt idx="11" formatCode="#,##0_);\(#,##0\)">
                  <c:v>1043.5120653698621</c:v>
                </c:pt>
                <c:pt idx="12" formatCode="#,##0_);\(#,##0\)">
                  <c:v>1145.6070296033461</c:v>
                </c:pt>
                <c:pt idx="13" formatCode="#,##0_);\(#,##0\)">
                  <c:v>1223.3225335034651</c:v>
                </c:pt>
                <c:pt idx="14" formatCode="#,##0_);\(#,##0\)">
                  <c:v>1269.6104131495422</c:v>
                </c:pt>
              </c:numCache>
            </c:numRef>
          </c:val>
          <c:smooth val="0"/>
          <c:extLst>
            <c:ext xmlns:c16="http://schemas.microsoft.com/office/drawing/2014/chart" uri="{C3380CC4-5D6E-409C-BE32-E72D297353CC}">
              <c16:uniqueId val="{00000002-F375-4DD0-96EB-0097916BDF95}"/>
            </c:ext>
          </c:extLst>
        </c:ser>
        <c:ser>
          <c:idx val="4"/>
          <c:order val="4"/>
          <c:tx>
            <c:strRef>
              <c:f>'Franchise Revenue'!$B$8</c:f>
              <c:strCache>
                <c:ptCount val="1"/>
                <c:pt idx="0">
                  <c:v>New York</c:v>
                </c:pt>
              </c:strCache>
            </c:strRef>
          </c:tx>
          <c:spPr>
            <a:ln w="28575" cap="rnd">
              <a:solidFill>
                <a:srgbClr val="00B050"/>
              </a:solidFill>
              <a:round/>
            </a:ln>
            <a:effectLst/>
          </c:spPr>
          <c:marker>
            <c:symbol val="none"/>
          </c:marker>
          <c:cat>
            <c:numRef>
              <c:f>'Franchise Revenue'!$C$3:$Q$3</c:f>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f>'Franchise Revenue'!$C$8:$Q$8</c:f>
              <c:numCache>
                <c:formatCode>General</c:formatCode>
                <c:ptCount val="15"/>
                <c:pt idx="0">
                  <c:v>19</c:v>
                </c:pt>
                <c:pt idx="1">
                  <c:v>37</c:v>
                </c:pt>
                <c:pt idx="2">
                  <c:v>77</c:v>
                </c:pt>
                <c:pt idx="3">
                  <c:v>131</c:v>
                </c:pt>
                <c:pt idx="4" formatCode="#,##0_);\(#,##0\)">
                  <c:v>222.87012987012986</c:v>
                </c:pt>
                <c:pt idx="5" formatCode="#,##0_);\(#,##0\)">
                  <c:v>361.33905211671441</c:v>
                </c:pt>
                <c:pt idx="6" formatCode="#,##0_);\(#,##0\)">
                  <c:v>556.93141175599567</c:v>
                </c:pt>
                <c:pt idx="7" formatCode="#,##0_);\(#,##0\)">
                  <c:v>813.84314871148877</c:v>
                </c:pt>
                <c:pt idx="8" formatCode="#,##0_);\(#,##0\)">
                  <c:v>1124.1604843760254</c:v>
                </c:pt>
                <c:pt idx="9" formatCode="#,##0_);\(#,##0\)">
                  <c:v>1462.8685783698409</c:v>
                </c:pt>
                <c:pt idx="10" formatCode="#,##0_);\(#,##0\)">
                  <c:v>1786.5994949337642</c:v>
                </c:pt>
                <c:pt idx="11" formatCode="#,##0_);\(#,##0\)">
                  <c:v>2039.0436833088206</c:v>
                </c:pt>
                <c:pt idx="12" formatCode="#,##0_);\(#,##0\)">
                  <c:v>2164.0344129869718</c:v>
                </c:pt>
                <c:pt idx="13" formatCode="#,##0_);\(#,##0\)">
                  <c:v>2164.0344129869718</c:v>
                </c:pt>
                <c:pt idx="14" formatCode="#,##0_);\(#,##0\)">
                  <c:v>2164.0344129869718</c:v>
                </c:pt>
              </c:numCache>
            </c:numRef>
          </c:val>
          <c:smooth val="0"/>
          <c:extLst>
            <c:ext xmlns:c16="http://schemas.microsoft.com/office/drawing/2014/chart" uri="{C3380CC4-5D6E-409C-BE32-E72D297353CC}">
              <c16:uniqueId val="{00000004-F375-4DD0-96EB-0097916BDF95}"/>
            </c:ext>
          </c:extLst>
        </c:ser>
        <c:ser>
          <c:idx val="6"/>
          <c:order val="6"/>
          <c:tx>
            <c:strRef>
              <c:f>'Franchise Revenue'!$B$10</c:f>
              <c:strCache>
                <c:ptCount val="1"/>
                <c:pt idx="0">
                  <c:v>Florida</c:v>
                </c:pt>
              </c:strCache>
            </c:strRef>
          </c:tx>
          <c:spPr>
            <a:ln w="28575" cap="rnd">
              <a:solidFill>
                <a:schemeClr val="bg2">
                  <a:lumMod val="75000"/>
                </a:schemeClr>
              </a:solidFill>
              <a:round/>
            </a:ln>
            <a:effectLst/>
          </c:spPr>
          <c:marker>
            <c:symbol val="none"/>
          </c:marker>
          <c:cat>
            <c:numRef>
              <c:f>'Franchise Revenue'!$C$3:$Q$3</c:f>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f>'Franchise Revenue'!$C$10:$Q$10</c:f>
              <c:numCache>
                <c:formatCode>General</c:formatCode>
                <c:ptCount val="15"/>
                <c:pt idx="0">
                  <c:v>46</c:v>
                </c:pt>
                <c:pt idx="1">
                  <c:v>60</c:v>
                </c:pt>
                <c:pt idx="2">
                  <c:v>82</c:v>
                </c:pt>
                <c:pt idx="3">
                  <c:v>115</c:v>
                </c:pt>
                <c:pt idx="4" formatCode="#,##0_);\(#,##0\)">
                  <c:v>156.14905149051489</c:v>
                </c:pt>
                <c:pt idx="5" formatCode="#,##0_);\(#,##0\)">
                  <c:v>207.33749611952342</c:v>
                </c:pt>
                <c:pt idx="6" formatCode="#,##0_);\(#,##0\)">
                  <c:v>269.08630116745383</c:v>
                </c:pt>
                <c:pt idx="7" formatCode="#,##0_);\(#,##0\)">
                  <c:v>341.15241286352864</c:v>
                </c:pt>
                <c:pt idx="8" formatCode="#,##0_);\(#,##0\)">
                  <c:v>422.28454247672903</c:v>
                </c:pt>
                <c:pt idx="9" formatCode="#,##0_);\(#,##0\)">
                  <c:v>510.04280355759749</c:v>
                </c:pt>
                <c:pt idx="10" formatCode="#,##0_);\(#,##0\)">
                  <c:v>600.73751270817047</c:v>
                </c:pt>
                <c:pt idx="11" formatCode="#,##0_);\(#,##0\)">
                  <c:v>689.53723367173598</c:v>
                </c:pt>
                <c:pt idx="12" formatCode="#,##0_);\(#,##0\)">
                  <c:v>770.7770204860451</c:v>
                </c:pt>
                <c:pt idx="13" formatCode="#,##0_);\(#,##0\)">
                  <c:v>838.46499281295144</c:v>
                </c:pt>
                <c:pt idx="14" formatCode="#,##0_);\(#,##0\)">
                  <c:v>886.94322681475592</c:v>
                </c:pt>
              </c:numCache>
            </c:numRef>
          </c:val>
          <c:smooth val="0"/>
          <c:extLst>
            <c:ext xmlns:c16="http://schemas.microsoft.com/office/drawing/2014/chart" uri="{C3380CC4-5D6E-409C-BE32-E72D297353CC}">
              <c16:uniqueId val="{00000006-F375-4DD0-96EB-0097916BDF95}"/>
            </c:ext>
          </c:extLst>
        </c:ser>
        <c:ser>
          <c:idx val="8"/>
          <c:order val="8"/>
          <c:tx>
            <c:strRef>
              <c:f>'Franchise Revenue'!$B$12</c:f>
              <c:strCache>
                <c:ptCount val="1"/>
                <c:pt idx="0">
                  <c:v>Illinois</c:v>
                </c:pt>
              </c:strCache>
            </c:strRef>
          </c:tx>
          <c:spPr>
            <a:ln w="28575" cap="rnd">
              <a:solidFill>
                <a:schemeClr val="bg2">
                  <a:lumMod val="75000"/>
                </a:schemeClr>
              </a:solidFill>
              <a:round/>
            </a:ln>
            <a:effectLst/>
          </c:spPr>
          <c:marker>
            <c:symbol val="none"/>
          </c:marker>
          <c:cat>
            <c:numRef>
              <c:f>'Franchise Revenue'!$C$3:$Q$3</c:f>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f>'Franchise Revenue'!$C$12:$Q$12</c:f>
              <c:numCache>
                <c:formatCode>General</c:formatCode>
                <c:ptCount val="15"/>
                <c:pt idx="0">
                  <c:v>48</c:v>
                </c:pt>
                <c:pt idx="1">
                  <c:v>63</c:v>
                </c:pt>
                <c:pt idx="2">
                  <c:v>76</c:v>
                </c:pt>
                <c:pt idx="3">
                  <c:v>96</c:v>
                </c:pt>
                <c:pt idx="4" formatCode="#,##0_);\(#,##0\)">
                  <c:v>121.02422723475354</c:v>
                </c:pt>
                <c:pt idx="5" formatCode="#,##0_);\(#,##0\)">
                  <c:v>148.94076878472052</c:v>
                </c:pt>
                <c:pt idx="6" formatCode="#,##0_);\(#,##0\)">
                  <c:v>178.82856893459285</c:v>
                </c:pt>
                <c:pt idx="7" formatCode="#,##0_);\(#,##0\)">
                  <c:v>209.34906799178199</c:v>
                </c:pt>
                <c:pt idx="8" formatCode="#,##0_);\(#,##0\)">
                  <c:v>238.797999091208</c:v>
                </c:pt>
                <c:pt idx="9" formatCode="#,##0_);\(#,##0\)">
                  <c:v>265.22554289901495</c:v>
                </c:pt>
                <c:pt idx="10" formatCode="#,##0_);\(#,##0\)">
                  <c:v>286.62103115600297</c:v>
                </c:pt>
                <c:pt idx="11" formatCode="#,##0_);\(#,##0\)">
                  <c:v>301.14384184144228</c:v>
                </c:pt>
                <c:pt idx="12" formatCode="#,##0_);\(#,##0\)">
                  <c:v>307.36819405561005</c:v>
                </c:pt>
                <c:pt idx="13" formatCode="#,##0_);\(#,##0\)">
                  <c:v>307.36819405561005</c:v>
                </c:pt>
                <c:pt idx="14" formatCode="#,##0_);\(#,##0\)">
                  <c:v>307.36819405561005</c:v>
                </c:pt>
              </c:numCache>
            </c:numRef>
          </c:val>
          <c:smooth val="0"/>
          <c:extLst>
            <c:ext xmlns:c16="http://schemas.microsoft.com/office/drawing/2014/chart" uri="{C3380CC4-5D6E-409C-BE32-E72D297353CC}">
              <c16:uniqueId val="{00000008-F375-4DD0-96EB-0097916BDF95}"/>
            </c:ext>
          </c:extLst>
        </c:ser>
        <c:ser>
          <c:idx val="10"/>
          <c:order val="10"/>
          <c:tx>
            <c:strRef>
              <c:f>'Franchise Revenue'!$B$14</c:f>
              <c:strCache>
                <c:ptCount val="1"/>
                <c:pt idx="0">
                  <c:v>Michigan</c:v>
                </c:pt>
              </c:strCache>
            </c:strRef>
          </c:tx>
          <c:spPr>
            <a:ln w="28575" cap="rnd">
              <a:solidFill>
                <a:schemeClr val="bg2">
                  <a:lumMod val="75000"/>
                </a:schemeClr>
              </a:solidFill>
              <a:round/>
            </a:ln>
            <a:effectLst/>
          </c:spPr>
          <c:marker>
            <c:symbol val="none"/>
          </c:marker>
          <c:cat>
            <c:numRef>
              <c:f>'Franchise Revenue'!$C$3:$Q$3</c:f>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f>'Franchise Revenue'!$C$14:$Q$14</c:f>
              <c:numCache>
                <c:formatCode>General</c:formatCode>
                <c:ptCount val="15"/>
                <c:pt idx="0">
                  <c:v>35</c:v>
                </c:pt>
                <c:pt idx="1">
                  <c:v>46</c:v>
                </c:pt>
                <c:pt idx="2">
                  <c:v>69</c:v>
                </c:pt>
                <c:pt idx="3">
                  <c:v>88</c:v>
                </c:pt>
                <c:pt idx="4" formatCode="#,##0_);\(#,##0\)">
                  <c:v>112.231884057971</c:v>
                </c:pt>
                <c:pt idx="5" formatCode="#,##0_);\(#,##0\)">
                  <c:v>139.76935937828185</c:v>
                </c:pt>
                <c:pt idx="6" formatCode="#,##0_);\(#,##0\)">
                  <c:v>169.87041271685092</c:v>
                </c:pt>
                <c:pt idx="7" formatCode="#,##0_);\(#,##0\)">
                  <c:v>201.35798632045268</c:v>
                </c:pt>
                <c:pt idx="8" formatCode="#,##0_);\(#,##0\)">
                  <c:v>232.64142999226789</c:v>
                </c:pt>
                <c:pt idx="9" formatCode="#,##0_);\(#,##0\)">
                  <c:v>261.80589911448698</c:v>
                </c:pt>
                <c:pt idx="10" formatCode="#,##0_);\(#,##0\)">
                  <c:v>286.77231674018731</c:v>
                </c:pt>
                <c:pt idx="11" formatCode="#,##0_);\(#,##0\)">
                  <c:v>305.51642034161114</c:v>
                </c:pt>
                <c:pt idx="12" formatCode="#,##0_);\(#,##0\)">
                  <c:v>316.32018940876372</c:v>
                </c:pt>
                <c:pt idx="13" formatCode="#,##0_);\(#,##0\)">
                  <c:v>318.01639912008602</c:v>
                </c:pt>
                <c:pt idx="14" formatCode="#,##0_);\(#,##0\)">
                  <c:v>318.01639912008602</c:v>
                </c:pt>
              </c:numCache>
            </c:numRef>
          </c:val>
          <c:smooth val="0"/>
          <c:extLst>
            <c:ext xmlns:c16="http://schemas.microsoft.com/office/drawing/2014/chart" uri="{C3380CC4-5D6E-409C-BE32-E72D297353CC}">
              <c16:uniqueId val="{0000000A-F375-4DD0-96EB-0097916BDF95}"/>
            </c:ext>
          </c:extLst>
        </c:ser>
        <c:ser>
          <c:idx val="12"/>
          <c:order val="12"/>
          <c:tx>
            <c:strRef>
              <c:f>'Franchise Revenue'!$B$16</c:f>
              <c:strCache>
                <c:ptCount val="1"/>
                <c:pt idx="0">
                  <c:v>Pennsylvania</c:v>
                </c:pt>
              </c:strCache>
            </c:strRef>
          </c:tx>
          <c:spPr>
            <a:ln w="28575" cap="rnd">
              <a:solidFill>
                <a:schemeClr val="bg2">
                  <a:lumMod val="75000"/>
                </a:schemeClr>
              </a:solidFill>
              <a:round/>
            </a:ln>
            <a:effectLst/>
          </c:spPr>
          <c:marker>
            <c:symbol val="none"/>
          </c:marker>
          <c:cat>
            <c:numRef>
              <c:f>'Franchise Revenue'!$C$3:$Q$3</c:f>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f>'Franchise Revenue'!$C$16:$Q$16</c:f>
              <c:numCache>
                <c:formatCode>General</c:formatCode>
                <c:ptCount val="15"/>
                <c:pt idx="0">
                  <c:v>40</c:v>
                </c:pt>
                <c:pt idx="1">
                  <c:v>45</c:v>
                </c:pt>
                <c:pt idx="2">
                  <c:v>67</c:v>
                </c:pt>
                <c:pt idx="3">
                  <c:v>88</c:v>
                </c:pt>
                <c:pt idx="4" formatCode="#,##0_);\(#,##0\)">
                  <c:v>115.20143725815367</c:v>
                </c:pt>
                <c:pt idx="5" formatCode="#,##0_);\(#,##0\)">
                  <c:v>147.35499263616811</c:v>
                </c:pt>
                <c:pt idx="6" formatCode="#,##0_);\(#,##0\)">
                  <c:v>184.06218838332103</c:v>
                </c:pt>
                <c:pt idx="7" formatCode="#,##0_);\(#,##0\)">
                  <c:v>224.39154675731498</c:v>
                </c:pt>
                <c:pt idx="8" formatCode="#,##0_);\(#,##0\)">
                  <c:v>266.82561319620038</c:v>
                </c:pt>
                <c:pt idx="9" formatCode="#,##0_);\(#,##0\)">
                  <c:v>309.27950049205242</c:v>
                </c:pt>
                <c:pt idx="10" formatCode="#,##0_);\(#,##0\)">
                  <c:v>349.20972367470654</c:v>
                </c:pt>
                <c:pt idx="11" formatCode="#,##0_);\(#,##0\)">
                  <c:v>383.81893611750354</c:v>
                </c:pt>
                <c:pt idx="12" formatCode="#,##0_);\(#,##0\)">
                  <c:v>410.34360405488866</c:v>
                </c:pt>
                <c:pt idx="13" formatCode="#,##0_);\(#,##0\)">
                  <c:v>426.3910105053381</c:v>
                </c:pt>
                <c:pt idx="14" formatCode="#,##0_);\(#,##0\)">
                  <c:v>430.27425644125606</c:v>
                </c:pt>
              </c:numCache>
            </c:numRef>
          </c:val>
          <c:smooth val="0"/>
          <c:extLst>
            <c:ext xmlns:c16="http://schemas.microsoft.com/office/drawing/2014/chart" uri="{C3380CC4-5D6E-409C-BE32-E72D297353CC}">
              <c16:uniqueId val="{0000000C-F375-4DD0-96EB-0097916BDF95}"/>
            </c:ext>
          </c:extLst>
        </c:ser>
        <c:ser>
          <c:idx val="14"/>
          <c:order val="14"/>
          <c:tx>
            <c:strRef>
              <c:f>'Franchise Revenue'!$B$18</c:f>
              <c:strCache>
                <c:ptCount val="1"/>
                <c:pt idx="0">
                  <c:v>Georgia</c:v>
                </c:pt>
              </c:strCache>
            </c:strRef>
          </c:tx>
          <c:spPr>
            <a:ln w="28575" cap="rnd">
              <a:solidFill>
                <a:schemeClr val="bg2">
                  <a:lumMod val="75000"/>
                </a:schemeClr>
              </a:solidFill>
              <a:round/>
            </a:ln>
            <a:effectLst/>
          </c:spPr>
          <c:marker>
            <c:symbol val="none"/>
          </c:marker>
          <c:cat>
            <c:numRef>
              <c:f>'Franchise Revenue'!$C$3:$Q$3</c:f>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f>'Franchise Revenue'!$C$18:$Q$18</c:f>
              <c:numCache>
                <c:formatCode>General</c:formatCode>
                <c:ptCount val="15"/>
                <c:pt idx="1">
                  <c:v>37</c:v>
                </c:pt>
                <c:pt idx="2">
                  <c:v>58</c:v>
                </c:pt>
                <c:pt idx="3">
                  <c:v>88</c:v>
                </c:pt>
                <c:pt idx="4" formatCode="#,##0_);\(#,##0\)">
                  <c:v>133.51724137931035</c:v>
                </c:pt>
                <c:pt idx="5" formatCode="#,##0_);\(#,##0\)">
                  <c:v>194.56684898929845</c:v>
                </c:pt>
                <c:pt idx="6" formatCode="#,##0_);\(#,##0\)">
                  <c:v>271.85685244987491</c:v>
                </c:pt>
                <c:pt idx="7" formatCode="#,##0_);\(#,##0\)">
                  <c:v>363.5382323450396</c:v>
                </c:pt>
                <c:pt idx="8" formatCode="#,##0_);\(#,##0\)">
                  <c:v>464.32607331242298</c:v>
                </c:pt>
                <c:pt idx="9" formatCode="#,##0_);\(#,##0\)">
                  <c:v>565.19690992856999</c:v>
                </c:pt>
                <c:pt idx="10" formatCode="#,##0_);\(#,##0\)">
                  <c:v>654.06925162768312</c:v>
                </c:pt>
                <c:pt idx="11" formatCode="#,##0_);\(#,##0\)">
                  <c:v>717.67184782044399</c:v>
                </c:pt>
                <c:pt idx="12" formatCode="#,##0_);\(#,##0\)">
                  <c:v>744.39893732548114</c:v>
                </c:pt>
                <c:pt idx="13" formatCode="#,##0_);\(#,##0\)">
                  <c:v>744.39893732548114</c:v>
                </c:pt>
                <c:pt idx="14" formatCode="#,##0_);\(#,##0\)">
                  <c:v>744.39893732548114</c:v>
                </c:pt>
              </c:numCache>
            </c:numRef>
          </c:val>
          <c:smooth val="0"/>
          <c:extLst>
            <c:ext xmlns:c16="http://schemas.microsoft.com/office/drawing/2014/chart" uri="{C3380CC4-5D6E-409C-BE32-E72D297353CC}">
              <c16:uniqueId val="{0000000E-F375-4DD0-96EB-0097916BDF95}"/>
            </c:ext>
          </c:extLst>
        </c:ser>
        <c:ser>
          <c:idx val="16"/>
          <c:order val="16"/>
          <c:tx>
            <c:strRef>
              <c:f>'Franchise Revenue'!$B$20</c:f>
              <c:strCache>
                <c:ptCount val="1"/>
                <c:pt idx="0">
                  <c:v>Colorado</c:v>
                </c:pt>
              </c:strCache>
            </c:strRef>
          </c:tx>
          <c:spPr>
            <a:ln w="28575" cap="rnd">
              <a:solidFill>
                <a:schemeClr val="bg2">
                  <a:lumMod val="75000"/>
                </a:schemeClr>
              </a:solidFill>
              <a:round/>
            </a:ln>
            <a:effectLst/>
          </c:spPr>
          <c:marker>
            <c:symbol val="none"/>
          </c:marker>
          <c:cat>
            <c:numRef>
              <c:f>'Franchise Revenue'!$C$3:$Q$3</c:f>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f>'Franchise Revenue'!$C$20:$Q$20</c:f>
              <c:numCache>
                <c:formatCode>General</c:formatCode>
                <c:ptCount val="15"/>
                <c:pt idx="0">
                  <c:v>13</c:v>
                </c:pt>
                <c:pt idx="2">
                  <c:v>58</c:v>
                </c:pt>
                <c:pt idx="3">
                  <c:v>77</c:v>
                </c:pt>
                <c:pt idx="4" formatCode="#,##0_);\(#,##0\)">
                  <c:v>102.22413793103449</c:v>
                </c:pt>
                <c:pt idx="5" formatCode="#,##0_);\(#,##0\)">
                  <c:v>132.64463139120096</c:v>
                </c:pt>
                <c:pt idx="6" formatCode="#,##0_);\(#,##0\)">
                  <c:v>168.13850517036371</c:v>
                </c:pt>
                <c:pt idx="7" formatCode="#,##0_);\(#,##0\)">
                  <c:v>208.08589484704669</c:v>
                </c:pt>
                <c:pt idx="8" formatCode="#,##0_);\(#,##0\)">
                  <c:v>251.28165646701981</c:v>
                </c:pt>
                <c:pt idx="9" formatCode="#,##0_);\(#,##0\)">
                  <c:v>295.90581270168025</c:v>
                </c:pt>
                <c:pt idx="10" formatCode="#,##0_);\(#,##0\)">
                  <c:v>339.57742919696278</c:v>
                </c:pt>
                <c:pt idx="11" formatCode="#,##0_);\(#,##0\)">
                  <c:v>379.50705104391602</c:v>
                </c:pt>
                <c:pt idx="12" formatCode="#,##0_);\(#,##0\)">
                  <c:v>412.7466341353487</c:v>
                </c:pt>
                <c:pt idx="13" formatCode="#,##0_);\(#,##0\)">
                  <c:v>436.51514720452224</c:v>
                </c:pt>
                <c:pt idx="14" formatCode="#,##0_);\(#,##0\)">
                  <c:v>448.55694436878497</c:v>
                </c:pt>
              </c:numCache>
            </c:numRef>
          </c:val>
          <c:smooth val="0"/>
          <c:extLst>
            <c:ext xmlns:c16="http://schemas.microsoft.com/office/drawing/2014/chart" uri="{C3380CC4-5D6E-409C-BE32-E72D297353CC}">
              <c16:uniqueId val="{00000010-F375-4DD0-96EB-0097916BDF95}"/>
            </c:ext>
          </c:extLst>
        </c:ser>
        <c:ser>
          <c:idx val="18"/>
          <c:order val="18"/>
          <c:tx>
            <c:strRef>
              <c:f>'Franchise Revenue'!$B$22</c:f>
              <c:strCache>
                <c:ptCount val="1"/>
                <c:pt idx="0">
                  <c:v>North Carolina </c:v>
                </c:pt>
              </c:strCache>
            </c:strRef>
          </c:tx>
          <c:spPr>
            <a:ln w="28575" cap="rnd">
              <a:solidFill>
                <a:schemeClr val="bg2">
                  <a:lumMod val="75000"/>
                </a:schemeClr>
              </a:solidFill>
              <a:round/>
            </a:ln>
            <a:effectLst/>
          </c:spPr>
          <c:marker>
            <c:symbol val="none"/>
          </c:marker>
          <c:cat>
            <c:numRef>
              <c:f>'Franchise Revenue'!$C$3:$Q$3</c:f>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f>'Franchise Revenue'!$C$22:$Q$22</c:f>
              <c:numCache>
                <c:formatCode>General</c:formatCode>
                <c:ptCount val="15"/>
                <c:pt idx="0">
                  <c:v>26</c:v>
                </c:pt>
                <c:pt idx="1">
                  <c:v>34</c:v>
                </c:pt>
                <c:pt idx="2">
                  <c:v>46</c:v>
                </c:pt>
                <c:pt idx="3">
                  <c:v>61</c:v>
                </c:pt>
                <c:pt idx="4" formatCode="#,##0_);\(#,##0\)">
                  <c:v>80.891304347826079</c:v>
                </c:pt>
                <c:pt idx="5" formatCode="#,##0_);\(#,##0\)">
                  <c:v>104.84216446124762</c:v>
                </c:pt>
                <c:pt idx="6" formatCode="#,##0_);\(#,##0\)">
                  <c:v>132.73929691789263</c:v>
                </c:pt>
                <c:pt idx="7" formatCode="#,##0_);\(#,##0\)">
                  <c:v>164.07731353807335</c:v>
                </c:pt>
                <c:pt idx="8" formatCode="#,##0_);\(#,##0\)">
                  <c:v>197.89150771939799</c:v>
                </c:pt>
                <c:pt idx="9" formatCode="#,##0_);\(#,##0\)">
                  <c:v>232.737621035205</c:v>
                </c:pt>
                <c:pt idx="10" formatCode="#,##0_);\(#,##0\)">
                  <c:v>266.73755176034797</c:v>
                </c:pt>
                <c:pt idx="11" formatCode="#,##0_);\(#,##0\)">
                  <c:v>297.70230233426662</c:v>
                </c:pt>
                <c:pt idx="12" formatCode="#,##0_);\(#,##0\)">
                  <c:v>323.33058749173824</c:v>
                </c:pt>
                <c:pt idx="13" formatCode="#,##0_);\(#,##0\)">
                  <c:v>341.46521609453572</c:v>
                </c:pt>
                <c:pt idx="14" formatCode="#,##0_);\(#,##0\)">
                  <c:v>350.37300434048007</c:v>
                </c:pt>
              </c:numCache>
            </c:numRef>
          </c:val>
          <c:smooth val="0"/>
          <c:extLst>
            <c:ext xmlns:c16="http://schemas.microsoft.com/office/drawing/2014/chart" uri="{C3380CC4-5D6E-409C-BE32-E72D297353CC}">
              <c16:uniqueId val="{00000013-F375-4DD0-96EB-0097916BDF95}"/>
            </c:ext>
          </c:extLst>
        </c:ser>
        <c:ser>
          <c:idx val="20"/>
          <c:order val="20"/>
          <c:tx>
            <c:strRef>
              <c:f>'Franchise Revenue'!$B$24</c:f>
              <c:strCache>
                <c:ptCount val="1"/>
                <c:pt idx="0">
                  <c:v>Virginia</c:v>
                </c:pt>
              </c:strCache>
            </c:strRef>
          </c:tx>
          <c:spPr>
            <a:ln w="28575" cap="rnd">
              <a:solidFill>
                <a:schemeClr val="bg2">
                  <a:lumMod val="75000"/>
                </a:schemeClr>
              </a:solidFill>
              <a:round/>
            </a:ln>
            <a:effectLst/>
          </c:spPr>
          <c:marker>
            <c:symbol val="none"/>
          </c:marker>
          <c:cat>
            <c:numRef>
              <c:f>'Franchise Revenue'!$C$3:$Q$3</c:f>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f>'Franchise Revenue'!$C$24:$Q$24</c:f>
              <c:numCache>
                <c:formatCode>General</c:formatCode>
                <c:ptCount val="15"/>
                <c:pt idx="0">
                  <c:v>15</c:v>
                </c:pt>
                <c:pt idx="1">
                  <c:v>27</c:v>
                </c:pt>
                <c:pt idx="2">
                  <c:v>42</c:v>
                </c:pt>
                <c:pt idx="3">
                  <c:v>59</c:v>
                </c:pt>
                <c:pt idx="4" formatCode="#,##0_);\(#,##0\)">
                  <c:v>82.88095238095238</c:v>
                </c:pt>
                <c:pt idx="5" formatCode="#,##0_);\(#,##0\)">
                  <c:v>111.45514739229023</c:v>
                </c:pt>
                <c:pt idx="6" formatCode="#,##0_);\(#,##0\)">
                  <c:v>143.19332745923762</c:v>
                </c:pt>
                <c:pt idx="7" formatCode="#,##0_);\(#,##0\)">
                  <c:v>175.37773248817103</c:v>
                </c:pt>
                <c:pt idx="8" formatCode="#,##0_);\(#,##0\)">
                  <c:v>204.27330174574587</c:v>
                </c:pt>
                <c:pt idx="9" formatCode="#,##0_);\(#,##0\)">
                  <c:v>225.67336192863351</c:v>
                </c:pt>
                <c:pt idx="10" formatCode="#,##0_);\(#,##0\)">
                  <c:v>235.77493146258186</c:v>
                </c:pt>
                <c:pt idx="11" formatCode="#,##0_);\(#,##0\)">
                  <c:v>235.77493146258186</c:v>
                </c:pt>
                <c:pt idx="12" formatCode="#,##0_);\(#,##0\)">
                  <c:v>235.77493146258186</c:v>
                </c:pt>
                <c:pt idx="13" formatCode="#,##0_);\(#,##0\)">
                  <c:v>235.77493146258186</c:v>
                </c:pt>
                <c:pt idx="14" formatCode="#,##0_);\(#,##0\)">
                  <c:v>235.77493146258186</c:v>
                </c:pt>
              </c:numCache>
            </c:numRef>
          </c:val>
          <c:smooth val="0"/>
          <c:extLst>
            <c:ext xmlns:c16="http://schemas.microsoft.com/office/drawing/2014/chart" uri="{C3380CC4-5D6E-409C-BE32-E72D297353CC}">
              <c16:uniqueId val="{00000015-F375-4DD0-96EB-0097916BDF95}"/>
            </c:ext>
          </c:extLst>
        </c:ser>
        <c:ser>
          <c:idx val="22"/>
          <c:order val="22"/>
          <c:tx>
            <c:strRef>
              <c:f>'Franchise Revenue'!$B$26</c:f>
              <c:strCache>
                <c:ptCount val="1"/>
                <c:pt idx="0">
                  <c:v>Indiana</c:v>
                </c:pt>
              </c:strCache>
            </c:strRef>
          </c:tx>
          <c:spPr>
            <a:ln w="28575" cap="rnd">
              <a:solidFill>
                <a:schemeClr val="bg2">
                  <a:lumMod val="75000"/>
                </a:schemeClr>
              </a:solidFill>
              <a:round/>
            </a:ln>
            <a:effectLst/>
          </c:spPr>
          <c:marker>
            <c:symbol val="none"/>
          </c:marker>
          <c:cat>
            <c:numRef>
              <c:f>'Franchise Revenue'!$C$3:$Q$3</c:f>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f>'Franchise Revenue'!$C$26:$Q$26</c:f>
              <c:numCache>
                <c:formatCode>General</c:formatCode>
                <c:ptCount val="15"/>
                <c:pt idx="3">
                  <c:v>56</c:v>
                </c:pt>
                <c:pt idx="4" formatCode="#,##0_);\(#,##0\)">
                  <c:v>70</c:v>
                </c:pt>
                <c:pt idx="5" formatCode="#,##0_);\(#,##0\)">
                  <c:v>85.399999999999991</c:v>
                </c:pt>
                <c:pt idx="6" formatCode="#,##0_);\(#,##0\)">
                  <c:v>101.62599999999999</c:v>
                </c:pt>
                <c:pt idx="7" formatCode="#,##0_);\(#,##0\)">
                  <c:v>117.88615999999998</c:v>
                </c:pt>
                <c:pt idx="8" formatCode="#,##0_);\(#,##0\)">
                  <c:v>133.21136079999997</c:v>
                </c:pt>
                <c:pt idx="9" formatCode="#,##0_);\(#,##0\)">
                  <c:v>146.53249687999997</c:v>
                </c:pt>
                <c:pt idx="10" formatCode="#,##0_);\(#,##0\)">
                  <c:v>156.78977166159999</c:v>
                </c:pt>
                <c:pt idx="11" formatCode="#,##0_);\(#,##0\)">
                  <c:v>163.061362528064</c:v>
                </c:pt>
                <c:pt idx="12" formatCode="#,##0_);\(#,##0\)">
                  <c:v>164.69197615334463</c:v>
                </c:pt>
                <c:pt idx="13" formatCode="#,##0_);\(#,##0\)">
                  <c:v>164.69197615334463</c:v>
                </c:pt>
                <c:pt idx="14" formatCode="#,##0_);\(#,##0\)">
                  <c:v>164.69197615334463</c:v>
                </c:pt>
              </c:numCache>
            </c:numRef>
          </c:val>
          <c:smooth val="0"/>
          <c:extLst>
            <c:ext xmlns:c16="http://schemas.microsoft.com/office/drawing/2014/chart" uri="{C3380CC4-5D6E-409C-BE32-E72D297353CC}">
              <c16:uniqueId val="{00000017-F375-4DD0-96EB-0097916BDF95}"/>
            </c:ext>
          </c:extLst>
        </c:ser>
        <c:ser>
          <c:idx val="24"/>
          <c:order val="24"/>
          <c:tx>
            <c:strRef>
              <c:f>'Franchise Revenue'!$B$28</c:f>
              <c:strCache>
                <c:ptCount val="1"/>
                <c:pt idx="0">
                  <c:v>New Jersey</c:v>
                </c:pt>
              </c:strCache>
            </c:strRef>
          </c:tx>
          <c:spPr>
            <a:ln w="28575" cap="rnd">
              <a:solidFill>
                <a:schemeClr val="bg2">
                  <a:lumMod val="75000"/>
                </a:schemeClr>
              </a:solidFill>
              <a:round/>
            </a:ln>
            <a:effectLst/>
          </c:spPr>
          <c:marker>
            <c:symbol val="none"/>
          </c:marker>
          <c:cat>
            <c:numRef>
              <c:f>'Franchise Revenue'!$C$3:$Q$3</c:f>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f>'Franchise Revenue'!$C$28:$Q$28</c:f>
              <c:numCache>
                <c:formatCode>General</c:formatCode>
                <c:ptCount val="15"/>
                <c:pt idx="0">
                  <c:v>15</c:v>
                </c:pt>
                <c:pt idx="1">
                  <c:v>28</c:v>
                </c:pt>
                <c:pt idx="2">
                  <c:v>40</c:v>
                </c:pt>
                <c:pt idx="3">
                  <c:v>54</c:v>
                </c:pt>
                <c:pt idx="4" formatCode="#,##0_);\(#,##0\)">
                  <c:v>72.900000000000006</c:v>
                </c:pt>
                <c:pt idx="5" formatCode="#,##0_);\(#,##0\)">
                  <c:v>96.228000000000009</c:v>
                </c:pt>
                <c:pt idx="6" formatCode="#,##0_);\(#,##0\)">
                  <c:v>124.13412000000001</c:v>
                </c:pt>
                <c:pt idx="7" formatCode="#,##0_);\(#,##0\)">
                  <c:v>156.4089912</c:v>
                </c:pt>
                <c:pt idx="8" formatCode="#,##0_);\(#,##0\)">
                  <c:v>192.38305917599999</c:v>
                </c:pt>
                <c:pt idx="9" formatCode="#,##0_);\(#,##0\)">
                  <c:v>230.85967101119996</c:v>
                </c:pt>
                <c:pt idx="10" formatCode="#,##0_);\(#,##0\)">
                  <c:v>270.10581508310395</c:v>
                </c:pt>
                <c:pt idx="11" formatCode="#,##0_);\(#,##0\)">
                  <c:v>307.92062919473852</c:v>
                </c:pt>
                <c:pt idx="12" formatCode="#,##0_);\(#,##0\)">
                  <c:v>341.79189840615982</c:v>
                </c:pt>
                <c:pt idx="13" formatCode="#,##0_);\(#,##0\)">
                  <c:v>369.13525027865262</c:v>
                </c:pt>
                <c:pt idx="14" formatCode="#,##0_);\(#,##0\)">
                  <c:v>387.59201279258525</c:v>
                </c:pt>
              </c:numCache>
            </c:numRef>
          </c:val>
          <c:smooth val="0"/>
          <c:extLst>
            <c:ext xmlns:c16="http://schemas.microsoft.com/office/drawing/2014/chart" uri="{C3380CC4-5D6E-409C-BE32-E72D297353CC}">
              <c16:uniqueId val="{00000019-F375-4DD0-96EB-0097916BDF95}"/>
            </c:ext>
          </c:extLst>
        </c:ser>
        <c:ser>
          <c:idx val="26"/>
          <c:order val="26"/>
          <c:tx>
            <c:strRef>
              <c:f>'Franchise Revenue'!$B$30</c:f>
              <c:strCache>
                <c:ptCount val="1"/>
                <c:pt idx="0">
                  <c:v>Maryland</c:v>
                </c:pt>
              </c:strCache>
            </c:strRef>
          </c:tx>
          <c:spPr>
            <a:ln w="28575" cap="rnd">
              <a:solidFill>
                <a:schemeClr val="bg2">
                  <a:lumMod val="75000"/>
                </a:schemeClr>
              </a:solidFill>
              <a:round/>
            </a:ln>
            <a:effectLst/>
          </c:spPr>
          <c:marker>
            <c:symbol val="none"/>
          </c:marker>
          <c:cat>
            <c:numRef>
              <c:f>'Franchise Revenue'!$C$3:$Q$3</c:f>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f>'Franchise Revenue'!$C$30:$Q$30</c:f>
              <c:numCache>
                <c:formatCode>General</c:formatCode>
                <c:ptCount val="15"/>
                <c:pt idx="0">
                  <c:v>13</c:v>
                </c:pt>
                <c:pt idx="3">
                  <c:v>53</c:v>
                </c:pt>
                <c:pt idx="4" formatCode="#,##0_);\(#,##0\)">
                  <c:v>66.25</c:v>
                </c:pt>
                <c:pt idx="5" formatCode="#,##0_);\(#,##0\)">
                  <c:v>80.825000000000003</c:v>
                </c:pt>
                <c:pt idx="6" formatCode="#,##0_);\(#,##0\)">
                  <c:v>96.181749999999994</c:v>
                </c:pt>
                <c:pt idx="7" formatCode="#,##0_);\(#,##0\)">
                  <c:v>111.57082999999999</c:v>
                </c:pt>
                <c:pt idx="8" formatCode="#,##0_);\(#,##0\)">
                  <c:v>126.07503789999997</c:v>
                </c:pt>
                <c:pt idx="9" formatCode="#,##0_);\(#,##0\)">
                  <c:v>138.68254168999997</c:v>
                </c:pt>
                <c:pt idx="10" formatCode="#,##0_);\(#,##0\)">
                  <c:v>148.39031960829996</c:v>
                </c:pt>
                <c:pt idx="11" formatCode="#,##0_);\(#,##0\)">
                  <c:v>154.32593239263196</c:v>
                </c:pt>
                <c:pt idx="12" formatCode="#,##0_);\(#,##0\)">
                  <c:v>155.86919171655828</c:v>
                </c:pt>
                <c:pt idx="13" formatCode="#,##0_);\(#,##0\)">
                  <c:v>155.86919171655828</c:v>
                </c:pt>
                <c:pt idx="14" formatCode="#,##0_);\(#,##0\)">
                  <c:v>155.86919171655828</c:v>
                </c:pt>
              </c:numCache>
            </c:numRef>
          </c:val>
          <c:smooth val="0"/>
          <c:extLst>
            <c:ext xmlns:c16="http://schemas.microsoft.com/office/drawing/2014/chart" uri="{C3380CC4-5D6E-409C-BE32-E72D297353CC}">
              <c16:uniqueId val="{0000001B-F375-4DD0-96EB-0097916BDF95}"/>
            </c:ext>
          </c:extLst>
        </c:ser>
        <c:ser>
          <c:idx val="28"/>
          <c:order val="28"/>
          <c:tx>
            <c:strRef>
              <c:f>'Franchise Revenue'!$B$32</c:f>
              <c:strCache>
                <c:ptCount val="1"/>
                <c:pt idx="0">
                  <c:v>Other</c:v>
                </c:pt>
              </c:strCache>
            </c:strRef>
          </c:tx>
          <c:spPr>
            <a:ln w="28575" cap="rnd">
              <a:solidFill>
                <a:schemeClr val="accent5">
                  <a:lumMod val="75000"/>
                </a:schemeClr>
              </a:solidFill>
              <a:round/>
            </a:ln>
            <a:effectLst/>
          </c:spPr>
          <c:marker>
            <c:symbol val="none"/>
          </c:marker>
          <c:cat>
            <c:numRef>
              <c:f>'Franchise Revenue'!$C$3:$Q$3</c:f>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f>'Franchise Revenue'!$C$32:$Q$32</c:f>
              <c:numCache>
                <c:formatCode>General</c:formatCode>
                <c:ptCount val="15"/>
                <c:pt idx="0">
                  <c:v>78</c:v>
                </c:pt>
                <c:pt idx="1">
                  <c:v>239</c:v>
                </c:pt>
                <c:pt idx="2">
                  <c:v>423</c:v>
                </c:pt>
                <c:pt idx="3">
                  <c:v>629</c:v>
                </c:pt>
                <c:pt idx="4" formatCode="#,##0_);\(#,##0\)">
                  <c:v>935.3215130023641</c:v>
                </c:pt>
                <c:pt idx="5" formatCode="#,##0_);\(#,##0\)">
                  <c:v>1334.7015878924042</c:v>
                </c:pt>
                <c:pt idx="6" formatCode="#,##0_);\(#,##0\)">
                  <c:v>1824.5339153260136</c:v>
                </c:pt>
                <c:pt idx="7" formatCode="#,##0_);\(#,##0\)">
                  <c:v>2384.6615140121512</c:v>
                </c:pt>
                <c:pt idx="8" formatCode="#,##0_);\(#,##0\)">
                  <c:v>2973.6672704754837</c:v>
                </c:pt>
                <c:pt idx="9" formatCode="#,##0_);\(#,##0\)">
                  <c:v>3529.7360201081333</c:v>
                </c:pt>
                <c:pt idx="10" formatCode="#,##0_);\(#,##0\)">
                  <c:v>3978.0041501322685</c:v>
                </c:pt>
                <c:pt idx="11" formatCode="#,##0_);\(#,##0\)">
                  <c:v>4244.5210239260005</c:v>
                </c:pt>
                <c:pt idx="12" formatCode="#,##0_);\(#,##0\)">
                  <c:v>4274.2226367648209</c:v>
                </c:pt>
                <c:pt idx="13" formatCode="#,##0_);\(#,##0\)">
                  <c:v>4274.2226367648209</c:v>
                </c:pt>
                <c:pt idx="14" formatCode="#,##0_);\(#,##0\)">
                  <c:v>4274.2226367648209</c:v>
                </c:pt>
              </c:numCache>
            </c:numRef>
          </c:val>
          <c:smooth val="0"/>
          <c:extLst>
            <c:ext xmlns:c16="http://schemas.microsoft.com/office/drawing/2014/chart" uri="{C3380CC4-5D6E-409C-BE32-E72D297353CC}">
              <c16:uniqueId val="{0000001D-F375-4DD0-96EB-0097916BDF95}"/>
            </c:ext>
          </c:extLst>
        </c:ser>
        <c:dLbls>
          <c:showLegendKey val="0"/>
          <c:showVal val="0"/>
          <c:showCatName val="0"/>
          <c:showSerName val="0"/>
          <c:showPercent val="0"/>
          <c:showBubbleSize val="0"/>
        </c:dLbls>
        <c:smooth val="0"/>
        <c:axId val="698343487"/>
        <c:axId val="698327679"/>
        <c:extLst>
          <c:ext xmlns:c15="http://schemas.microsoft.com/office/drawing/2012/chart" uri="{02D57815-91ED-43cb-92C2-25804820EDAC}">
            <c15:filteredLineSeries>
              <c15:ser>
                <c:idx val="1"/>
                <c:order val="1"/>
                <c:tx>
                  <c:strRef>
                    <c:extLst>
                      <c:ext uri="{02D57815-91ED-43cb-92C2-25804820EDAC}">
                        <c15:formulaRef>
                          <c15:sqref>'Franchise Revenue'!$B$5</c15:sqref>
                        </c15:formulaRef>
                      </c:ext>
                    </c:extLst>
                    <c:strCache>
                      <c:ptCount val="1"/>
                      <c:pt idx="0">
                        <c:v>% growth</c:v>
                      </c:pt>
                    </c:strCache>
                  </c:strRef>
                </c:tx>
                <c:spPr>
                  <a:ln w="28575" cap="rnd">
                    <a:solidFill>
                      <a:schemeClr val="accent4"/>
                    </a:solidFill>
                    <a:round/>
                  </a:ln>
                  <a:effectLst/>
                </c:spPr>
                <c:marker>
                  <c:symbol val="none"/>
                </c:marker>
                <c:cat>
                  <c:numRef>
                    <c:extLst>
                      <c:ex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c:ext uri="{02D57815-91ED-43cb-92C2-25804820EDAC}">
                        <c15:formulaRef>
                          <c15:sqref>'Franchise Revenue'!$C$5:$Q$5</c15:sqref>
                        </c15:formulaRef>
                      </c:ext>
                    </c:extLst>
                    <c:numCache>
                      <c:formatCode>#,##0.0%_);\(#,##0.0%\)</c:formatCode>
                      <c:ptCount val="15"/>
                      <c:pt idx="1">
                        <c:v>2.2123893805309658E-2</c:v>
                      </c:pt>
                      <c:pt idx="2">
                        <c:v>0.22077922077922074</c:v>
                      </c:pt>
                      <c:pt idx="3">
                        <c:v>0.26950354609929073</c:v>
                      </c:pt>
                      <c:pt idx="4">
                        <c:v>0.17080222022794037</c:v>
                      </c:pt>
                      <c:pt idx="5">
                        <c:v>0.14080222022794037</c:v>
                      </c:pt>
                      <c:pt idx="6">
                        <c:v>0.11080222022794037</c:v>
                      </c:pt>
                      <c:pt idx="7">
                        <c:v>8.0802220227940369E-2</c:v>
                      </c:pt>
                      <c:pt idx="8">
                        <c:v>5.080222022794037E-2</c:v>
                      </c:pt>
                      <c:pt idx="9">
                        <c:v>2.0802220227940371E-2</c:v>
                      </c:pt>
                      <c:pt idx="10">
                        <c:v>0</c:v>
                      </c:pt>
                      <c:pt idx="11">
                        <c:v>0</c:v>
                      </c:pt>
                      <c:pt idx="12">
                        <c:v>0</c:v>
                      </c:pt>
                      <c:pt idx="13">
                        <c:v>0</c:v>
                      </c:pt>
                      <c:pt idx="14">
                        <c:v>0</c:v>
                      </c:pt>
                    </c:numCache>
                  </c:numRef>
                </c:val>
                <c:smooth val="0"/>
                <c:extLst>
                  <c:ext xmlns:c16="http://schemas.microsoft.com/office/drawing/2014/chart" uri="{C3380CC4-5D6E-409C-BE32-E72D297353CC}">
                    <c16:uniqueId val="{00000001-F375-4DD0-96EB-0097916BDF9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'Franchise Revenue'!$B$7</c15:sqref>
                        </c15:formulaRef>
                      </c:ext>
                    </c:extLst>
                    <c:strCache>
                      <c:ptCount val="1"/>
                      <c:pt idx="0">
                        <c:v>% growth</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xmlns:c15="http://schemas.microsoft.com/office/drawing/2012/chart">
                      <c:ext xmlns:c15="http://schemas.microsoft.com/office/drawing/2012/chart" uri="{02D57815-91ED-43cb-92C2-25804820EDAC}">
                        <c15:formulaRef>
                          <c15:sqref>'Franchise Revenue'!$C$7:$Q$7</c15:sqref>
                        </c15:formulaRef>
                      </c:ext>
                    </c:extLst>
                    <c:numCache>
                      <c:formatCode>#,##0.0%_);\(#,##0.0%\)</c:formatCode>
                      <c:ptCount val="15"/>
                      <c:pt idx="1">
                        <c:v>0.40277777777777768</c:v>
                      </c:pt>
                      <c:pt idx="2">
                        <c:v>0.46534653465346532</c:v>
                      </c:pt>
                      <c:pt idx="3">
                        <c:v>0.33783783783783794</c:v>
                      </c:pt>
                      <c:pt idx="4">
                        <c:v>0.33783783783783794</c:v>
                      </c:pt>
                      <c:pt idx="5">
                        <c:v>0.30783783783783791</c:v>
                      </c:pt>
                      <c:pt idx="6">
                        <c:v>0.27783783783783789</c:v>
                      </c:pt>
                      <c:pt idx="7">
                        <c:v>0.24783783783783789</c:v>
                      </c:pt>
                      <c:pt idx="8">
                        <c:v>0.21783783783783789</c:v>
                      </c:pt>
                      <c:pt idx="9">
                        <c:v>0.18783783783783789</c:v>
                      </c:pt>
                      <c:pt idx="10">
                        <c:v>0.15783783783783789</c:v>
                      </c:pt>
                      <c:pt idx="11">
                        <c:v>0.12783783783783789</c:v>
                      </c:pt>
                      <c:pt idx="12">
                        <c:v>9.7837837837837893E-2</c:v>
                      </c:pt>
                      <c:pt idx="13">
                        <c:v>6.7837837837837894E-2</c:v>
                      </c:pt>
                      <c:pt idx="14">
                        <c:v>3.7837837837837895E-2</c:v>
                      </c:pt>
                    </c:numCache>
                  </c:numRef>
                </c:val>
                <c:smooth val="0"/>
                <c:extLst xmlns:c15="http://schemas.microsoft.com/office/drawing/2012/chart">
                  <c:ext xmlns:c16="http://schemas.microsoft.com/office/drawing/2014/chart" uri="{C3380CC4-5D6E-409C-BE32-E72D297353CC}">
                    <c16:uniqueId val="{00000003-F375-4DD0-96EB-0097916BDF95}"/>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'Franchise Revenue'!$B$9</c15:sqref>
                        </c15:formulaRef>
                      </c:ext>
                    </c:extLst>
                    <c:strCache>
                      <c:ptCount val="1"/>
                      <c:pt idx="0">
                        <c:v>% growth</c:v>
                      </c:pt>
                    </c:strCache>
                  </c:strRef>
                </c:tx>
                <c:spPr>
                  <a:ln w="28575" cap="rnd">
                    <a:solidFill>
                      <a:schemeClr val="accent6">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xmlns:c15="http://schemas.microsoft.com/office/drawing/2012/chart">
                      <c:ext xmlns:c15="http://schemas.microsoft.com/office/drawing/2012/chart" uri="{02D57815-91ED-43cb-92C2-25804820EDAC}">
                        <c15:formulaRef>
                          <c15:sqref>'Franchise Revenue'!$C$9:$Q$9</c15:sqref>
                        </c15:formulaRef>
                      </c:ext>
                    </c:extLst>
                    <c:numCache>
                      <c:formatCode>#,##0.0%_);\(#,##0.0%\)</c:formatCode>
                      <c:ptCount val="15"/>
                      <c:pt idx="1">
                        <c:v>0.94736842105263164</c:v>
                      </c:pt>
                      <c:pt idx="2">
                        <c:v>1.0810810810810811</c:v>
                      </c:pt>
                      <c:pt idx="3">
                        <c:v>0.70129870129870131</c:v>
                      </c:pt>
                      <c:pt idx="4">
                        <c:v>0.70129870129870131</c:v>
                      </c:pt>
                      <c:pt idx="5">
                        <c:v>0.62129870129870135</c:v>
                      </c:pt>
                      <c:pt idx="6">
                        <c:v>0.54129870129870139</c:v>
                      </c:pt>
                      <c:pt idx="7">
                        <c:v>0.46129870129870137</c:v>
                      </c:pt>
                      <c:pt idx="8">
                        <c:v>0.38129870129870136</c:v>
                      </c:pt>
                      <c:pt idx="9">
                        <c:v>0.30129870129870134</c:v>
                      </c:pt>
                      <c:pt idx="10">
                        <c:v>0.22129870129870133</c:v>
                      </c:pt>
                      <c:pt idx="11">
                        <c:v>0.14129870129870131</c:v>
                      </c:pt>
                      <c:pt idx="12">
                        <c:v>6.1298701298701311E-2</c:v>
                      </c:pt>
                      <c:pt idx="13">
                        <c:v>0</c:v>
                      </c:pt>
                      <c:pt idx="14">
                        <c:v>0</c:v>
                      </c:pt>
                    </c:numCache>
                  </c:numRef>
                </c:val>
                <c:smooth val="0"/>
                <c:extLst xmlns:c15="http://schemas.microsoft.com/office/drawing/2012/chart">
                  <c:ext xmlns:c16="http://schemas.microsoft.com/office/drawing/2014/chart" uri="{C3380CC4-5D6E-409C-BE32-E72D297353CC}">
                    <c16:uniqueId val="{00000005-F375-4DD0-96EB-0097916BDF95}"/>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'Franchise Revenue'!$B$11</c15:sqref>
                        </c15:formulaRef>
                      </c:ext>
                    </c:extLst>
                    <c:strCache>
                      <c:ptCount val="1"/>
                      <c:pt idx="0">
                        <c:v>% growth</c:v>
                      </c:pt>
                    </c:strCache>
                  </c:strRef>
                </c:tx>
                <c:spPr>
                  <a:ln w="28575" cap="rnd">
                    <a:solidFill>
                      <a:schemeClr val="accent4">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xmlns:c15="http://schemas.microsoft.com/office/drawing/2012/chart">
                      <c:ext xmlns:c15="http://schemas.microsoft.com/office/drawing/2012/chart" uri="{02D57815-91ED-43cb-92C2-25804820EDAC}">
                        <c15:formulaRef>
                          <c15:sqref>'Franchise Revenue'!$C$11:$Q$11</c15:sqref>
                        </c15:formulaRef>
                      </c:ext>
                    </c:extLst>
                    <c:numCache>
                      <c:formatCode>#,##0.0%_);\(#,##0.0%\)</c:formatCode>
                      <c:ptCount val="15"/>
                      <c:pt idx="1">
                        <c:v>0.30434782608695654</c:v>
                      </c:pt>
                      <c:pt idx="2">
                        <c:v>0.3666666666666667</c:v>
                      </c:pt>
                      <c:pt idx="3">
                        <c:v>0.40243902439024382</c:v>
                      </c:pt>
                      <c:pt idx="4">
                        <c:v>0.35781783904795567</c:v>
                      </c:pt>
                      <c:pt idx="5">
                        <c:v>0.32781783904795569</c:v>
                      </c:pt>
                      <c:pt idx="6">
                        <c:v>0.29781783904795567</c:v>
                      </c:pt>
                      <c:pt idx="7">
                        <c:v>0.26781783904795564</c:v>
                      </c:pt>
                      <c:pt idx="8">
                        <c:v>0.23781783904795564</c:v>
                      </c:pt>
                      <c:pt idx="9">
                        <c:v>0.20781783904795564</c:v>
                      </c:pt>
                      <c:pt idx="10">
                        <c:v>0.17781783904795564</c:v>
                      </c:pt>
                      <c:pt idx="11">
                        <c:v>0.14781783904795565</c:v>
                      </c:pt>
                      <c:pt idx="12">
                        <c:v>0.11781783904795565</c:v>
                      </c:pt>
                      <c:pt idx="13">
                        <c:v>8.7817839047955648E-2</c:v>
                      </c:pt>
                      <c:pt idx="14">
                        <c:v>5.7817839047955649E-2</c:v>
                      </c:pt>
                    </c:numCache>
                  </c:numRef>
                </c:val>
                <c:smooth val="0"/>
                <c:extLst xmlns:c15="http://schemas.microsoft.com/office/drawing/2012/chart">
                  <c:ext xmlns:c16="http://schemas.microsoft.com/office/drawing/2014/chart" uri="{C3380CC4-5D6E-409C-BE32-E72D297353CC}">
                    <c16:uniqueId val="{00000007-F375-4DD0-96EB-0097916BDF95}"/>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'Franchise Revenue'!$B$13</c15:sqref>
                        </c15:formulaRef>
                      </c:ext>
                    </c:extLst>
                    <c:strCache>
                      <c:ptCount val="1"/>
                      <c:pt idx="0">
                        <c:v>% growth</c:v>
                      </c:pt>
                    </c:strCache>
                  </c:strRef>
                </c:tx>
                <c:spPr>
                  <a:ln w="28575" cap="rnd">
                    <a:solidFill>
                      <a:schemeClr val="accent2">
                        <a:lumMod val="80000"/>
                      </a:schemeClr>
                    </a:solidFill>
                    <a:round/>
                  </a:ln>
                  <a:effectLst/>
                </c:spPr>
                <c:marker>
                  <c:symbol val="none"/>
                </c:marker>
                <c:cat>
                  <c:numRef>
                    <c:extLst xmlns:c15="http://schemas.microsoft.com/office/drawing/2012/chart">
                      <c:ext xmlns:c15="http://schemas.microsoft.com/office/drawing/2012/char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xmlns:c15="http://schemas.microsoft.com/office/drawing/2012/chart">
                      <c:ext xmlns:c15="http://schemas.microsoft.com/office/drawing/2012/chart" uri="{02D57815-91ED-43cb-92C2-25804820EDAC}">
                        <c15:formulaRef>
                          <c15:sqref>'Franchise Revenue'!$C$13:$Q$13</c15:sqref>
                        </c15:formulaRef>
                      </c:ext>
                    </c:extLst>
                    <c:numCache>
                      <c:formatCode>#,##0.0%_);\(#,##0.0%\)</c:formatCode>
                      <c:ptCount val="15"/>
                      <c:pt idx="1">
                        <c:v>0.3125</c:v>
                      </c:pt>
                      <c:pt idx="2">
                        <c:v>0.20634920634920628</c:v>
                      </c:pt>
                      <c:pt idx="3">
                        <c:v>0.26315789473684204</c:v>
                      </c:pt>
                      <c:pt idx="4">
                        <c:v>0.26066903369534944</c:v>
                      </c:pt>
                      <c:pt idx="5">
                        <c:v>0.23066903369534944</c:v>
                      </c:pt>
                      <c:pt idx="6">
                        <c:v>0.20066903369534944</c:v>
                      </c:pt>
                      <c:pt idx="7">
                        <c:v>0.17066903369534944</c:v>
                      </c:pt>
                      <c:pt idx="8">
                        <c:v>0.14066903369534944</c:v>
                      </c:pt>
                      <c:pt idx="9">
                        <c:v>0.11066903369534944</c:v>
                      </c:pt>
                      <c:pt idx="10">
                        <c:v>8.0669033695349446E-2</c:v>
                      </c:pt>
                      <c:pt idx="11">
                        <c:v>5.0669033695349447E-2</c:v>
                      </c:pt>
                      <c:pt idx="12">
                        <c:v>2.0669033695349448E-2</c:v>
                      </c:pt>
                      <c:pt idx="13">
                        <c:v>0</c:v>
                      </c:pt>
                      <c:pt idx="14">
                        <c:v>0</c:v>
                      </c:pt>
                    </c:numCache>
                  </c:numRef>
                </c:val>
                <c:smooth val="0"/>
                <c:extLst xmlns:c15="http://schemas.microsoft.com/office/drawing/2012/chart">
                  <c:ext xmlns:c16="http://schemas.microsoft.com/office/drawing/2014/chart" uri="{C3380CC4-5D6E-409C-BE32-E72D297353CC}">
                    <c16:uniqueId val="{00000009-F375-4DD0-96EB-0097916BDF95}"/>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'Franchise Revenue'!$B$15</c15:sqref>
                        </c15:formulaRef>
                      </c:ext>
                    </c:extLst>
                    <c:strCache>
                      <c:ptCount val="1"/>
                      <c:pt idx="0">
                        <c:v>% growth</c:v>
                      </c:pt>
                    </c:strCache>
                  </c:strRef>
                </c:tx>
                <c:spPr>
                  <a:ln w="28575" cap="rnd">
                    <a:solidFill>
                      <a:schemeClr val="accent6">
                        <a:lumMod val="80000"/>
                      </a:schemeClr>
                    </a:solidFill>
                    <a:round/>
                  </a:ln>
                  <a:effectLst/>
                </c:spPr>
                <c:marker>
                  <c:symbol val="none"/>
                </c:marker>
                <c:cat>
                  <c:numRef>
                    <c:extLst xmlns:c15="http://schemas.microsoft.com/office/drawing/2012/chart">
                      <c:ext xmlns:c15="http://schemas.microsoft.com/office/drawing/2012/char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xmlns:c15="http://schemas.microsoft.com/office/drawing/2012/chart">
                      <c:ext xmlns:c15="http://schemas.microsoft.com/office/drawing/2012/chart" uri="{02D57815-91ED-43cb-92C2-25804820EDAC}">
                        <c15:formulaRef>
                          <c15:sqref>'Franchise Revenue'!$C$15:$Q$15</c15:sqref>
                        </c15:formulaRef>
                      </c:ext>
                    </c:extLst>
                    <c:numCache>
                      <c:formatCode>#,##0.0%_);\(#,##0.0%\)</c:formatCode>
                      <c:ptCount val="15"/>
                      <c:pt idx="1">
                        <c:v>0.31428571428571428</c:v>
                      </c:pt>
                      <c:pt idx="2">
                        <c:v>0.5</c:v>
                      </c:pt>
                      <c:pt idx="3">
                        <c:v>0.2753623188405796</c:v>
                      </c:pt>
                      <c:pt idx="4">
                        <c:v>0.2753623188405796</c:v>
                      </c:pt>
                      <c:pt idx="5">
                        <c:v>0.2453623188405796</c:v>
                      </c:pt>
                      <c:pt idx="6">
                        <c:v>0.2153623188405796</c:v>
                      </c:pt>
                      <c:pt idx="7">
                        <c:v>0.1853623188405796</c:v>
                      </c:pt>
                      <c:pt idx="8">
                        <c:v>0.15536231884057961</c:v>
                      </c:pt>
                      <c:pt idx="9">
                        <c:v>0.12536231884057961</c:v>
                      </c:pt>
                      <c:pt idx="10">
                        <c:v>9.5362318840579607E-2</c:v>
                      </c:pt>
                      <c:pt idx="11">
                        <c:v>6.5362318840579609E-2</c:v>
                      </c:pt>
                      <c:pt idx="12">
                        <c:v>3.536231884057961E-2</c:v>
                      </c:pt>
                      <c:pt idx="13">
                        <c:v>5.3623188405796107E-3</c:v>
                      </c:pt>
                      <c:pt idx="14">
                        <c:v>0</c:v>
                      </c:pt>
                    </c:numCache>
                  </c:numRef>
                </c:val>
                <c:smooth val="0"/>
                <c:extLst xmlns:c15="http://schemas.microsoft.com/office/drawing/2012/chart">
                  <c:ext xmlns:c16="http://schemas.microsoft.com/office/drawing/2014/chart" uri="{C3380CC4-5D6E-409C-BE32-E72D297353CC}">
                    <c16:uniqueId val="{0000000B-F375-4DD0-96EB-0097916BDF95}"/>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'Franchise Revenue'!$B$17</c15:sqref>
                        </c15:formulaRef>
                      </c:ext>
                    </c:extLst>
                    <c:strCache>
                      <c:ptCount val="1"/>
                      <c:pt idx="0">
                        <c:v>% growth</c:v>
                      </c:pt>
                    </c:strCache>
                  </c:strRef>
                </c:tx>
                <c:spPr>
                  <a:ln w="28575" cap="rnd">
                    <a:solidFill>
                      <a:schemeClr val="accent4">
                        <a:lumMod val="60000"/>
                        <a:lumOff val="40000"/>
                      </a:schemeClr>
                    </a:solidFill>
                    <a:round/>
                  </a:ln>
                  <a:effectLst/>
                </c:spPr>
                <c:marker>
                  <c:symbol val="none"/>
                </c:marker>
                <c:cat>
                  <c:numRef>
                    <c:extLst xmlns:c15="http://schemas.microsoft.com/office/drawing/2012/chart">
                      <c:ext xmlns:c15="http://schemas.microsoft.com/office/drawing/2012/char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xmlns:c15="http://schemas.microsoft.com/office/drawing/2012/chart">
                      <c:ext xmlns:c15="http://schemas.microsoft.com/office/drawing/2012/chart" uri="{02D57815-91ED-43cb-92C2-25804820EDAC}">
                        <c15:formulaRef>
                          <c15:sqref>'Franchise Revenue'!$C$17:$Q$17</c15:sqref>
                        </c15:formulaRef>
                      </c:ext>
                    </c:extLst>
                    <c:numCache>
                      <c:formatCode>#,##0.0%_);\(#,##0.0%\)</c:formatCode>
                      <c:ptCount val="15"/>
                      <c:pt idx="1">
                        <c:v>0.125</c:v>
                      </c:pt>
                      <c:pt idx="2">
                        <c:v>0.48888888888888893</c:v>
                      </c:pt>
                      <c:pt idx="3">
                        <c:v>0.31343283582089554</c:v>
                      </c:pt>
                      <c:pt idx="4">
                        <c:v>0.30910724156992814</c:v>
                      </c:pt>
                      <c:pt idx="5">
                        <c:v>0.27910724156992817</c:v>
                      </c:pt>
                      <c:pt idx="6">
                        <c:v>0.24910724156992817</c:v>
                      </c:pt>
                      <c:pt idx="7">
                        <c:v>0.21910724156992817</c:v>
                      </c:pt>
                      <c:pt idx="8">
                        <c:v>0.18910724156992817</c:v>
                      </c:pt>
                      <c:pt idx="9">
                        <c:v>0.15910724156992817</c:v>
                      </c:pt>
                      <c:pt idx="10">
                        <c:v>0.12910724156992817</c:v>
                      </c:pt>
                      <c:pt idx="11">
                        <c:v>9.9107241569928173E-2</c:v>
                      </c:pt>
                      <c:pt idx="12">
                        <c:v>6.9107241569928174E-2</c:v>
                      </c:pt>
                      <c:pt idx="13">
                        <c:v>3.9107241569928175E-2</c:v>
                      </c:pt>
                      <c:pt idx="14">
                        <c:v>9.1072415699281761E-3</c:v>
                      </c:pt>
                    </c:numCache>
                  </c:numRef>
                </c:val>
                <c:smooth val="0"/>
                <c:extLst xmlns:c15="http://schemas.microsoft.com/office/drawing/2012/chart">
                  <c:ext xmlns:c16="http://schemas.microsoft.com/office/drawing/2014/chart" uri="{C3380CC4-5D6E-409C-BE32-E72D297353CC}">
                    <c16:uniqueId val="{0000000D-F375-4DD0-96EB-0097916BDF95}"/>
                  </c:ext>
                </c:extLst>
              </c15:ser>
            </c15:filteredLineSeries>
            <c15:filteredLineSeries>
              <c15:ser>
                <c:idx val="15"/>
                <c:order val="15"/>
                <c:tx>
                  <c:strRef>
                    <c:extLst xmlns:c15="http://schemas.microsoft.com/office/drawing/2012/chart">
                      <c:ext xmlns:c15="http://schemas.microsoft.com/office/drawing/2012/chart" uri="{02D57815-91ED-43cb-92C2-25804820EDAC}">
                        <c15:formulaRef>
                          <c15:sqref>'Franchise Revenue'!$B$19</c15:sqref>
                        </c15:formulaRef>
                      </c:ext>
                    </c:extLst>
                    <c:strCache>
                      <c:ptCount val="1"/>
                      <c:pt idx="0">
                        <c:v>% growth</c:v>
                      </c:pt>
                    </c:strCache>
                  </c:strRef>
                </c:tx>
                <c:spPr>
                  <a:ln w="28575" cap="rnd">
                    <a:solidFill>
                      <a:schemeClr val="accent2">
                        <a:lumMod val="50000"/>
                      </a:schemeClr>
                    </a:solidFill>
                    <a:round/>
                  </a:ln>
                  <a:effectLst/>
                </c:spPr>
                <c:marker>
                  <c:symbol val="none"/>
                </c:marker>
                <c:cat>
                  <c:numRef>
                    <c:extLst xmlns:c15="http://schemas.microsoft.com/office/drawing/2012/chart">
                      <c:ext xmlns:c15="http://schemas.microsoft.com/office/drawing/2012/char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xmlns:c15="http://schemas.microsoft.com/office/drawing/2012/chart">
                      <c:ext xmlns:c15="http://schemas.microsoft.com/office/drawing/2012/chart" uri="{02D57815-91ED-43cb-92C2-25804820EDAC}">
                        <c15:formulaRef>
                          <c15:sqref>'Franchise Revenue'!$C$19:$Q$19</c15:sqref>
                        </c15:formulaRef>
                      </c:ext>
                    </c:extLst>
                    <c:numCache>
                      <c:formatCode>#,##0.0%_);\(#,##0.0%\)</c:formatCode>
                      <c:ptCount val="15"/>
                      <c:pt idx="2">
                        <c:v>0.56756756756756754</c:v>
                      </c:pt>
                      <c:pt idx="3">
                        <c:v>0.51724137931034475</c:v>
                      </c:pt>
                      <c:pt idx="4">
                        <c:v>0.51724137931034475</c:v>
                      </c:pt>
                      <c:pt idx="5">
                        <c:v>0.45724137931034475</c:v>
                      </c:pt>
                      <c:pt idx="6">
                        <c:v>0.39724137931034476</c:v>
                      </c:pt>
                      <c:pt idx="7">
                        <c:v>0.33724137931034476</c:v>
                      </c:pt>
                      <c:pt idx="8">
                        <c:v>0.27724137931034476</c:v>
                      </c:pt>
                      <c:pt idx="9">
                        <c:v>0.21724137931034476</c:v>
                      </c:pt>
                      <c:pt idx="10">
                        <c:v>0.15724137931034476</c:v>
                      </c:pt>
                      <c:pt idx="11">
                        <c:v>9.7241379310344767E-2</c:v>
                      </c:pt>
                      <c:pt idx="12">
                        <c:v>3.7241379310344769E-2</c:v>
                      </c:pt>
                      <c:pt idx="13">
                        <c:v>0</c:v>
                      </c:pt>
                      <c:pt idx="14">
                        <c:v>0</c:v>
                      </c:pt>
                    </c:numCache>
                  </c:numRef>
                </c:val>
                <c:smooth val="0"/>
                <c:extLst xmlns:c15="http://schemas.microsoft.com/office/drawing/2012/chart">
                  <c:ext xmlns:c16="http://schemas.microsoft.com/office/drawing/2014/chart" uri="{C3380CC4-5D6E-409C-BE32-E72D297353CC}">
                    <c16:uniqueId val="{0000000F-F375-4DD0-96EB-0097916BDF95}"/>
                  </c:ext>
                </c:extLst>
              </c15:ser>
            </c15:filteredLineSeries>
            <c15:filteredLineSeries>
              <c15:ser>
                <c:idx val="17"/>
                <c:order val="17"/>
                <c:tx>
                  <c:strRef>
                    <c:extLst xmlns:c15="http://schemas.microsoft.com/office/drawing/2012/chart">
                      <c:ext xmlns:c15="http://schemas.microsoft.com/office/drawing/2012/chart" uri="{02D57815-91ED-43cb-92C2-25804820EDAC}">
                        <c15:formulaRef>
                          <c15:sqref>'Franchise Revenue'!$B$21</c15:sqref>
                        </c15:formulaRef>
                      </c:ext>
                    </c:extLst>
                    <c:strCache>
                      <c:ptCount val="1"/>
                      <c:pt idx="0">
                        <c:v>% growth</c:v>
                      </c:pt>
                    </c:strCache>
                  </c:strRef>
                </c:tx>
                <c:spPr>
                  <a:ln w="28575" cap="rnd">
                    <a:solidFill>
                      <a:schemeClr val="accent6">
                        <a:lumMod val="50000"/>
                      </a:schemeClr>
                    </a:solidFill>
                    <a:round/>
                  </a:ln>
                  <a:effectLst/>
                </c:spPr>
                <c:marker>
                  <c:symbol val="none"/>
                </c:marker>
                <c:cat>
                  <c:numRef>
                    <c:extLst xmlns:c15="http://schemas.microsoft.com/office/drawing/2012/chart">
                      <c:ext xmlns:c15="http://schemas.microsoft.com/office/drawing/2012/char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xmlns:c15="http://schemas.microsoft.com/office/drawing/2012/chart">
                      <c:ext xmlns:c15="http://schemas.microsoft.com/office/drawing/2012/chart" uri="{02D57815-91ED-43cb-92C2-25804820EDAC}">
                        <c15:formulaRef>
                          <c15:sqref>'Franchise Revenue'!$C$21:$Q$21</c15:sqref>
                        </c15:formulaRef>
                      </c:ext>
                    </c:extLst>
                    <c:numCache>
                      <c:formatCode>#,##0.0%_);\(#,##0.0%\)</c:formatCode>
                      <c:ptCount val="15"/>
                      <c:pt idx="3">
                        <c:v>0.32758620689655182</c:v>
                      </c:pt>
                      <c:pt idx="4">
                        <c:v>0.32758620689655182</c:v>
                      </c:pt>
                      <c:pt idx="5">
                        <c:v>0.2975862068965518</c:v>
                      </c:pt>
                      <c:pt idx="6">
                        <c:v>0.26758620689655177</c:v>
                      </c:pt>
                      <c:pt idx="7">
                        <c:v>0.23758620689655177</c:v>
                      </c:pt>
                      <c:pt idx="8">
                        <c:v>0.20758620689655177</c:v>
                      </c:pt>
                      <c:pt idx="9">
                        <c:v>0.17758620689655177</c:v>
                      </c:pt>
                      <c:pt idx="10">
                        <c:v>0.14758620689655177</c:v>
                      </c:pt>
                      <c:pt idx="11">
                        <c:v>0.11758620689655178</c:v>
                      </c:pt>
                      <c:pt idx="12">
                        <c:v>8.7586206896551777E-2</c:v>
                      </c:pt>
                      <c:pt idx="13">
                        <c:v>5.7586206896551778E-2</c:v>
                      </c:pt>
                      <c:pt idx="14">
                        <c:v>2.7586206896551779E-2</c:v>
                      </c:pt>
                    </c:numCache>
                  </c:numRef>
                </c:val>
                <c:smooth val="0"/>
                <c:extLst xmlns:c15="http://schemas.microsoft.com/office/drawing/2012/chart">
                  <c:ext xmlns:c16="http://schemas.microsoft.com/office/drawing/2014/chart" uri="{C3380CC4-5D6E-409C-BE32-E72D297353CC}">
                    <c16:uniqueId val="{00000012-F375-4DD0-96EB-0097916BDF95}"/>
                  </c:ext>
                </c:extLst>
              </c15:ser>
            </c15:filteredLineSeries>
            <c15:filteredLineSeries>
              <c15:ser>
                <c:idx val="19"/>
                <c:order val="19"/>
                <c:tx>
                  <c:strRef>
                    <c:extLst xmlns:c15="http://schemas.microsoft.com/office/drawing/2012/chart">
                      <c:ext xmlns:c15="http://schemas.microsoft.com/office/drawing/2012/chart" uri="{02D57815-91ED-43cb-92C2-25804820EDAC}">
                        <c15:formulaRef>
                          <c15:sqref>'Franchise Revenue'!$B$23</c15:sqref>
                        </c15:formulaRef>
                      </c:ext>
                    </c:extLst>
                    <c:strCache>
                      <c:ptCount val="1"/>
                      <c:pt idx="0">
                        <c:v>% growth</c:v>
                      </c:pt>
                    </c:strCache>
                  </c:strRef>
                </c:tx>
                <c:spPr>
                  <a:ln w="28575" cap="rnd">
                    <a:solidFill>
                      <a:schemeClr val="accent4">
                        <a:lumMod val="70000"/>
                        <a:lumOff val="30000"/>
                      </a:schemeClr>
                    </a:solidFill>
                    <a:round/>
                  </a:ln>
                  <a:effectLst/>
                </c:spPr>
                <c:marker>
                  <c:symbol val="none"/>
                </c:marker>
                <c:cat>
                  <c:numRef>
                    <c:extLst xmlns:c15="http://schemas.microsoft.com/office/drawing/2012/chart">
                      <c:ext xmlns:c15="http://schemas.microsoft.com/office/drawing/2012/char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xmlns:c15="http://schemas.microsoft.com/office/drawing/2012/chart">
                      <c:ext xmlns:c15="http://schemas.microsoft.com/office/drawing/2012/chart" uri="{02D57815-91ED-43cb-92C2-25804820EDAC}">
                        <c15:formulaRef>
                          <c15:sqref>'Franchise Revenue'!$C$23:$Q$23</c15:sqref>
                        </c15:formulaRef>
                      </c:ext>
                    </c:extLst>
                    <c:numCache>
                      <c:formatCode>#,##0.0%_);\(#,##0.0%\)</c:formatCode>
                      <c:ptCount val="15"/>
                      <c:pt idx="1">
                        <c:v>0.30769230769230771</c:v>
                      </c:pt>
                      <c:pt idx="2">
                        <c:v>0.35294117647058831</c:v>
                      </c:pt>
                      <c:pt idx="3">
                        <c:v>0.32608695652173902</c:v>
                      </c:pt>
                      <c:pt idx="4">
                        <c:v>0.32608695652173902</c:v>
                      </c:pt>
                      <c:pt idx="5">
                        <c:v>0.296086956521739</c:v>
                      </c:pt>
                      <c:pt idx="6">
                        <c:v>0.26608695652173897</c:v>
                      </c:pt>
                      <c:pt idx="7">
                        <c:v>0.23608695652173897</c:v>
                      </c:pt>
                      <c:pt idx="8">
                        <c:v>0.20608695652173897</c:v>
                      </c:pt>
                      <c:pt idx="9">
                        <c:v>0.17608695652173897</c:v>
                      </c:pt>
                      <c:pt idx="10">
                        <c:v>0.14608695652173898</c:v>
                      </c:pt>
                      <c:pt idx="11">
                        <c:v>0.11608695652173898</c:v>
                      </c:pt>
                      <c:pt idx="12">
                        <c:v>8.6086956521738978E-2</c:v>
                      </c:pt>
                      <c:pt idx="13">
                        <c:v>5.6086956521738979E-2</c:v>
                      </c:pt>
                      <c:pt idx="14">
                        <c:v>2.608695652173898E-2</c:v>
                      </c:pt>
                    </c:numCache>
                  </c:numRef>
                </c:val>
                <c:smooth val="0"/>
                <c:extLst xmlns:c15="http://schemas.microsoft.com/office/drawing/2012/chart">
                  <c:ext xmlns:c16="http://schemas.microsoft.com/office/drawing/2014/chart" uri="{C3380CC4-5D6E-409C-BE32-E72D297353CC}">
                    <c16:uniqueId val="{00000014-F375-4DD0-96EB-0097916BDF95}"/>
                  </c:ext>
                </c:extLst>
              </c15:ser>
            </c15:filteredLineSeries>
            <c15:filteredLineSeries>
              <c15:ser>
                <c:idx val="21"/>
                <c:order val="21"/>
                <c:tx>
                  <c:strRef>
                    <c:extLst xmlns:c15="http://schemas.microsoft.com/office/drawing/2012/chart">
                      <c:ext xmlns:c15="http://schemas.microsoft.com/office/drawing/2012/chart" uri="{02D57815-91ED-43cb-92C2-25804820EDAC}">
                        <c15:formulaRef>
                          <c15:sqref>'Franchise Revenue'!$B$25</c15:sqref>
                        </c15:formulaRef>
                      </c:ext>
                    </c:extLst>
                    <c:strCache>
                      <c:ptCount val="1"/>
                      <c:pt idx="0">
                        <c:v>% growth</c:v>
                      </c:pt>
                    </c:strCache>
                  </c:strRef>
                </c:tx>
                <c:spPr>
                  <a:ln w="28575" cap="rnd">
                    <a:solidFill>
                      <a:schemeClr val="accent2">
                        <a:lumMod val="70000"/>
                      </a:schemeClr>
                    </a:solidFill>
                    <a:round/>
                  </a:ln>
                  <a:effectLst/>
                </c:spPr>
                <c:marker>
                  <c:symbol val="none"/>
                </c:marker>
                <c:cat>
                  <c:numRef>
                    <c:extLst xmlns:c15="http://schemas.microsoft.com/office/drawing/2012/chart">
                      <c:ext xmlns:c15="http://schemas.microsoft.com/office/drawing/2012/char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xmlns:c15="http://schemas.microsoft.com/office/drawing/2012/chart">
                      <c:ext xmlns:c15="http://schemas.microsoft.com/office/drawing/2012/chart" uri="{02D57815-91ED-43cb-92C2-25804820EDAC}">
                        <c15:formulaRef>
                          <c15:sqref>'Franchise Revenue'!$C$25:$Q$25</c15:sqref>
                        </c15:formulaRef>
                      </c:ext>
                    </c:extLst>
                    <c:numCache>
                      <c:formatCode>#,##0.0%_);\(#,##0.0%\)</c:formatCode>
                      <c:ptCount val="15"/>
                      <c:pt idx="1">
                        <c:v>0.8</c:v>
                      </c:pt>
                      <c:pt idx="2">
                        <c:v>0.55555555555555558</c:v>
                      </c:pt>
                      <c:pt idx="3">
                        <c:v>0.40476190476190466</c:v>
                      </c:pt>
                      <c:pt idx="4">
                        <c:v>0.40476190476190466</c:v>
                      </c:pt>
                      <c:pt idx="5">
                        <c:v>0.34476190476190466</c:v>
                      </c:pt>
                      <c:pt idx="6">
                        <c:v>0.28476190476190466</c:v>
                      </c:pt>
                      <c:pt idx="7">
                        <c:v>0.22476190476190466</c:v>
                      </c:pt>
                      <c:pt idx="8">
                        <c:v>0.16476190476190467</c:v>
                      </c:pt>
                      <c:pt idx="9">
                        <c:v>0.10476190476190467</c:v>
                      </c:pt>
                      <c:pt idx="10">
                        <c:v>4.4761904761904669E-2</c:v>
                      </c:pt>
                      <c:pt idx="11">
                        <c:v>0</c:v>
                      </c:pt>
                      <c:pt idx="12">
                        <c:v>0</c:v>
                      </c:pt>
                      <c:pt idx="13">
                        <c:v>0</c:v>
                      </c:pt>
                      <c:pt idx="14">
                        <c:v>0</c:v>
                      </c:pt>
                    </c:numCache>
                  </c:numRef>
                </c:val>
                <c:smooth val="0"/>
                <c:extLst xmlns:c15="http://schemas.microsoft.com/office/drawing/2012/chart">
                  <c:ext xmlns:c16="http://schemas.microsoft.com/office/drawing/2014/chart" uri="{C3380CC4-5D6E-409C-BE32-E72D297353CC}">
                    <c16:uniqueId val="{00000016-F375-4DD0-96EB-0097916BDF95}"/>
                  </c:ext>
                </c:extLst>
              </c15:ser>
            </c15:filteredLineSeries>
            <c15:filteredLineSeries>
              <c15:ser>
                <c:idx val="23"/>
                <c:order val="23"/>
                <c:tx>
                  <c:strRef>
                    <c:extLst xmlns:c15="http://schemas.microsoft.com/office/drawing/2012/chart">
                      <c:ext xmlns:c15="http://schemas.microsoft.com/office/drawing/2012/chart" uri="{02D57815-91ED-43cb-92C2-25804820EDAC}">
                        <c15:formulaRef>
                          <c15:sqref>'Franchise Revenue'!$B$27</c15:sqref>
                        </c15:formulaRef>
                      </c:ext>
                    </c:extLst>
                    <c:strCache>
                      <c:ptCount val="1"/>
                      <c:pt idx="0">
                        <c:v>% growth</c:v>
                      </c:pt>
                    </c:strCache>
                  </c:strRef>
                </c:tx>
                <c:spPr>
                  <a:ln w="28575" cap="rnd">
                    <a:solidFill>
                      <a:schemeClr val="accent6">
                        <a:lumMod val="70000"/>
                      </a:schemeClr>
                    </a:solidFill>
                    <a:round/>
                  </a:ln>
                  <a:effectLst/>
                </c:spPr>
                <c:marker>
                  <c:symbol val="none"/>
                </c:marker>
                <c:cat>
                  <c:numRef>
                    <c:extLst xmlns:c15="http://schemas.microsoft.com/office/drawing/2012/chart">
                      <c:ext xmlns:c15="http://schemas.microsoft.com/office/drawing/2012/char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xmlns:c15="http://schemas.microsoft.com/office/drawing/2012/chart">
                      <c:ext xmlns:c15="http://schemas.microsoft.com/office/drawing/2012/chart" uri="{02D57815-91ED-43cb-92C2-25804820EDAC}">
                        <c15:formulaRef>
                          <c15:sqref>'Franchise Revenue'!$C$27:$Q$27</c15:sqref>
                        </c15:formulaRef>
                      </c:ext>
                    </c:extLst>
                    <c:numCache>
                      <c:formatCode>#,##0.0%_);\(#,##0.0%\)</c:formatCode>
                      <c:ptCount val="15"/>
                      <c:pt idx="4">
                        <c:v>0.25</c:v>
                      </c:pt>
                      <c:pt idx="5">
                        <c:v>0.22</c:v>
                      </c:pt>
                      <c:pt idx="6">
                        <c:v>0.19</c:v>
                      </c:pt>
                      <c:pt idx="7">
                        <c:v>0.16</c:v>
                      </c:pt>
                      <c:pt idx="8">
                        <c:v>0.13</c:v>
                      </c:pt>
                      <c:pt idx="9">
                        <c:v>0.1</c:v>
                      </c:pt>
                      <c:pt idx="10">
                        <c:v>7.0000000000000007E-2</c:v>
                      </c:pt>
                      <c:pt idx="11">
                        <c:v>4.0000000000000008E-2</c:v>
                      </c:pt>
                      <c:pt idx="12">
                        <c:v>1.0000000000000009E-2</c:v>
                      </c:pt>
                      <c:pt idx="13">
                        <c:v>0</c:v>
                      </c:pt>
                      <c:pt idx="14">
                        <c:v>0</c:v>
                      </c:pt>
                    </c:numCache>
                  </c:numRef>
                </c:val>
                <c:smooth val="0"/>
                <c:extLst xmlns:c15="http://schemas.microsoft.com/office/drawing/2012/chart">
                  <c:ext xmlns:c16="http://schemas.microsoft.com/office/drawing/2014/chart" uri="{C3380CC4-5D6E-409C-BE32-E72D297353CC}">
                    <c16:uniqueId val="{00000018-F375-4DD0-96EB-0097916BDF95}"/>
                  </c:ext>
                </c:extLst>
              </c15:ser>
            </c15:filteredLineSeries>
            <c15:filteredLineSeries>
              <c15:ser>
                <c:idx val="25"/>
                <c:order val="25"/>
                <c:tx>
                  <c:strRef>
                    <c:extLst xmlns:c15="http://schemas.microsoft.com/office/drawing/2012/chart">
                      <c:ext xmlns:c15="http://schemas.microsoft.com/office/drawing/2012/chart" uri="{02D57815-91ED-43cb-92C2-25804820EDAC}">
                        <c15:formulaRef>
                          <c15:sqref>'Franchise Revenue'!$B$29</c15:sqref>
                        </c15:formulaRef>
                      </c:ext>
                    </c:extLst>
                    <c:strCache>
                      <c:ptCount val="1"/>
                      <c:pt idx="0">
                        <c:v>% growth</c:v>
                      </c:pt>
                    </c:strCache>
                  </c:strRef>
                </c:tx>
                <c:spPr>
                  <a:ln w="28575" cap="rnd">
                    <a:solidFill>
                      <a:schemeClr val="accent4">
                        <a:lumMod val="50000"/>
                        <a:lumOff val="50000"/>
                      </a:schemeClr>
                    </a:solidFill>
                    <a:round/>
                  </a:ln>
                  <a:effectLst/>
                </c:spPr>
                <c:marker>
                  <c:symbol val="none"/>
                </c:marker>
                <c:cat>
                  <c:numRef>
                    <c:extLst xmlns:c15="http://schemas.microsoft.com/office/drawing/2012/chart">
                      <c:ext xmlns:c15="http://schemas.microsoft.com/office/drawing/2012/char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xmlns:c15="http://schemas.microsoft.com/office/drawing/2012/chart">
                      <c:ext xmlns:c15="http://schemas.microsoft.com/office/drawing/2012/chart" uri="{02D57815-91ED-43cb-92C2-25804820EDAC}">
                        <c15:formulaRef>
                          <c15:sqref>'Franchise Revenue'!$C$29:$Q$29</c15:sqref>
                        </c15:formulaRef>
                      </c:ext>
                    </c:extLst>
                    <c:numCache>
                      <c:formatCode>#,##0.0%_);\(#,##0.0%\)</c:formatCode>
                      <c:ptCount val="15"/>
                      <c:pt idx="1">
                        <c:v>0.8666666666666667</c:v>
                      </c:pt>
                      <c:pt idx="2">
                        <c:v>0.4285714285714286</c:v>
                      </c:pt>
                      <c:pt idx="3">
                        <c:v>0.35000000000000009</c:v>
                      </c:pt>
                      <c:pt idx="4">
                        <c:v>0.35000000000000009</c:v>
                      </c:pt>
                      <c:pt idx="5">
                        <c:v>0.32000000000000006</c:v>
                      </c:pt>
                      <c:pt idx="6">
                        <c:v>0.29000000000000004</c:v>
                      </c:pt>
                      <c:pt idx="7">
                        <c:v>0.26</c:v>
                      </c:pt>
                      <c:pt idx="8">
                        <c:v>0.23</c:v>
                      </c:pt>
                      <c:pt idx="9">
                        <c:v>0.2</c:v>
                      </c:pt>
                      <c:pt idx="10">
                        <c:v>0.17</c:v>
                      </c:pt>
                      <c:pt idx="11">
                        <c:v>0.14000000000000001</c:v>
                      </c:pt>
                      <c:pt idx="12">
                        <c:v>0.11000000000000001</c:v>
                      </c:pt>
                      <c:pt idx="13">
                        <c:v>8.0000000000000016E-2</c:v>
                      </c:pt>
                      <c:pt idx="14">
                        <c:v>5.0000000000000017E-2</c:v>
                      </c:pt>
                    </c:numCache>
                  </c:numRef>
                </c:val>
                <c:smooth val="0"/>
                <c:extLst xmlns:c15="http://schemas.microsoft.com/office/drawing/2012/chart">
                  <c:ext xmlns:c16="http://schemas.microsoft.com/office/drawing/2014/chart" uri="{C3380CC4-5D6E-409C-BE32-E72D297353CC}">
                    <c16:uniqueId val="{0000001A-F375-4DD0-96EB-0097916BDF95}"/>
                  </c:ext>
                </c:extLst>
              </c15:ser>
            </c15:filteredLineSeries>
            <c15:filteredLineSeries>
              <c15:ser>
                <c:idx val="27"/>
                <c:order val="27"/>
                <c:tx>
                  <c:strRef>
                    <c:extLst xmlns:c15="http://schemas.microsoft.com/office/drawing/2012/chart">
                      <c:ext xmlns:c15="http://schemas.microsoft.com/office/drawing/2012/chart" uri="{02D57815-91ED-43cb-92C2-25804820EDAC}">
                        <c15:formulaRef>
                          <c15:sqref>'Franchise Revenue'!$B$31</c15:sqref>
                        </c15:formulaRef>
                      </c:ext>
                    </c:extLst>
                    <c:strCache>
                      <c:ptCount val="1"/>
                      <c:pt idx="0">
                        <c:v>% growth</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xmlns:c15="http://schemas.microsoft.com/office/drawing/2012/chart">
                      <c:ext xmlns:c15="http://schemas.microsoft.com/office/drawing/2012/chart" uri="{02D57815-91ED-43cb-92C2-25804820EDAC}">
                        <c15:formulaRef>
                          <c15:sqref>'Franchise Revenue'!$C$31:$Q$31</c15:sqref>
                        </c15:formulaRef>
                      </c:ext>
                    </c:extLst>
                    <c:numCache>
                      <c:formatCode>#,##0.0%_);\(#,##0.0%\)</c:formatCode>
                      <c:ptCount val="15"/>
                      <c:pt idx="4">
                        <c:v>0.25</c:v>
                      </c:pt>
                      <c:pt idx="5">
                        <c:v>0.22</c:v>
                      </c:pt>
                      <c:pt idx="6">
                        <c:v>0.19</c:v>
                      </c:pt>
                      <c:pt idx="7">
                        <c:v>0.16</c:v>
                      </c:pt>
                      <c:pt idx="8">
                        <c:v>0.13</c:v>
                      </c:pt>
                      <c:pt idx="9">
                        <c:v>0.1</c:v>
                      </c:pt>
                      <c:pt idx="10">
                        <c:v>7.0000000000000007E-2</c:v>
                      </c:pt>
                      <c:pt idx="11">
                        <c:v>4.0000000000000008E-2</c:v>
                      </c:pt>
                      <c:pt idx="12">
                        <c:v>1.0000000000000009E-2</c:v>
                      </c:pt>
                      <c:pt idx="13">
                        <c:v>0</c:v>
                      </c:pt>
                      <c:pt idx="14">
                        <c:v>0</c:v>
                      </c:pt>
                    </c:numCache>
                  </c:numRef>
                </c:val>
                <c:smooth val="0"/>
                <c:extLst xmlns:c15="http://schemas.microsoft.com/office/drawing/2012/chart">
                  <c:ext xmlns:c16="http://schemas.microsoft.com/office/drawing/2014/chart" uri="{C3380CC4-5D6E-409C-BE32-E72D297353CC}">
                    <c16:uniqueId val="{0000001C-F375-4DD0-96EB-0097916BDF95}"/>
                  </c:ext>
                </c:extLst>
              </c15:ser>
            </c15:filteredLineSeries>
            <c15:filteredLineSeries>
              <c15:ser>
                <c:idx val="29"/>
                <c:order val="29"/>
                <c:tx>
                  <c:strRef>
                    <c:extLst xmlns:c15="http://schemas.microsoft.com/office/drawing/2012/chart">
                      <c:ext xmlns:c15="http://schemas.microsoft.com/office/drawing/2012/chart" uri="{02D57815-91ED-43cb-92C2-25804820EDAC}">
                        <c15:formulaRef>
                          <c15:sqref>'Franchise Revenue'!$B$33</c15:sqref>
                        </c15:formulaRef>
                      </c:ext>
                    </c:extLst>
                    <c:strCache>
                      <c:ptCount val="1"/>
                      <c:pt idx="0">
                        <c:v>% growth</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xmlns:c15="http://schemas.microsoft.com/office/drawing/2012/chart">
                      <c:ext xmlns:c15="http://schemas.microsoft.com/office/drawing/2012/chart" uri="{02D57815-91ED-43cb-92C2-25804820EDAC}">
                        <c15:formulaRef>
                          <c15:sqref>'Franchise Revenue'!$C$33:$Q$33</c15:sqref>
                        </c15:formulaRef>
                      </c:ext>
                    </c:extLst>
                    <c:numCache>
                      <c:formatCode>#,##0.0%_);\(#,##0.0%\)</c:formatCode>
                      <c:ptCount val="15"/>
                      <c:pt idx="1">
                        <c:v>2.0641025641025643</c:v>
                      </c:pt>
                      <c:pt idx="2">
                        <c:v>0.76987447698744771</c:v>
                      </c:pt>
                      <c:pt idx="3">
                        <c:v>0.48699763593380618</c:v>
                      </c:pt>
                      <c:pt idx="4">
                        <c:v>0.48699763593380618</c:v>
                      </c:pt>
                      <c:pt idx="5">
                        <c:v>0.42699763593380619</c:v>
                      </c:pt>
                      <c:pt idx="6">
                        <c:v>0.36699763593380619</c:v>
                      </c:pt>
                      <c:pt idx="7">
                        <c:v>0.30699763593380619</c:v>
                      </c:pt>
                      <c:pt idx="8">
                        <c:v>0.24699763593380619</c:v>
                      </c:pt>
                      <c:pt idx="9">
                        <c:v>0.18699763593380619</c:v>
                      </c:pt>
                      <c:pt idx="10">
                        <c:v>0.1269976359338062</c:v>
                      </c:pt>
                      <c:pt idx="11">
                        <c:v>6.6997635933806199E-2</c:v>
                      </c:pt>
                      <c:pt idx="12">
                        <c:v>6.9976359338062011E-3</c:v>
                      </c:pt>
                      <c:pt idx="13">
                        <c:v>0</c:v>
                      </c:pt>
                      <c:pt idx="14">
                        <c:v>0</c:v>
                      </c:pt>
                    </c:numCache>
                  </c:numRef>
                </c:val>
                <c:smooth val="0"/>
                <c:extLst xmlns:c15="http://schemas.microsoft.com/office/drawing/2012/chart">
                  <c:ext xmlns:c16="http://schemas.microsoft.com/office/drawing/2014/chart" uri="{C3380CC4-5D6E-409C-BE32-E72D297353CC}">
                    <c16:uniqueId val="{0000001E-F375-4DD0-96EB-0097916BDF95}"/>
                  </c:ext>
                </c:extLst>
              </c15:ser>
            </c15:filteredLineSeries>
            <c15:filteredLineSeries>
              <c15:ser>
                <c:idx val="30"/>
                <c:order val="30"/>
                <c:tx>
                  <c:strRef>
                    <c:extLst xmlns:c15="http://schemas.microsoft.com/office/drawing/2012/chart">
                      <c:ext xmlns:c15="http://schemas.microsoft.com/office/drawing/2012/chart" uri="{02D57815-91ED-43cb-92C2-25804820EDAC}">
                        <c15:formulaRef>
                          <c15:sqref>'Franchise Revenue'!$B$34</c15:sqref>
                        </c15:formulaRef>
                      </c:ext>
                    </c:extLst>
                    <c:strCache>
                      <c:ptCount val="1"/>
                      <c:pt idx="0">
                        <c:v>Total by diminishing geography</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'Franchise Revenue'!$C$3:$Q$3</c15:sqref>
                        </c15:formulaRef>
                      </c:ext>
                    </c:extLst>
                    <c:numCache>
                      <c:formatCode>m/d/yyyy</c:formatCode>
                      <c:ptCount val="15"/>
                      <c:pt idx="0">
                        <c:v>43465</c:v>
                      </c:pt>
                      <c:pt idx="1">
                        <c:v>43830</c:v>
                      </c:pt>
                      <c:pt idx="2">
                        <c:v>44196</c:v>
                      </c:pt>
                      <c:pt idx="3">
                        <c:v>44561</c:v>
                      </c:pt>
                      <c:pt idx="4">
                        <c:v>44926</c:v>
                      </c:pt>
                      <c:pt idx="5">
                        <c:v>45291</c:v>
                      </c:pt>
                      <c:pt idx="6">
                        <c:v>45657</c:v>
                      </c:pt>
                      <c:pt idx="7">
                        <c:v>46022</c:v>
                      </c:pt>
                      <c:pt idx="8">
                        <c:v>46387</c:v>
                      </c:pt>
                      <c:pt idx="9">
                        <c:v>46752</c:v>
                      </c:pt>
                      <c:pt idx="10">
                        <c:v>47118</c:v>
                      </c:pt>
                      <c:pt idx="11">
                        <c:v>47483</c:v>
                      </c:pt>
                      <c:pt idx="12">
                        <c:v>47848</c:v>
                      </c:pt>
                      <c:pt idx="13">
                        <c:v>48213</c:v>
                      </c:pt>
                      <c:pt idx="14">
                        <c:v>48579</c:v>
                      </c:pt>
                    </c:numCache>
                  </c:numRef>
                </c:cat>
                <c:val>
                  <c:numRef>
                    <c:extLst xmlns:c15="http://schemas.microsoft.com/office/drawing/2012/chart">
                      <c:ext xmlns:c15="http://schemas.microsoft.com/office/drawing/2012/chart" uri="{02D57815-91ED-43cb-92C2-25804820EDAC}">
                        <c15:formulaRef>
                          <c15:sqref>'Franchise Revenue'!$C$34:$Q$34</c15:sqref>
                        </c15:formulaRef>
                      </c:ext>
                    </c:extLst>
                    <c:numCache>
                      <c:formatCode>#,##0_);\(#,##0\)</c:formatCode>
                      <c:ptCount val="15"/>
                      <c:pt idx="0">
                        <c:v>646</c:v>
                      </c:pt>
                      <c:pt idx="1">
                        <c:v>948</c:v>
                      </c:pt>
                      <c:pt idx="2">
                        <c:v>1468</c:v>
                      </c:pt>
                      <c:pt idx="3">
                        <c:v>2151</c:v>
                      </c:pt>
                      <c:pt idx="4">
                        <c:v>2955.500965686505</c:v>
                      </c:pt>
                      <c:pt idx="5">
                        <c:v>3970.0047387921295</c:v>
                      </c:pt>
                      <c:pt idx="6">
                        <c:v>5195.0169072701274</c:v>
                      </c:pt>
                      <c:pt idx="7">
                        <c:v>6598.1678165411668</c:v>
                      </c:pt>
                      <c:pt idx="8">
                        <c:v>8103.7844134847255</c:v>
                      </c:pt>
                      <c:pt idx="9">
                        <c:v>9589.4259402380976</c:v>
                      </c:pt>
                      <c:pt idx="10">
                        <c:v>10900.397261486363</c:v>
                      </c:pt>
                      <c:pt idx="11">
                        <c:v>11878.832862234372</c:v>
                      </c:pt>
                      <c:pt idx="12">
                        <c:v>12383.052844932412</c:v>
                      </c:pt>
                      <c:pt idx="13">
                        <c:v>12615.446430865675</c:v>
                      </c:pt>
                      <c:pt idx="14">
                        <c:v>12753.502138373613</c:v>
                      </c:pt>
                    </c:numCache>
                  </c:numRef>
                </c:val>
                <c:smooth val="0"/>
                <c:extLst xmlns:c15="http://schemas.microsoft.com/office/drawing/2012/chart">
                  <c:ext xmlns:c16="http://schemas.microsoft.com/office/drawing/2014/chart" uri="{C3380CC4-5D6E-409C-BE32-E72D297353CC}">
                    <c16:uniqueId val="{0000001F-F375-4DD0-96EB-0097916BDF95}"/>
                  </c:ext>
                </c:extLst>
              </c15:ser>
            </c15:filteredLineSeries>
          </c:ext>
        </c:extLst>
      </c:lineChart>
      <c:dateAx>
        <c:axId val="698343487"/>
        <c:scaling>
          <c:orientation val="minMax"/>
        </c:scaling>
        <c:delete val="0"/>
        <c:axPos val="b"/>
        <c:numFmt formatCode="m/d/yyyy"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98327679"/>
        <c:crosses val="autoZero"/>
        <c:auto val="1"/>
        <c:lblOffset val="100"/>
        <c:baseTimeUnit val="years"/>
      </c:dateAx>
      <c:valAx>
        <c:axId val="698327679"/>
        <c:scaling>
          <c:orientation val="minMax"/>
          <c:max val="15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b="1">
                    <a:solidFill>
                      <a:schemeClr val="tx1"/>
                    </a:solidFill>
                    <a:latin typeface="Times New Roman" panose="02020603050405020304" pitchFamily="18" charset="0"/>
                    <a:cs typeface="Times New Roman" panose="02020603050405020304" pitchFamily="18" charset="0"/>
                  </a:rPr>
                  <a:t>#</a:t>
                </a:r>
                <a:r>
                  <a:rPr lang="en-US" b="1" baseline="0">
                    <a:solidFill>
                      <a:schemeClr val="tx1"/>
                    </a:solidFill>
                    <a:latin typeface="Times New Roman" panose="02020603050405020304" pitchFamily="18" charset="0"/>
                    <a:cs typeface="Times New Roman" panose="02020603050405020304" pitchFamily="18" charset="0"/>
                  </a:rPr>
                  <a:t> of franchises</a:t>
                </a:r>
                <a:endParaRPr lang="en-US" b="1">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343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ustomXml" Target="../ink/ink1.xml"/><Relationship Id="rId2" Type="http://schemas.openxmlformats.org/officeDocument/2006/relationships/chart" Target="../charts/chart2.xml"/><Relationship Id="rId1" Type="http://schemas.openxmlformats.org/officeDocument/2006/relationships/image" Target="../media/image2.png"/><Relationship Id="rId4" Type="http://schemas.openxmlformats.org/officeDocument/2006/relationships/image" Target="../media/image20.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304800</xdr:colOff>
      <xdr:row>2</xdr:row>
      <xdr:rowOff>139064</xdr:rowOff>
    </xdr:to>
    <xdr:sp macro="" textlink="">
      <xdr:nvSpPr>
        <xdr:cNvPr id="3" name="AutoShape 2" descr="Image result for american woodmark">
          <a:extLst>
            <a:ext uri="{FF2B5EF4-FFF2-40B4-BE49-F238E27FC236}">
              <a16:creationId xmlns:a16="http://schemas.microsoft.com/office/drawing/2014/main" id="{D5C18CCE-726A-4A08-BEEA-BDA63E53BCEC}"/>
            </a:ext>
          </a:extLst>
        </xdr:cNvPr>
        <xdr:cNvSpPr>
          <a:spLocks noChangeAspect="1" noChangeArrowheads="1"/>
        </xdr:cNvSpPr>
      </xdr:nvSpPr>
      <xdr:spPr bwMode="auto">
        <a:xfrm>
          <a:off x="6987540" y="198120"/>
          <a:ext cx="304800" cy="3219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54459</xdr:colOff>
      <xdr:row>7</xdr:row>
      <xdr:rowOff>22479</xdr:rowOff>
    </xdr:from>
    <xdr:to>
      <xdr:col>18</xdr:col>
      <xdr:colOff>1142999</xdr:colOff>
      <xdr:row>29</xdr:row>
      <xdr:rowOff>0</xdr:rowOff>
    </xdr:to>
    <xdr:graphicFrame macro="">
      <xdr:nvGraphicFramePr>
        <xdr:cNvPr id="2" name="Chart 1">
          <a:extLst>
            <a:ext uri="{FF2B5EF4-FFF2-40B4-BE49-F238E27FC236}">
              <a16:creationId xmlns:a16="http://schemas.microsoft.com/office/drawing/2014/main" id="{FAEED5DA-2709-4923-A4DA-9970BE476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122903</xdr:colOff>
      <xdr:row>7</xdr:row>
      <xdr:rowOff>36871</xdr:rowOff>
    </xdr:from>
    <xdr:to>
      <xdr:col>24</xdr:col>
      <xdr:colOff>1158628</xdr:colOff>
      <xdr:row>28</xdr:row>
      <xdr:rowOff>196644</xdr:rowOff>
    </xdr:to>
    <xdr:pic>
      <xdr:nvPicPr>
        <xdr:cNvPr id="5" name="Picture 4">
          <a:extLst>
            <a:ext uri="{FF2B5EF4-FFF2-40B4-BE49-F238E27FC236}">
              <a16:creationId xmlns:a16="http://schemas.microsoft.com/office/drawing/2014/main" id="{610DE724-218B-43CB-A6C5-1C8BBE87DF3D}"/>
            </a:ext>
          </a:extLst>
        </xdr:cNvPr>
        <xdr:cNvPicPr>
          <a:picLocks noChangeAspect="1"/>
        </xdr:cNvPicPr>
      </xdr:nvPicPr>
      <xdr:blipFill>
        <a:blip xmlns:r="http://schemas.openxmlformats.org/officeDocument/2006/relationships" r:embed="rId2"/>
        <a:stretch>
          <a:fillRect/>
        </a:stretch>
      </xdr:blipFill>
      <xdr:spPr>
        <a:xfrm>
          <a:off x="14797548" y="1290484"/>
          <a:ext cx="7045693" cy="4547419"/>
        </a:xfrm>
        <a:prstGeom prst="rect">
          <a:avLst/>
        </a:prstGeom>
        <a:ln w="22225">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18</xdr:col>
      <xdr:colOff>593272</xdr:colOff>
      <xdr:row>25</xdr:row>
      <xdr:rowOff>156057</xdr:rowOff>
    </xdr:from>
    <xdr:to>
      <xdr:col>23</xdr:col>
      <xdr:colOff>327816</xdr:colOff>
      <xdr:row>33</xdr:row>
      <xdr:rowOff>131082</xdr:rowOff>
    </xdr:to>
    <xdr:pic>
      <xdr:nvPicPr>
        <xdr:cNvPr id="3" name="Picture 2">
          <a:extLst>
            <a:ext uri="{FF2B5EF4-FFF2-40B4-BE49-F238E27FC236}">
              <a16:creationId xmlns:a16="http://schemas.microsoft.com/office/drawing/2014/main" id="{E0BE25CF-1747-475A-8CE4-C3820EB0AB84}"/>
            </a:ext>
          </a:extLst>
        </xdr:cNvPr>
        <xdr:cNvPicPr>
          <a:picLocks noChangeAspect="1"/>
        </xdr:cNvPicPr>
      </xdr:nvPicPr>
      <xdr:blipFill>
        <a:blip xmlns:r="http://schemas.openxmlformats.org/officeDocument/2006/relationships" r:embed="rId1"/>
        <a:stretch>
          <a:fillRect/>
        </a:stretch>
      </xdr:blipFill>
      <xdr:spPr>
        <a:xfrm>
          <a:off x="17618529" y="5196143"/>
          <a:ext cx="7877058" cy="1586110"/>
        </a:xfrm>
        <a:prstGeom prst="rect">
          <a:avLst/>
        </a:prstGeom>
        <a:ln w="19050">
          <a:solidFill>
            <a:schemeClr val="tx1"/>
          </a:solidFill>
        </a:ln>
      </xdr:spPr>
    </xdr:pic>
    <xdr:clientData/>
  </xdr:twoCellAnchor>
  <xdr:twoCellAnchor>
    <xdr:from>
      <xdr:col>18</xdr:col>
      <xdr:colOff>586013</xdr:colOff>
      <xdr:row>3</xdr:row>
      <xdr:rowOff>88899</xdr:rowOff>
    </xdr:from>
    <xdr:to>
      <xdr:col>23</xdr:col>
      <xdr:colOff>328386</xdr:colOff>
      <xdr:row>25</xdr:row>
      <xdr:rowOff>56242</xdr:rowOff>
    </xdr:to>
    <xdr:graphicFrame macro="">
      <xdr:nvGraphicFramePr>
        <xdr:cNvPr id="4" name="Chart 3">
          <a:extLst>
            <a:ext uri="{FF2B5EF4-FFF2-40B4-BE49-F238E27FC236}">
              <a16:creationId xmlns:a16="http://schemas.microsoft.com/office/drawing/2014/main" id="{EFFAD675-72E9-4052-86DC-D4E7729CA1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391526</xdr:colOff>
      <xdr:row>45</xdr:row>
      <xdr:rowOff>152006</xdr:rowOff>
    </xdr:from>
    <xdr:to>
      <xdr:col>17</xdr:col>
      <xdr:colOff>391886</xdr:colOff>
      <xdr:row>45</xdr:row>
      <xdr:rowOff>152366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AEBD7450-B846-4F29-A686-D2671A5CAFCA}"/>
                </a:ext>
              </a:extLst>
            </xdr14:cNvPr>
            <xdr14:cNvContentPartPr/>
          </xdr14:nvContentPartPr>
          <xdr14:nvPr macro=""/>
          <xdr14:xfrm>
            <a:off x="16807183" y="9296006"/>
            <a:ext cx="360" cy="360"/>
          </xdr14:xfrm>
        </xdr:contentPart>
      </mc:Choice>
      <mc:Fallback xmlns="">
        <xdr:pic>
          <xdr:nvPicPr>
            <xdr:cNvPr id="7" name="Ink 6">
              <a:extLst>
                <a:ext uri="{FF2B5EF4-FFF2-40B4-BE49-F238E27FC236}">
                  <a16:creationId xmlns:a16="http://schemas.microsoft.com/office/drawing/2014/main" id="{AEBD7450-B846-4F29-A686-D2671A5CAFCA}"/>
                </a:ext>
              </a:extLst>
            </xdr:cNvPr>
            <xdr:cNvPicPr/>
          </xdr:nvPicPr>
          <xdr:blipFill>
            <a:blip xmlns:r="http://schemas.openxmlformats.org/officeDocument/2006/relationships" r:embed="rId4"/>
            <a:stretch>
              <a:fillRect/>
            </a:stretch>
          </xdr:blipFill>
          <xdr:spPr>
            <a:xfrm>
              <a:off x="16798183" y="9287366"/>
              <a:ext cx="18000" cy="18000"/>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oneCellAnchor>
    <xdr:from>
      <xdr:col>6</xdr:col>
      <xdr:colOff>229160</xdr:colOff>
      <xdr:row>3</xdr:row>
      <xdr:rowOff>0</xdr:rowOff>
    </xdr:from>
    <xdr:ext cx="6426444" cy="1341665"/>
    <xdr:sp macro="" textlink="">
      <xdr:nvSpPr>
        <xdr:cNvPr id="2" name="TextBox 1">
          <a:extLst>
            <a:ext uri="{FF2B5EF4-FFF2-40B4-BE49-F238E27FC236}">
              <a16:creationId xmlns:a16="http://schemas.microsoft.com/office/drawing/2014/main" id="{687F14A3-6867-49B2-8A72-2545E2A78951}"/>
            </a:ext>
          </a:extLst>
        </xdr:cNvPr>
        <xdr:cNvSpPr txBox="1"/>
      </xdr:nvSpPr>
      <xdr:spPr>
        <a:xfrm>
          <a:off x="6683748" y="594711"/>
          <a:ext cx="6426444" cy="1341665"/>
        </a:xfrm>
        <a:prstGeom prst="rect">
          <a:avLst/>
        </a:prstGeom>
        <a:noFill/>
        <a:ln w="28575">
          <a:solidFill>
            <a:schemeClr val="accent1">
              <a:lumMod val="20000"/>
              <a:lumOff val="8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b="1" i="0">
              <a:solidFill>
                <a:schemeClr val="tx1"/>
              </a:solidFill>
              <a:effectLst/>
              <a:latin typeface="Times New Roman" panose="02020603050405020304" pitchFamily="18" charset="0"/>
              <a:ea typeface="+mn-ea"/>
              <a:cs typeface="Times New Roman" panose="02020603050405020304" pitchFamily="18" charset="0"/>
            </a:rPr>
            <a:t>"Human</a:t>
          </a:r>
          <a:r>
            <a:rPr lang="en-US" sz="1200" b="1" i="0" baseline="0">
              <a:solidFill>
                <a:schemeClr val="tx1"/>
              </a:solidFill>
              <a:effectLst/>
              <a:latin typeface="Times New Roman" panose="02020603050405020304" pitchFamily="18" charset="0"/>
              <a:ea typeface="+mn-ea"/>
              <a:cs typeface="Times New Roman" panose="02020603050405020304" pitchFamily="18" charset="0"/>
            </a:rPr>
            <a:t> Capital" 2021 10-K:</a:t>
          </a:r>
          <a:endParaRPr lang="en-US" sz="1200" b="1" i="0">
            <a:solidFill>
              <a:schemeClr val="tx1"/>
            </a:solidFill>
            <a:effectLst/>
            <a:latin typeface="Times New Roman" panose="02020603050405020304" pitchFamily="18" charset="0"/>
            <a:ea typeface="+mn-ea"/>
            <a:cs typeface="Times New Roman" panose="02020603050405020304" pitchFamily="18" charset="0"/>
          </a:endParaRPr>
        </a:p>
        <a:p>
          <a:pPr algn="l"/>
          <a:r>
            <a:rPr lang="en-US" sz="1200" b="0" i="0">
              <a:solidFill>
                <a:schemeClr val="tx1"/>
              </a:solidFill>
              <a:effectLst/>
              <a:latin typeface="Times New Roman" panose="02020603050405020304" pitchFamily="18" charset="0"/>
              <a:ea typeface="+mn-ea"/>
              <a:cs typeface="Times New Roman" panose="02020603050405020304" pitchFamily="18" charset="0"/>
            </a:rPr>
            <a:t>"We develop and promote from within. The average tenure of our director level employees is 10 </a:t>
          </a:r>
        </a:p>
        <a:p>
          <a:pPr algn="l"/>
          <a:r>
            <a:rPr lang="en-US" sz="1200" b="0" i="0">
              <a:solidFill>
                <a:schemeClr val="tx1"/>
              </a:solidFill>
              <a:effectLst/>
              <a:latin typeface="Times New Roman" panose="02020603050405020304" pitchFamily="18" charset="0"/>
              <a:ea typeface="+mn-ea"/>
              <a:cs typeface="Times New Roman" panose="02020603050405020304" pitchFamily="18" charset="0"/>
            </a:rPr>
            <a:t>years prior to their promotions. Our corporate sales agents have a turnover rate of roughly 25% while </a:t>
          </a:r>
        </a:p>
        <a:p>
          <a:pPr algn="l"/>
          <a:r>
            <a:rPr lang="en-US" sz="1200" b="0" i="0">
              <a:solidFill>
                <a:schemeClr val="tx1"/>
              </a:solidFill>
              <a:effectLst/>
              <a:latin typeface="Times New Roman" panose="02020603050405020304" pitchFamily="18" charset="0"/>
              <a:ea typeface="+mn-ea"/>
              <a:cs typeface="Times New Roman" panose="02020603050405020304" pitchFamily="18" charset="0"/>
            </a:rPr>
            <a:t>our franchises turnover at roughly 10% annually. This turnover is concentrated more in the early tenure </a:t>
          </a:r>
        </a:p>
        <a:p>
          <a:pPr algn="l"/>
          <a:r>
            <a:rPr lang="en-US" sz="1200" b="0" i="0">
              <a:solidFill>
                <a:schemeClr val="tx1"/>
              </a:solidFill>
              <a:effectLst/>
              <a:latin typeface="Times New Roman" panose="02020603050405020304" pitchFamily="18" charset="0"/>
              <a:ea typeface="+mn-ea"/>
              <a:cs typeface="Times New Roman" panose="02020603050405020304" pitchFamily="18" charset="0"/>
            </a:rPr>
            <a:t>of agents and franchisees and importantly, only account for less than 1-2% of new business production </a:t>
          </a:r>
        </a:p>
        <a:p>
          <a:pPr algn="l"/>
          <a:r>
            <a:rPr lang="en-US" sz="1200" b="0" i="0">
              <a:solidFill>
                <a:schemeClr val="tx1"/>
              </a:solidFill>
              <a:effectLst/>
              <a:latin typeface="Times New Roman" panose="02020603050405020304" pitchFamily="18" charset="0"/>
              <a:ea typeface="+mn-ea"/>
              <a:cs typeface="Times New Roman" panose="02020603050405020304" pitchFamily="18" charset="0"/>
            </a:rPr>
            <a:t>in any given year. We believe these churn rates represent healthy levels of turnover to maintain a </a:t>
          </a:r>
        </a:p>
        <a:p>
          <a:pPr algn="l"/>
          <a:r>
            <a:rPr lang="en-US" sz="1200" b="0" i="0">
              <a:solidFill>
                <a:schemeClr val="tx1"/>
              </a:solidFill>
              <a:effectLst/>
              <a:latin typeface="Times New Roman" panose="02020603050405020304" pitchFamily="18" charset="0"/>
              <a:ea typeface="+mn-ea"/>
              <a:cs typeface="Times New Roman" panose="02020603050405020304" pitchFamily="18" charset="0"/>
            </a:rPr>
            <a:t>motivated, high-octane sales force and productive energized corporate culture."</a:t>
          </a:r>
          <a:endParaRPr lang="en-US" sz="1200">
            <a:latin typeface="Times New Roman" panose="02020603050405020304" pitchFamily="18" charset="0"/>
            <a:cs typeface="Times New Roman" panose="02020603050405020304" pitchFamily="18" charset="0"/>
          </a:endParaRPr>
        </a:p>
      </xdr:txBody>
    </xdr:sp>
    <xdr:clientData/>
  </xdr:oneCellAnchor>
  <xdr:twoCellAnchor editAs="oneCell">
    <xdr:from>
      <xdr:col>6</xdr:col>
      <xdr:colOff>233083</xdr:colOff>
      <xdr:row>10</xdr:row>
      <xdr:rowOff>62753</xdr:rowOff>
    </xdr:from>
    <xdr:to>
      <xdr:col>20</xdr:col>
      <xdr:colOff>238183</xdr:colOff>
      <xdr:row>26</xdr:row>
      <xdr:rowOff>107576</xdr:rowOff>
    </xdr:to>
    <xdr:pic>
      <xdr:nvPicPr>
        <xdr:cNvPr id="4" name="Picture 3">
          <a:extLst>
            <a:ext uri="{FF2B5EF4-FFF2-40B4-BE49-F238E27FC236}">
              <a16:creationId xmlns:a16="http://schemas.microsoft.com/office/drawing/2014/main" id="{55996C9C-E624-4229-8147-AA38C507A7C0}"/>
            </a:ext>
          </a:extLst>
        </xdr:cNvPr>
        <xdr:cNvPicPr>
          <a:picLocks noChangeAspect="1"/>
        </xdr:cNvPicPr>
      </xdr:nvPicPr>
      <xdr:blipFill>
        <a:blip xmlns:r="http://schemas.openxmlformats.org/officeDocument/2006/relationships" r:embed="rId1"/>
        <a:stretch>
          <a:fillRect/>
        </a:stretch>
      </xdr:blipFill>
      <xdr:spPr>
        <a:xfrm>
          <a:off x="6687671" y="2097741"/>
          <a:ext cx="8539500" cy="3290047"/>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3-14T22:42:57.025"/>
    </inkml:context>
    <inkml:brush xml:id="br0">
      <inkml:brushProperty name="width" value="0.05" units="cm"/>
      <inkml:brushProperty name="height" value="0.05" units="cm"/>
    </inkml:brush>
  </inkml:definitions>
  <inkml:trace contextRef="#ctx0" brushRef="#br0">0 1 24575,'0'0'-8191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5A812-9F28-471D-B143-1F8DD0BBB552}">
  <dimension ref="C2:P27"/>
  <sheetViews>
    <sheetView showGridLines="0" tabSelected="1" zoomScale="85" zoomScaleNormal="85" workbookViewId="0">
      <selection activeCell="B1" sqref="B1"/>
    </sheetView>
  </sheetViews>
  <sheetFormatPr defaultRowHeight="15.6" x14ac:dyDescent="0.3"/>
  <cols>
    <col min="1" max="4" width="8.88671875" style="2"/>
    <col min="5" max="5" width="33" style="2" bestFit="1" customWidth="1"/>
    <col min="6" max="6" width="21.5546875" style="2" customWidth="1"/>
    <col min="7" max="7" width="9" style="2" bestFit="1" customWidth="1"/>
    <col min="8" max="8" width="13.21875" style="2" bestFit="1" customWidth="1"/>
    <col min="9" max="9" width="13.21875" style="2" customWidth="1"/>
    <col min="10" max="10" width="10.33203125" style="2" bestFit="1" customWidth="1"/>
    <col min="11" max="11" width="21" style="2" bestFit="1" customWidth="1"/>
    <col min="12" max="12" width="8.88671875" style="2"/>
    <col min="13" max="13" width="16.33203125" style="2" bestFit="1" customWidth="1"/>
    <col min="14" max="15" width="13.77734375" style="2" bestFit="1" customWidth="1"/>
    <col min="16" max="16" width="15.6640625" style="2" bestFit="1" customWidth="1"/>
    <col min="17" max="16384" width="8.88671875" style="2"/>
  </cols>
  <sheetData>
    <row r="2" spans="3:16" x14ac:dyDescent="0.3">
      <c r="E2" s="256" t="s">
        <v>474</v>
      </c>
      <c r="F2" s="256"/>
      <c r="G2" s="256"/>
      <c r="H2" s="256"/>
      <c r="I2" s="256"/>
      <c r="J2" s="256"/>
      <c r="K2" s="798"/>
    </row>
    <row r="3" spans="3:16" ht="16.2" thickBot="1" x14ac:dyDescent="0.35">
      <c r="E3" s="256"/>
      <c r="F3" s="256"/>
      <c r="G3" s="256"/>
      <c r="H3" s="256"/>
      <c r="I3" s="256"/>
      <c r="J3" s="256"/>
      <c r="K3" s="256"/>
    </row>
    <row r="4" spans="3:16" ht="16.2" thickBot="1" x14ac:dyDescent="0.35">
      <c r="E4" s="503" t="s">
        <v>222</v>
      </c>
      <c r="F4" s="504" t="s">
        <v>199</v>
      </c>
      <c r="G4" s="505"/>
      <c r="H4" s="505"/>
      <c r="I4" s="505"/>
      <c r="J4" s="505"/>
      <c r="K4" s="506" t="s">
        <v>256</v>
      </c>
      <c r="M4" s="662" t="s">
        <v>296</v>
      </c>
      <c r="N4" s="663"/>
      <c r="O4" s="663"/>
      <c r="P4" s="664"/>
    </row>
    <row r="5" spans="3:16" x14ac:dyDescent="0.3">
      <c r="E5" s="257" t="s">
        <v>200</v>
      </c>
      <c r="F5" s="258"/>
      <c r="G5" s="259" t="s">
        <v>201</v>
      </c>
      <c r="H5" s="259" t="s">
        <v>497</v>
      </c>
      <c r="I5" s="259" t="s">
        <v>506</v>
      </c>
      <c r="J5" s="259" t="s">
        <v>505</v>
      </c>
      <c r="K5" s="260" t="s">
        <v>202</v>
      </c>
      <c r="M5" s="392"/>
      <c r="N5" s="393" t="s">
        <v>285</v>
      </c>
      <c r="O5" s="393" t="s">
        <v>297</v>
      </c>
      <c r="P5" s="394" t="s">
        <v>298</v>
      </c>
    </row>
    <row r="6" spans="3:16" x14ac:dyDescent="0.3">
      <c r="C6" s="52"/>
      <c r="E6" s="507" t="s">
        <v>203</v>
      </c>
      <c r="F6" s="508"/>
      <c r="G6" s="509">
        <f ca="1">DCF!R24</f>
        <v>139.03464814931459</v>
      </c>
      <c r="H6" s="509">
        <f ca="1">G6</f>
        <v>139.03464814931459</v>
      </c>
      <c r="I6" s="509">
        <f ca="1">G6</f>
        <v>139.03464814931459</v>
      </c>
      <c r="J6" s="799">
        <f ca="1">H6</f>
        <v>139.03464814931459</v>
      </c>
      <c r="K6" s="510">
        <v>0.7</v>
      </c>
      <c r="M6" s="395" t="s">
        <v>32</v>
      </c>
      <c r="N6" s="396">
        <f ca="1">SUM(N8:N10)</f>
        <v>151312.55580979085</v>
      </c>
      <c r="O6" s="396">
        <f ca="1">SUM(O8:O10)</f>
        <v>545553.84822435374</v>
      </c>
      <c r="P6" s="397">
        <f ca="1">SUM(P8:P10)</f>
        <v>1534871.0883139363</v>
      </c>
    </row>
    <row r="7" spans="3:16" x14ac:dyDescent="0.3">
      <c r="C7" s="809">
        <v>118.35</v>
      </c>
      <c r="E7" s="511" t="s">
        <v>470</v>
      </c>
      <c r="F7" s="512"/>
      <c r="G7" s="513">
        <f ca="1">'Peer Comp.'!L65</f>
        <v>50.49954031131491</v>
      </c>
      <c r="H7" s="513">
        <f ca="1">'Peer Comp.'!L68</f>
        <v>21.649695307619357</v>
      </c>
      <c r="I7" s="513">
        <f ca="1">'Peer Comp.'!L71</f>
        <v>52.055386971387243</v>
      </c>
      <c r="J7" s="800">
        <f ca="1">'Peer Comp.'!L74</f>
        <v>21.528991061786961</v>
      </c>
      <c r="K7" s="510">
        <v>0.1</v>
      </c>
      <c r="M7" s="398" t="s">
        <v>86</v>
      </c>
      <c r="N7" s="399"/>
      <c r="O7" s="400">
        <f ca="1">(O6/N6)-1</f>
        <v>2.6054763949010837</v>
      </c>
      <c r="P7" s="401">
        <f ca="1">(P6/O6)-1</f>
        <v>1.8134181315182207</v>
      </c>
    </row>
    <row r="8" spans="3:16" x14ac:dyDescent="0.3">
      <c r="C8" s="809">
        <v>113.45</v>
      </c>
      <c r="E8" s="511" t="s">
        <v>409</v>
      </c>
      <c r="F8" s="512"/>
      <c r="G8" s="513">
        <f>'Peer Comp.'!N65</f>
        <v>78.262869797617086</v>
      </c>
      <c r="H8" s="513">
        <f>'Peer Comp.'!N68</f>
        <v>90.111688787541709</v>
      </c>
      <c r="I8" s="513">
        <f>'Peer Comp.'!N71</f>
        <v>81.065745718060725</v>
      </c>
      <c r="J8" s="801">
        <f>'Peer Comp.'!N74</f>
        <v>95.970103467985965</v>
      </c>
      <c r="K8" s="510">
        <v>0.1</v>
      </c>
      <c r="M8" s="402" t="s">
        <v>286</v>
      </c>
      <c r="N8" s="396">
        <f>'Pro Forma'!O39+'Pro Forma'!O51+'Pro Forma'!O59+'Pro Forma'!O73+'Pro Forma'!O68+'Pro Forma'!O77</f>
        <v>84101</v>
      </c>
      <c r="O8" s="396">
        <f ca="1">'Pro Forma'!T39+'Pro Forma'!T51+'Pro Forma'!T59+'Pro Forma'!T68+'Pro Forma'!T73+'Pro Forma'!T77</f>
        <v>210326.99561814376</v>
      </c>
      <c r="P8" s="397">
        <f ca="1">'Pro Forma'!Y39+'Pro Forma'!Y51+'Pro Forma'!Y59+'Pro Forma'!Y68+'Pro Forma'!Y73+'Pro Forma'!Y77</f>
        <v>360324.30373897165</v>
      </c>
    </row>
    <row r="9" spans="3:16" x14ac:dyDescent="0.3">
      <c r="C9" s="52"/>
      <c r="E9" s="511" t="s">
        <v>204</v>
      </c>
      <c r="F9" s="512"/>
      <c r="G9" s="513">
        <f>'Peer Comp.'!O65</f>
        <v>81.522283352141528</v>
      </c>
      <c r="H9" s="513">
        <f>'Peer Comp.'!O68</f>
        <v>35.529474129558601</v>
      </c>
      <c r="I9" s="513">
        <f>'Peer Comp.'!O71</f>
        <v>84.731944563442539</v>
      </c>
      <c r="J9" s="801">
        <f>'Peer Comp.'!O74</f>
        <v>37.091785822605416</v>
      </c>
      <c r="K9" s="510">
        <v>0.1</v>
      </c>
      <c r="M9" s="389" t="s">
        <v>161</v>
      </c>
      <c r="N9" s="390">
        <f ca="1">N8/N6</f>
        <v>0.5558097908657369</v>
      </c>
      <c r="O9" s="390">
        <f ca="1">O8/O6</f>
        <v>0.38552930439902022</v>
      </c>
      <c r="P9" s="391">
        <f ca="1">P8/P6</f>
        <v>0.23475867548902088</v>
      </c>
    </row>
    <row r="10" spans="3:16" x14ac:dyDescent="0.3">
      <c r="E10" s="737">
        <v>20</v>
      </c>
      <c r="F10" s="512"/>
      <c r="G10" s="513">
        <f ca="1">(E10*(K12/(DCF!I12/'Pro Forma'!Q152))/Summary!K12)</f>
        <v>47.242094683281053</v>
      </c>
      <c r="H10" s="513"/>
      <c r="I10" s="513"/>
      <c r="J10" s="513"/>
      <c r="K10" s="510">
        <v>0</v>
      </c>
      <c r="M10" s="402" t="s">
        <v>287</v>
      </c>
      <c r="N10" s="396">
        <f>'Pro Forma'!O45+'Pro Forma'!O56+'Pro Forma'!O64</f>
        <v>67211</v>
      </c>
      <c r="O10" s="396">
        <f>'Pro Forma'!T45+'Pro Forma'!T56+'Pro Forma'!T64</f>
        <v>335226.4670769056</v>
      </c>
      <c r="P10" s="397">
        <f>'Pro Forma'!Y45+'Pro Forma'!Y56+'Pro Forma'!Y64</f>
        <v>1174546.549816289</v>
      </c>
    </row>
    <row r="11" spans="3:16" x14ac:dyDescent="0.3">
      <c r="C11" s="502"/>
      <c r="E11" s="263" t="s">
        <v>205</v>
      </c>
      <c r="F11" s="264"/>
      <c r="G11" s="265"/>
      <c r="H11" s="803">
        <f ca="1">(H6*$K$6)+(H7*$K$7)+(H8*$K$8)+(H9*$K$9)</f>
        <v>112.05333952699218</v>
      </c>
      <c r="I11" s="803">
        <f ca="1">(I6*$K$6)+(I7*$K$7)+(I8*$K$8)+(I9*$K$9)</f>
        <v>119.10956142980926</v>
      </c>
      <c r="J11" s="803">
        <f ca="1">(J6*$K$6)+(J7*$K$7)+(J8*$K$8)+(J9*$K$9)</f>
        <v>112.78334173975804</v>
      </c>
      <c r="K11" s="802">
        <f ca="1">(G6*K6)+(G7*K7)+(G8*K8)+(G9*K9)+(G10*K10)</f>
        <v>118.35272305062755</v>
      </c>
      <c r="M11" s="389" t="s">
        <v>161</v>
      </c>
      <c r="N11" s="390">
        <f ca="1">N10/N6</f>
        <v>0.44418653587801626</v>
      </c>
      <c r="O11" s="390">
        <f ca="1">O10/O6</f>
        <v>0.61446998892590887</v>
      </c>
      <c r="P11" s="391">
        <f ca="1">P10/P6</f>
        <v>0.76524117156088622</v>
      </c>
    </row>
    <row r="12" spans="3:16" x14ac:dyDescent="0.3">
      <c r="E12" s="263" t="s">
        <v>471</v>
      </c>
      <c r="F12" s="264"/>
      <c r="G12" s="264"/>
      <c r="H12" s="264"/>
      <c r="I12" s="264"/>
      <c r="J12" s="264"/>
      <c r="K12" s="266">
        <v>80.3</v>
      </c>
      <c r="M12" s="403" t="s">
        <v>288</v>
      </c>
      <c r="N12" s="404">
        <f>'Pro Forma'!O105</f>
        <v>130474</v>
      </c>
      <c r="O12" s="404">
        <f>'Pro Forma'!T105</f>
        <v>400033.86362780922</v>
      </c>
      <c r="P12" s="405">
        <f>'Pro Forma'!Y105</f>
        <v>825080.01811726892</v>
      </c>
    </row>
    <row r="13" spans="3:16" ht="16.2" thickBot="1" x14ac:dyDescent="0.35">
      <c r="E13" s="267" t="s">
        <v>206</v>
      </c>
      <c r="F13" s="268"/>
      <c r="G13" s="269"/>
      <c r="H13" s="269">
        <f ca="1">(H11/K12)-1</f>
        <v>0.39543386708583039</v>
      </c>
      <c r="I13" s="269">
        <f ca="1">(I11/K12)-1</f>
        <v>0.48330711618691491</v>
      </c>
      <c r="J13" s="269">
        <f ca="1">(J11/K12)-1</f>
        <v>0.40452480373297695</v>
      </c>
      <c r="K13" s="270">
        <f ca="1">(K11/K12)-1</f>
        <v>0.47388198070519993</v>
      </c>
      <c r="M13" s="398" t="s">
        <v>284</v>
      </c>
      <c r="N13" s="400">
        <f ca="1">N12/N6</f>
        <v>0.86228138373403596</v>
      </c>
      <c r="O13" s="400">
        <f t="shared" ref="O13:P13" ca="1" si="0">O12/O6</f>
        <v>0.73326192259448453</v>
      </c>
      <c r="P13" s="401">
        <f t="shared" ca="1" si="0"/>
        <v>0.53755655728952689</v>
      </c>
    </row>
    <row r="14" spans="3:16" ht="16.2" thickBot="1" x14ac:dyDescent="0.35">
      <c r="E14" s="271"/>
      <c r="F14" s="256"/>
      <c r="G14" s="256"/>
      <c r="H14" s="256"/>
      <c r="I14" s="256"/>
      <c r="J14" s="256"/>
      <c r="K14" s="272"/>
      <c r="M14" s="402" t="s">
        <v>289</v>
      </c>
      <c r="N14" s="396">
        <f>'Pro Forma'!O82</f>
        <v>93038</v>
      </c>
      <c r="O14" s="396">
        <f>'Pro Forma'!T82</f>
        <v>247241.45500516452</v>
      </c>
      <c r="P14" s="397">
        <f>'Pro Forma'!Y82</f>
        <v>443656.00946672366</v>
      </c>
    </row>
    <row r="15" spans="3:16" x14ac:dyDescent="0.3">
      <c r="E15" s="273" t="s">
        <v>207</v>
      </c>
      <c r="F15" s="274"/>
      <c r="G15" s="274"/>
      <c r="H15" s="274"/>
      <c r="I15" s="274"/>
      <c r="J15" s="274"/>
      <c r="K15" s="275"/>
      <c r="M15" s="402" t="s">
        <v>290</v>
      </c>
      <c r="N15" s="396">
        <f>'Pro Forma'!O91</f>
        <v>41729</v>
      </c>
      <c r="O15" s="396">
        <f>'Pro Forma'!T91</f>
        <v>149561.63389499547</v>
      </c>
      <c r="P15" s="397">
        <f>'Pro Forma'!Y91</f>
        <v>377943.54671629489</v>
      </c>
    </row>
    <row r="16" spans="3:16" x14ac:dyDescent="0.3">
      <c r="E16" s="276" t="s">
        <v>208</v>
      </c>
      <c r="F16" s="277"/>
      <c r="G16" s="277"/>
      <c r="H16" s="277"/>
      <c r="I16" s="277"/>
      <c r="J16" s="277"/>
      <c r="K16" s="278" t="s">
        <v>224</v>
      </c>
      <c r="M16" s="403" t="s">
        <v>7</v>
      </c>
      <c r="N16" s="404">
        <f ca="1">N6-N12</f>
        <v>20838.555809790851</v>
      </c>
      <c r="O16" s="404">
        <f t="shared" ref="O16:P16" ca="1" si="1">O6-O12</f>
        <v>145519.98459654453</v>
      </c>
      <c r="P16" s="405">
        <f t="shared" ca="1" si="1"/>
        <v>709791.07019666734</v>
      </c>
    </row>
    <row r="17" spans="5:16" x14ac:dyDescent="0.3">
      <c r="E17" s="261" t="s">
        <v>209</v>
      </c>
      <c r="F17" s="262"/>
      <c r="G17" s="262"/>
      <c r="H17" s="262"/>
      <c r="I17" s="262"/>
      <c r="J17" s="262"/>
      <c r="K17" s="279" t="s">
        <v>210</v>
      </c>
      <c r="M17" s="380" t="s">
        <v>295</v>
      </c>
      <c r="N17" s="388">
        <f ca="1">N16/N6</f>
        <v>0.13771861626596402</v>
      </c>
      <c r="O17" s="388">
        <f t="shared" ref="O17:P17" ca="1" si="2">O16/O6</f>
        <v>0.26673807740551553</v>
      </c>
      <c r="P17" s="381">
        <f t="shared" ca="1" si="2"/>
        <v>0.46244344271047316</v>
      </c>
    </row>
    <row r="18" spans="5:16" x14ac:dyDescent="0.3">
      <c r="E18" s="280" t="s">
        <v>211</v>
      </c>
      <c r="F18" s="277"/>
      <c r="G18" s="277"/>
      <c r="H18" s="277"/>
      <c r="I18" s="277"/>
      <c r="J18" s="277"/>
      <c r="K18" s="278" t="s">
        <v>256</v>
      </c>
      <c r="M18" s="395" t="s">
        <v>291</v>
      </c>
      <c r="N18" s="406">
        <f>'Pro Forma'!O142</f>
        <v>0.25959736703022152</v>
      </c>
      <c r="O18" s="406">
        <f ca="1">'Pro Forma'!T142</f>
        <v>2.8813253935580661</v>
      </c>
      <c r="P18" s="407">
        <f ca="1">'Pro Forma'!Y142</f>
        <v>14.65464522161748</v>
      </c>
    </row>
    <row r="19" spans="5:16" x14ac:dyDescent="0.3">
      <c r="E19" s="281" t="s">
        <v>212</v>
      </c>
      <c r="F19" s="262"/>
      <c r="G19" s="262"/>
      <c r="H19" s="262"/>
      <c r="I19" s="262"/>
      <c r="J19" s="262"/>
      <c r="K19" s="279" t="s">
        <v>223</v>
      </c>
      <c r="M19" s="408" t="s">
        <v>292</v>
      </c>
      <c r="N19" s="396">
        <f>'Pro Forma'!O184</f>
        <v>28526</v>
      </c>
      <c r="O19" s="396">
        <f ca="1">'Pro Forma'!T184</f>
        <v>237281.31553125411</v>
      </c>
      <c r="P19" s="397">
        <f ca="1">'Pro Forma'!Y184</f>
        <v>1715176.7124241898</v>
      </c>
    </row>
    <row r="20" spans="5:16" x14ac:dyDescent="0.3">
      <c r="E20" s="276" t="s">
        <v>213</v>
      </c>
      <c r="F20" s="277"/>
      <c r="G20" s="277"/>
      <c r="H20" s="277"/>
      <c r="I20" s="277"/>
      <c r="J20" s="277"/>
      <c r="K20" s="282">
        <v>38.087698000000003</v>
      </c>
      <c r="M20" s="408" t="s">
        <v>293</v>
      </c>
      <c r="N20" s="396">
        <f>'Pro Forma'!O176</f>
        <v>118361</v>
      </c>
      <c r="O20" s="396">
        <f>'Pro Forma'!T176</f>
        <v>19611</v>
      </c>
      <c r="P20" s="397">
        <f>'Pro Forma'!Y176</f>
        <v>0</v>
      </c>
    </row>
    <row r="21" spans="5:16" ht="16.2" thickBot="1" x14ac:dyDescent="0.35">
      <c r="E21" s="261" t="s">
        <v>214</v>
      </c>
      <c r="F21" s="262"/>
      <c r="G21" s="262"/>
      <c r="H21" s="262"/>
      <c r="I21" s="262"/>
      <c r="J21" s="262"/>
      <c r="K21" s="283">
        <v>44561</v>
      </c>
      <c r="M21" s="409" t="s">
        <v>294</v>
      </c>
      <c r="N21" s="410">
        <f>ABS('Pro Forma'!O238)</f>
        <v>15375</v>
      </c>
      <c r="O21" s="410">
        <f>ABS('Pro Forma'!T238)</f>
        <v>20990.776702129311</v>
      </c>
      <c r="P21" s="411">
        <f>ABS('Pro Forma'!Y238)</f>
        <v>27628.785436921709</v>
      </c>
    </row>
    <row r="22" spans="5:16" x14ac:dyDescent="0.3">
      <c r="E22" s="276" t="s">
        <v>215</v>
      </c>
      <c r="F22" s="277"/>
      <c r="G22" s="277"/>
      <c r="H22" s="277"/>
      <c r="I22" s="277"/>
      <c r="J22" s="277"/>
      <c r="K22" s="284">
        <f>K12</f>
        <v>80.3</v>
      </c>
    </row>
    <row r="23" spans="5:16" x14ac:dyDescent="0.3">
      <c r="E23" s="261" t="s">
        <v>216</v>
      </c>
      <c r="F23" s="262"/>
      <c r="G23" s="262"/>
      <c r="H23" s="262"/>
      <c r="I23" s="262"/>
      <c r="J23" s="262"/>
      <c r="K23" s="285">
        <v>188111</v>
      </c>
    </row>
    <row r="24" spans="5:16" x14ac:dyDescent="0.3">
      <c r="E24" s="276" t="s">
        <v>217</v>
      </c>
      <c r="F24" s="277"/>
      <c r="G24" s="277"/>
      <c r="H24" s="277"/>
      <c r="I24" s="277"/>
      <c r="J24" s="277"/>
      <c r="K24" s="286">
        <f>K20*K12</f>
        <v>3058.4421494000003</v>
      </c>
    </row>
    <row r="25" spans="5:16" x14ac:dyDescent="0.3">
      <c r="E25" s="261" t="s">
        <v>218</v>
      </c>
      <c r="F25" s="262"/>
      <c r="G25" s="262"/>
      <c r="H25" s="262"/>
      <c r="I25" s="262"/>
      <c r="J25" s="262"/>
      <c r="K25" s="287">
        <f>((K24*1000)+'Pro Forma'!O184-'Pro Forma'!O176)/1000</f>
        <v>2968.6071494000003</v>
      </c>
    </row>
    <row r="26" spans="5:16" x14ac:dyDescent="0.3">
      <c r="E26" s="276" t="s">
        <v>219</v>
      </c>
      <c r="F26" s="277"/>
      <c r="G26" s="277"/>
      <c r="H26" s="277"/>
      <c r="I26" s="277"/>
      <c r="J26" s="277"/>
      <c r="K26" s="288" t="s">
        <v>411</v>
      </c>
    </row>
    <row r="27" spans="5:16" ht="16.2" thickBot="1" x14ac:dyDescent="0.35">
      <c r="E27" s="289" t="s">
        <v>220</v>
      </c>
      <c r="F27" s="290"/>
      <c r="G27" s="290"/>
      <c r="H27" s="290"/>
      <c r="I27" s="290"/>
      <c r="J27" s="290"/>
      <c r="K27" s="291" t="s">
        <v>225</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9B8A0-9D4F-456A-9B82-AC26CB92D5CA}">
  <dimension ref="B1:R35"/>
  <sheetViews>
    <sheetView showGridLines="0" zoomScale="65" zoomScaleNormal="65" workbookViewId="0">
      <selection activeCell="I1" sqref="I1"/>
    </sheetView>
  </sheetViews>
  <sheetFormatPr defaultRowHeight="15.6" x14ac:dyDescent="0.3"/>
  <cols>
    <col min="1" max="1" width="8.88671875" style="2"/>
    <col min="2" max="2" width="38.6640625" style="2" bestFit="1" customWidth="1"/>
    <col min="3" max="17" width="15.77734375" style="2" customWidth="1"/>
    <col min="18" max="18" width="17.6640625" style="2" bestFit="1" customWidth="1"/>
    <col min="19" max="19" width="16" style="2" customWidth="1"/>
    <col min="20" max="20" width="9.77734375" style="2" bestFit="1" customWidth="1"/>
    <col min="21" max="16384" width="8.88671875" style="2"/>
  </cols>
  <sheetData>
    <row r="1" spans="2:18" ht="16.2" thickBot="1" x14ac:dyDescent="0.35"/>
    <row r="2" spans="2:18" x14ac:dyDescent="0.3">
      <c r="B2" s="41" t="s">
        <v>9</v>
      </c>
      <c r="C2" s="42"/>
      <c r="D2" s="42"/>
      <c r="E2" s="42"/>
      <c r="F2" s="42"/>
      <c r="G2" s="42"/>
      <c r="H2" s="42"/>
      <c r="I2" s="42"/>
      <c r="J2" s="42"/>
      <c r="K2" s="42"/>
      <c r="L2" s="42"/>
      <c r="M2" s="42"/>
      <c r="N2" s="42"/>
      <c r="O2" s="42"/>
      <c r="P2" s="42"/>
      <c r="Q2" s="42"/>
      <c r="R2" s="43"/>
    </row>
    <row r="3" spans="2:18" ht="16.8" thickBot="1" x14ac:dyDescent="0.4">
      <c r="B3" s="44" t="s">
        <v>29</v>
      </c>
      <c r="C3" s="45">
        <v>17</v>
      </c>
      <c r="D3" s="45">
        <f>C3+1</f>
        <v>18</v>
      </c>
      <c r="E3" s="45">
        <f t="shared" ref="E3:G3" si="0">D3+1</f>
        <v>19</v>
      </c>
      <c r="F3" s="45">
        <f t="shared" si="0"/>
        <v>20</v>
      </c>
      <c r="G3" s="45">
        <f t="shared" si="0"/>
        <v>21</v>
      </c>
      <c r="H3" s="46">
        <f t="shared" ref="H3:L3" si="1">G3+1</f>
        <v>22</v>
      </c>
      <c r="I3" s="46">
        <f t="shared" si="1"/>
        <v>23</v>
      </c>
      <c r="J3" s="46">
        <f t="shared" si="1"/>
        <v>24</v>
      </c>
      <c r="K3" s="46">
        <f t="shared" si="1"/>
        <v>25</v>
      </c>
      <c r="L3" s="46">
        <f t="shared" si="1"/>
        <v>26</v>
      </c>
      <c r="M3" s="46">
        <f t="shared" ref="M3" si="2">L3+1</f>
        <v>27</v>
      </c>
      <c r="N3" s="46">
        <f t="shared" ref="N3" si="3">M3+1</f>
        <v>28</v>
      </c>
      <c r="O3" s="46">
        <f t="shared" ref="O3" si="4">N3+1</f>
        <v>29</v>
      </c>
      <c r="P3" s="46">
        <f t="shared" ref="P3" si="5">O3+1</f>
        <v>30</v>
      </c>
      <c r="Q3" s="46">
        <f t="shared" ref="Q3" si="6">P3+1</f>
        <v>31</v>
      </c>
      <c r="R3" s="47" t="s">
        <v>10</v>
      </c>
    </row>
    <row r="4" spans="2:18" x14ac:dyDescent="0.3">
      <c r="B4" s="16" t="s">
        <v>11</v>
      </c>
      <c r="C4" s="169">
        <f>'Pro Forma'!C109*(1-'Pro Forma'!C136)</f>
        <v>0</v>
      </c>
      <c r="D4" s="169">
        <f>'Pro Forma'!D109*(1-'Pro Forma'!D136)</f>
        <v>6214.500991053731</v>
      </c>
      <c r="E4" s="169">
        <f>'Pro Forma'!E109*(1-'Pro Forma'!E136)</f>
        <v>5359.432960893856</v>
      </c>
      <c r="F4" s="169">
        <f>'Pro Forma'!J109*(1-'Pro Forma'!J136)</f>
        <v>12223.385497200747</v>
      </c>
      <c r="G4" s="169">
        <f>'Pro Forma'!O109*(1-'Pro Forma'!O136)</f>
        <v>10397.648866923819</v>
      </c>
      <c r="H4" s="169">
        <f ca="1">'Pro Forma'!P109*(1-'Pro Forma'!P136)</f>
        <v>18750.899878838431</v>
      </c>
      <c r="I4" s="169">
        <f ca="1">'Pro Forma'!Q109*(1-'Pro Forma'!Q136)</f>
        <v>29502.166626984639</v>
      </c>
      <c r="J4" s="169">
        <f ca="1">'Pro Forma'!R109*(1-'Pro Forma'!R136)</f>
        <v>44913.214515915119</v>
      </c>
      <c r="K4" s="169">
        <f ca="1">'Pro Forma'!S109*(1-'Pro Forma'!S136)</f>
        <v>67702.724995646582</v>
      </c>
      <c r="L4" s="169">
        <f ca="1">'Pro Forma'!T109*(1-'Pro Forma'!T136)</f>
        <v>99830.859763859145</v>
      </c>
      <c r="M4" s="169">
        <f ca="1">'Pro Forma'!U109*(1-'Pro Forma'!U136)</f>
        <v>144668.83818828873</v>
      </c>
      <c r="N4" s="169">
        <f ca="1">'Pro Forma'!V109*(1-'Pro Forma'!V136)</f>
        <v>205230.21104538659</v>
      </c>
      <c r="O4" s="169">
        <f ca="1">'Pro Forma'!W109*(1-'Pro Forma'!W136)</f>
        <v>285602.26385657763</v>
      </c>
      <c r="P4" s="169">
        <f ca="1">'Pro Forma'!X109*(1-'Pro Forma'!X136)</f>
        <v>391004.26218942308</v>
      </c>
      <c r="Q4" s="169">
        <f ca="1">'Pro Forma'!Y109*(1-'Pro Forma'!Y136)</f>
        <v>527465.01663705579</v>
      </c>
      <c r="R4" s="17"/>
    </row>
    <row r="5" spans="2:18" x14ac:dyDescent="0.3">
      <c r="B5" s="18" t="s">
        <v>12</v>
      </c>
      <c r="C5" s="19">
        <f>1-'Pro Forma'!C130</f>
        <v>1</v>
      </c>
      <c r="D5" s="19">
        <f>1-'Pro Forma'!D130</f>
        <v>1.0246459545504447</v>
      </c>
      <c r="E5" s="19">
        <f>1-'Pro Forma'!E130</f>
        <v>0.88841348622283078</v>
      </c>
      <c r="F5" s="19">
        <f>1-'Pro Forma'!J130</f>
        <v>1.0584085778781038</v>
      </c>
      <c r="G5" s="19">
        <f>1-'Pro Forma'!O130</f>
        <v>1.3817455029980013</v>
      </c>
      <c r="H5" s="19">
        <f>1-'Pro Forma'!P130</f>
        <v>0.85</v>
      </c>
      <c r="I5" s="19">
        <f>1-'Pro Forma'!Q130</f>
        <v>0.85</v>
      </c>
      <c r="J5" s="19">
        <f>1-'Pro Forma'!R130</f>
        <v>0.85</v>
      </c>
      <c r="K5" s="19">
        <f>1-'Pro Forma'!S130</f>
        <v>0.85</v>
      </c>
      <c r="L5" s="19">
        <f>1-'Pro Forma'!T130</f>
        <v>0.85</v>
      </c>
      <c r="M5" s="19">
        <f>1-'Pro Forma'!U130</f>
        <v>0.79</v>
      </c>
      <c r="N5" s="19">
        <f>1-'Pro Forma'!V130</f>
        <v>0.79</v>
      </c>
      <c r="O5" s="19">
        <f>1-'Pro Forma'!W130</f>
        <v>0.79</v>
      </c>
      <c r="P5" s="19">
        <f>1-'Pro Forma'!X130</f>
        <v>0.79</v>
      </c>
      <c r="Q5" s="19">
        <f>1-'Pro Forma'!Y130</f>
        <v>0.79</v>
      </c>
      <c r="R5" s="20"/>
    </row>
    <row r="6" spans="2:18" ht="16.2" thickBot="1" x14ac:dyDescent="0.35">
      <c r="B6" s="21" t="s">
        <v>13</v>
      </c>
      <c r="C6" s="171">
        <f>(C4*C5)</f>
        <v>0</v>
      </c>
      <c r="D6" s="171">
        <f t="shared" ref="D6:L6" si="7">(D4*D5)</f>
        <v>6367.6633000329348</v>
      </c>
      <c r="E6" s="171">
        <f t="shared" si="7"/>
        <v>4761.3925209652589</v>
      </c>
      <c r="F6" s="171">
        <f t="shared" si="7"/>
        <v>12937.336060948081</v>
      </c>
      <c r="G6" s="171">
        <f t="shared" si="7"/>
        <v>14366.90456362425</v>
      </c>
      <c r="H6" s="171">
        <f ca="1">(H4*H5)</f>
        <v>15938.264897012665</v>
      </c>
      <c r="I6" s="171">
        <f t="shared" ca="1" si="7"/>
        <v>25076.841632936943</v>
      </c>
      <c r="J6" s="171">
        <f t="shared" ca="1" si="7"/>
        <v>38176.232338527851</v>
      </c>
      <c r="K6" s="171">
        <f t="shared" ca="1" si="7"/>
        <v>57547.31624629959</v>
      </c>
      <c r="L6" s="171">
        <f t="shared" ca="1" si="7"/>
        <v>84856.230799280267</v>
      </c>
      <c r="M6" s="171">
        <f t="shared" ref="M6:Q6" ca="1" si="8">(M4*M5)</f>
        <v>114288.38216874811</v>
      </c>
      <c r="N6" s="171">
        <f t="shared" ca="1" si="8"/>
        <v>162131.86672585542</v>
      </c>
      <c r="O6" s="171">
        <f t="shared" ca="1" si="8"/>
        <v>225625.78844669633</v>
      </c>
      <c r="P6" s="171">
        <f t="shared" ca="1" si="8"/>
        <v>308893.36712964426</v>
      </c>
      <c r="Q6" s="171">
        <f t="shared" ca="1" si="8"/>
        <v>416697.36314327409</v>
      </c>
      <c r="R6" s="22"/>
    </row>
    <row r="7" spans="2:18" ht="16.2" thickTop="1" x14ac:dyDescent="0.3">
      <c r="B7" s="23"/>
      <c r="C7" s="37"/>
      <c r="D7" s="37"/>
      <c r="E7" s="37"/>
      <c r="F7" s="37"/>
      <c r="G7" s="37"/>
      <c r="H7" s="37"/>
      <c r="I7" s="37"/>
      <c r="J7" s="37"/>
      <c r="K7" s="37"/>
      <c r="L7" s="37"/>
      <c r="M7" s="37"/>
      <c r="N7" s="37"/>
      <c r="O7" s="37"/>
      <c r="P7" s="37"/>
      <c r="Q7" s="37"/>
      <c r="R7" s="20"/>
    </row>
    <row r="8" spans="2:18" x14ac:dyDescent="0.3">
      <c r="B8" s="24" t="s">
        <v>14</v>
      </c>
      <c r="C8" s="177">
        <f>'Pro Forma'!C123</f>
        <v>876</v>
      </c>
      <c r="D8" s="177">
        <f>'Pro Forma'!D123</f>
        <v>1464</v>
      </c>
      <c r="E8" s="177">
        <f>'Pro Forma'!E123</f>
        <v>1931</v>
      </c>
      <c r="F8" s="177">
        <f>'Pro Forma'!J123</f>
        <v>3147</v>
      </c>
      <c r="G8" s="177">
        <f>'Pro Forma'!O123</f>
        <v>4873</v>
      </c>
      <c r="H8" s="177">
        <f>'Pro Forma'!P123</f>
        <v>6208.9505022158201</v>
      </c>
      <c r="I8" s="177">
        <f>'Pro Forma'!Q123</f>
        <v>7870.6984543731942</v>
      </c>
      <c r="J8" s="177">
        <f>'Pro Forma'!R123</f>
        <v>9685.2062204673621</v>
      </c>
      <c r="K8" s="177">
        <f>'Pro Forma'!S123</f>
        <v>11457.298145223564</v>
      </c>
      <c r="L8" s="177">
        <f>'Pro Forma'!T123</f>
        <v>13337.723767432999</v>
      </c>
      <c r="M8" s="177">
        <f>'Pro Forma'!U123</f>
        <v>15300.777425897621</v>
      </c>
      <c r="N8" s="177">
        <f>'Pro Forma'!V123</f>
        <v>17177.287475545141</v>
      </c>
      <c r="O8" s="177">
        <f>'Pro Forma'!W123</f>
        <v>19078.362380638773</v>
      </c>
      <c r="P8" s="177">
        <f>'Pro Forma'!X123</f>
        <v>20961.808403661435</v>
      </c>
      <c r="Q8" s="177">
        <f>'Pro Forma'!Y123</f>
        <v>22417.432818584555</v>
      </c>
      <c r="R8" s="25"/>
    </row>
    <row r="9" spans="2:18" x14ac:dyDescent="0.3">
      <c r="B9" s="18" t="s">
        <v>179</v>
      </c>
      <c r="C9" s="37"/>
      <c r="D9" s="181">
        <f>'Pro Forma'!D225</f>
        <v>1694</v>
      </c>
      <c r="E9" s="181">
        <f>'Pro Forma'!E225</f>
        <v>-2747</v>
      </c>
      <c r="F9" s="181">
        <f>'Pro Forma'!J225</f>
        <v>-5703</v>
      </c>
      <c r="G9" s="181">
        <f>'Pro Forma'!O225</f>
        <v>13862</v>
      </c>
      <c r="H9" s="181">
        <f>'Pro Forma'!P225</f>
        <v>-3533.1142048399961</v>
      </c>
      <c r="I9" s="181">
        <f>'Pro Forma'!Q225</f>
        <v>-848.69544953137665</v>
      </c>
      <c r="J9" s="181">
        <f>'Pro Forma'!R225</f>
        <v>-3042.6545021882393</v>
      </c>
      <c r="K9" s="181">
        <f>'Pro Forma'!S225</f>
        <v>-2249.006383375212</v>
      </c>
      <c r="L9" s="181">
        <f>'Pro Forma'!T225</f>
        <v>-3642.6350726428136</v>
      </c>
      <c r="M9" s="181">
        <f>'Pro Forma'!U225</f>
        <v>-4030.470543324318</v>
      </c>
      <c r="N9" s="181">
        <f>'Pro Forma'!V225</f>
        <v>-4150.9172366423882</v>
      </c>
      <c r="O9" s="181">
        <f>'Pro Forma'!W225</f>
        <v>-4388.5615397387228</v>
      </c>
      <c r="P9" s="181">
        <f>'Pro Forma'!X225</f>
        <v>-4491.440105215519</v>
      </c>
      <c r="Q9" s="181">
        <f>'Pro Forma'!Y225</f>
        <v>-3895.927754226017</v>
      </c>
      <c r="R9" s="20"/>
    </row>
    <row r="10" spans="2:18" x14ac:dyDescent="0.3">
      <c r="B10" s="24" t="s">
        <v>15</v>
      </c>
      <c r="C10" s="177">
        <f>'Pro Forma'!C238</f>
        <v>-6153</v>
      </c>
      <c r="D10" s="177">
        <f>'Pro Forma'!D238</f>
        <v>-2222</v>
      </c>
      <c r="E10" s="177">
        <f>'Pro Forma'!E238</f>
        <v>-4078</v>
      </c>
      <c r="F10" s="177">
        <f>'Pro Forma'!J238</f>
        <v>-10333</v>
      </c>
      <c r="G10" s="177">
        <f>'Pro Forma'!O238</f>
        <v>-15375</v>
      </c>
      <c r="H10" s="177">
        <f>'Pro Forma'!P238</f>
        <v>-13413.641408621597</v>
      </c>
      <c r="I10" s="177">
        <f>'Pro Forma'!Q238</f>
        <v>-16521.635266907353</v>
      </c>
      <c r="J10" s="177">
        <f>'Pro Forma'!R238</f>
        <v>-18457.726127089481</v>
      </c>
      <c r="K10" s="177">
        <f>'Pro Forma'!S238</f>
        <v>-19055.982792468028</v>
      </c>
      <c r="L10" s="177">
        <f>'Pro Forma'!T238</f>
        <v>-20990.776702129311</v>
      </c>
      <c r="M10" s="177">
        <f>'Pro Forma'!U238</f>
        <v>-22950.50071228591</v>
      </c>
      <c r="N10" s="177">
        <f>'Pro Forma'!V238</f>
        <v>-23883.036644828288</v>
      </c>
      <c r="O10" s="177">
        <f>'Pro Forma'!W238</f>
        <v>-25983.467742009481</v>
      </c>
      <c r="P10" s="177">
        <f>'Pro Forma'!X238</f>
        <v>-28143.986845413223</v>
      </c>
      <c r="Q10" s="177">
        <f>'Pro Forma'!Y238</f>
        <v>-27628.785436921709</v>
      </c>
      <c r="R10" s="25"/>
    </row>
    <row r="11" spans="2:18" x14ac:dyDescent="0.3">
      <c r="B11" s="23"/>
      <c r="C11" s="37"/>
      <c r="D11" s="37"/>
      <c r="E11" s="37"/>
      <c r="F11" s="37"/>
      <c r="G11" s="37"/>
      <c r="H11" s="37"/>
      <c r="I11" s="37"/>
      <c r="J11" s="37"/>
      <c r="K11" s="37"/>
      <c r="L11" s="37"/>
      <c r="M11" s="37"/>
      <c r="N11" s="37"/>
      <c r="O11" s="37"/>
      <c r="P11" s="37"/>
      <c r="Q11" s="37"/>
      <c r="R11" s="20"/>
    </row>
    <row r="12" spans="2:18" ht="16.2" thickBot="1" x14ac:dyDescent="0.35">
      <c r="B12" s="21" t="s">
        <v>16</v>
      </c>
      <c r="C12" s="182">
        <f>(C6+C8+C9+C10)</f>
        <v>-5277</v>
      </c>
      <c r="D12" s="182">
        <f t="shared" ref="D12:Q12" si="9">(D6+D8+D9+D10)</f>
        <v>7303.6633000329348</v>
      </c>
      <c r="E12" s="182">
        <f t="shared" si="9"/>
        <v>-132.60747903474112</v>
      </c>
      <c r="F12" s="182">
        <f t="shared" si="9"/>
        <v>48.336060948080558</v>
      </c>
      <c r="G12" s="182">
        <f t="shared" si="9"/>
        <v>17726.904563624252</v>
      </c>
      <c r="H12" s="182">
        <f t="shared" ca="1" si="9"/>
        <v>5200.4597857668905</v>
      </c>
      <c r="I12" s="182">
        <f t="shared" ca="1" si="9"/>
        <v>15577.209370871409</v>
      </c>
      <c r="J12" s="182">
        <f t="shared" ca="1" si="9"/>
        <v>26361.057929717492</v>
      </c>
      <c r="K12" s="182">
        <f t="shared" ca="1" si="9"/>
        <v>47699.625215679916</v>
      </c>
      <c r="L12" s="182">
        <f t="shared" ca="1" si="9"/>
        <v>73560.542791941145</v>
      </c>
      <c r="M12" s="182">
        <f t="shared" ca="1" si="9"/>
        <v>102608.18833903549</v>
      </c>
      <c r="N12" s="182">
        <f t="shared" ca="1" si="9"/>
        <v>151275.20031992986</v>
      </c>
      <c r="O12" s="182">
        <f t="shared" ca="1" si="9"/>
        <v>214332.12154558691</v>
      </c>
      <c r="P12" s="182">
        <f t="shared" ca="1" si="9"/>
        <v>297219.74858267693</v>
      </c>
      <c r="Q12" s="182">
        <f t="shared" ca="1" si="9"/>
        <v>407590.08277071093</v>
      </c>
      <c r="R12" s="172">
        <f ca="1">(Q12*(1+O28))/(O28-O29)</f>
        <v>4921229.7688406771</v>
      </c>
    </row>
    <row r="13" spans="2:18" ht="16.2" thickTop="1" x14ac:dyDescent="0.3">
      <c r="B13" s="375" t="s">
        <v>283</v>
      </c>
      <c r="C13" s="499" t="s">
        <v>410</v>
      </c>
      <c r="D13" s="500"/>
      <c r="E13" s="501">
        <f ca="1">(Q13/G13)^(1/10)-1</f>
        <v>0.36822987900571769</v>
      </c>
      <c r="F13" s="376"/>
      <c r="G13" s="378">
        <f>G12/$R$22</f>
        <v>0.6223607915953282</v>
      </c>
      <c r="H13" s="378">
        <f t="shared" ref="H13:Q13" ca="1" si="10">H12/$R$22</f>
        <v>0.18257909931838887</v>
      </c>
      <c r="I13" s="378">
        <f t="shared" ca="1" si="10"/>
        <v>0.54688873176398667</v>
      </c>
      <c r="J13" s="378">
        <f t="shared" ca="1" si="10"/>
        <v>0.92549090121998545</v>
      </c>
      <c r="K13" s="378">
        <f t="shared" ca="1" si="10"/>
        <v>1.6746508902037929</v>
      </c>
      <c r="L13" s="378">
        <f t="shared" ca="1" si="10"/>
        <v>2.5825827333734219</v>
      </c>
      <c r="M13" s="378">
        <f t="shared" ca="1" si="10"/>
        <v>3.6023950537808203</v>
      </c>
      <c r="N13" s="378">
        <f t="shared" ca="1" si="10"/>
        <v>5.3110092109958851</v>
      </c>
      <c r="O13" s="378">
        <f t="shared" ca="1" si="10"/>
        <v>7.5248280572987811</v>
      </c>
      <c r="P13" s="378">
        <f t="shared" ca="1" si="10"/>
        <v>10.434868498432342</v>
      </c>
      <c r="Q13" s="378">
        <f t="shared" ca="1" si="10"/>
        <v>14.309778994360579</v>
      </c>
      <c r="R13" s="377"/>
    </row>
    <row r="14" spans="2:18" x14ac:dyDescent="0.3">
      <c r="B14" s="28"/>
      <c r="C14" s="177"/>
      <c r="D14" s="177"/>
      <c r="E14" s="177"/>
      <c r="F14" s="177"/>
      <c r="G14" s="177"/>
      <c r="H14" s="177"/>
      <c r="I14" s="177"/>
      <c r="J14" s="177"/>
      <c r="K14" s="177"/>
      <c r="L14" s="177"/>
      <c r="M14" s="177"/>
      <c r="N14" s="177"/>
      <c r="O14" s="177"/>
      <c r="P14" s="177"/>
      <c r="Q14" s="177"/>
      <c r="R14" s="173"/>
    </row>
    <row r="15" spans="2:18" x14ac:dyDescent="0.3">
      <c r="B15" s="18" t="s">
        <v>17</v>
      </c>
      <c r="C15" s="35"/>
      <c r="D15" s="35"/>
      <c r="E15" s="35"/>
      <c r="F15" s="35"/>
      <c r="G15" s="38"/>
      <c r="H15" s="39">
        <v>1</v>
      </c>
      <c r="I15" s="39">
        <v>2</v>
      </c>
      <c r="J15" s="39">
        <v>3</v>
      </c>
      <c r="K15" s="39">
        <v>4</v>
      </c>
      <c r="L15" s="39">
        <v>5</v>
      </c>
      <c r="M15" s="39">
        <v>6</v>
      </c>
      <c r="N15" s="39">
        <v>7</v>
      </c>
      <c r="O15" s="39">
        <v>8</v>
      </c>
      <c r="P15" s="39">
        <v>9</v>
      </c>
      <c r="Q15" s="39">
        <v>10</v>
      </c>
      <c r="R15" s="26">
        <v>10</v>
      </c>
    </row>
    <row r="16" spans="2:18" x14ac:dyDescent="0.3">
      <c r="B16" s="24" t="s">
        <v>18</v>
      </c>
      <c r="C16" s="36"/>
      <c r="D16" s="36"/>
      <c r="E16" s="36"/>
      <c r="F16" s="36"/>
      <c r="G16" s="40"/>
      <c r="H16" s="170">
        <f ca="1">(H12)/((1+$O$28)^H15)</f>
        <v>4684.4854528517126</v>
      </c>
      <c r="I16" s="170">
        <f t="shared" ref="I16:Q16" ca="1" si="11">(I12)/((1+$O$28)^I15)</f>
        <v>12639.501963170163</v>
      </c>
      <c r="J16" s="170">
        <f t="shared" ca="1" si="11"/>
        <v>19267.407922454378</v>
      </c>
      <c r="K16" s="170">
        <f t="shared" ca="1" si="11"/>
        <v>31404.767003118126</v>
      </c>
      <c r="L16" s="170">
        <f t="shared" ca="1" si="11"/>
        <v>43626.029262067779</v>
      </c>
      <c r="M16" s="170">
        <f t="shared" ca="1" si="11"/>
        <v>54815.443610799448</v>
      </c>
      <c r="N16" s="170">
        <f t="shared" ca="1" si="11"/>
        <v>72796.215558590426</v>
      </c>
      <c r="O16" s="170">
        <f t="shared" ca="1" si="11"/>
        <v>92907.009386938502</v>
      </c>
      <c r="P16" s="170">
        <f t="shared" ca="1" si="11"/>
        <v>116053.71108014941</v>
      </c>
      <c r="Q16" s="170">
        <f t="shared" ca="1" si="11"/>
        <v>143359.05541934978</v>
      </c>
      <c r="R16" s="173">
        <f ca="1">(R12)/((1+$O$28)^R15)</f>
        <v>1730912.7012284643</v>
      </c>
    </row>
    <row r="17" spans="2:18" x14ac:dyDescent="0.3">
      <c r="B17" s="23"/>
      <c r="C17" s="35"/>
      <c r="D17" s="35"/>
      <c r="E17" s="35"/>
      <c r="F17" s="35"/>
      <c r="G17" s="35"/>
      <c r="H17" s="35"/>
      <c r="I17" s="35"/>
      <c r="J17" s="35"/>
      <c r="K17" s="35"/>
      <c r="L17" s="35"/>
      <c r="M17" s="35"/>
      <c r="N17" s="35"/>
      <c r="O17" s="35"/>
      <c r="P17" s="35"/>
      <c r="Q17" s="35"/>
      <c r="R17" s="27"/>
    </row>
    <row r="18" spans="2:18" x14ac:dyDescent="0.3">
      <c r="B18" s="28" t="s">
        <v>27</v>
      </c>
      <c r="C18" s="36"/>
      <c r="D18" s="36"/>
      <c r="E18" s="36"/>
      <c r="F18" s="36"/>
      <c r="G18" s="36"/>
      <c r="H18" s="36"/>
      <c r="I18" s="36"/>
      <c r="J18" s="36"/>
      <c r="K18" s="36"/>
      <c r="L18" s="36"/>
      <c r="M18" s="36"/>
      <c r="N18" s="36"/>
      <c r="O18" s="36"/>
      <c r="P18" s="36"/>
      <c r="Q18" s="36"/>
      <c r="R18" s="173">
        <f ca="1">SUM(H16:R16)</f>
        <v>2322466.3278879542</v>
      </c>
    </row>
    <row r="19" spans="2:18" x14ac:dyDescent="0.3">
      <c r="B19" s="18" t="s">
        <v>19</v>
      </c>
      <c r="C19" s="35"/>
      <c r="D19" s="35"/>
      <c r="E19" s="35"/>
      <c r="F19" s="35"/>
      <c r="G19" s="35"/>
      <c r="H19" s="35"/>
      <c r="I19" s="35"/>
      <c r="J19" s="35"/>
      <c r="K19" s="35"/>
      <c r="L19" s="35"/>
      <c r="M19" s="35"/>
      <c r="N19" s="35"/>
      <c r="O19" s="35"/>
      <c r="P19" s="35"/>
      <c r="Q19" s="35"/>
      <c r="R19" s="174">
        <f ca="1">'Pro Forma'!Y184</f>
        <v>1715176.7124241898</v>
      </c>
    </row>
    <row r="20" spans="2:18" x14ac:dyDescent="0.3">
      <c r="B20" s="24" t="s">
        <v>20</v>
      </c>
      <c r="C20" s="36"/>
      <c r="D20" s="36"/>
      <c r="E20" s="36"/>
      <c r="F20" s="36"/>
      <c r="G20" s="36"/>
      <c r="H20" s="36"/>
      <c r="I20" s="36"/>
      <c r="J20" s="36"/>
      <c r="K20" s="36"/>
      <c r="L20" s="36"/>
      <c r="M20" s="36"/>
      <c r="N20" s="36"/>
      <c r="O20" s="36"/>
      <c r="P20" s="36"/>
      <c r="Q20" s="36"/>
      <c r="R20" s="173">
        <f>'Pro Forma'!Y176+'Pro Forma'!Y173</f>
        <v>77474</v>
      </c>
    </row>
    <row r="21" spans="2:18" x14ac:dyDescent="0.3">
      <c r="B21" s="23" t="s">
        <v>21</v>
      </c>
      <c r="C21" s="35"/>
      <c r="D21" s="35"/>
      <c r="E21" s="35"/>
      <c r="F21" s="35"/>
      <c r="G21" s="35"/>
      <c r="H21" s="35"/>
      <c r="I21" s="35"/>
      <c r="J21" s="35"/>
      <c r="K21" s="35"/>
      <c r="L21" s="35"/>
      <c r="M21" s="35"/>
      <c r="N21" s="35"/>
      <c r="O21" s="35"/>
      <c r="P21" s="35"/>
      <c r="Q21" s="35"/>
      <c r="R21" s="174">
        <f ca="1">R18+R19-R20</f>
        <v>3960169.040312144</v>
      </c>
    </row>
    <row r="22" spans="2:18" x14ac:dyDescent="0.3">
      <c r="B22" s="24" t="s">
        <v>30</v>
      </c>
      <c r="C22" s="36"/>
      <c r="D22" s="36"/>
      <c r="E22" s="36"/>
      <c r="F22" s="36"/>
      <c r="G22" s="36"/>
      <c r="H22" s="36"/>
      <c r="I22" s="36"/>
      <c r="J22" s="36"/>
      <c r="K22" s="36"/>
      <c r="L22" s="36"/>
      <c r="M22" s="36"/>
      <c r="N22" s="36"/>
      <c r="O22" s="36"/>
      <c r="P22" s="36"/>
      <c r="Q22" s="36"/>
      <c r="R22" s="175">
        <f>'Pro Forma'!Y147</f>
        <v>28483.324790085186</v>
      </c>
    </row>
    <row r="23" spans="2:18" ht="16.2" thickBot="1" x14ac:dyDescent="0.35">
      <c r="B23" s="29"/>
      <c r="C23" s="30"/>
      <c r="D23" s="30"/>
      <c r="E23" s="30"/>
      <c r="F23" s="30"/>
      <c r="G23" s="30"/>
      <c r="H23" s="30"/>
      <c r="I23" s="30"/>
      <c r="J23" s="30"/>
      <c r="K23" s="30"/>
      <c r="L23" s="30"/>
      <c r="M23" s="30"/>
      <c r="N23" s="30"/>
      <c r="O23" s="30"/>
      <c r="P23" s="30"/>
      <c r="Q23" s="30"/>
      <c r="R23" s="31"/>
    </row>
    <row r="24" spans="2:18" ht="16.2" thickTop="1" x14ac:dyDescent="0.3">
      <c r="B24" s="28" t="s">
        <v>22</v>
      </c>
      <c r="C24" s="36"/>
      <c r="D24" s="36"/>
      <c r="E24" s="36"/>
      <c r="F24" s="36"/>
      <c r="G24" s="36"/>
      <c r="H24" s="36"/>
      <c r="I24" s="36"/>
      <c r="J24" s="36"/>
      <c r="K24" s="36"/>
      <c r="L24" s="36"/>
      <c r="M24" s="36"/>
      <c r="N24" s="36"/>
      <c r="O24" s="36"/>
      <c r="P24" s="36"/>
      <c r="Q24" s="36"/>
      <c r="R24" s="32">
        <f ca="1">(R21/R22)</f>
        <v>139.03464814931459</v>
      </c>
    </row>
    <row r="25" spans="2:18" x14ac:dyDescent="0.3">
      <c r="B25" s="23" t="s">
        <v>23</v>
      </c>
      <c r="C25" s="35"/>
      <c r="D25" s="35"/>
      <c r="E25" s="35"/>
      <c r="F25" s="35"/>
      <c r="G25" s="35"/>
      <c r="H25" s="35"/>
      <c r="I25" s="35"/>
      <c r="J25" s="35"/>
      <c r="K25" s="35"/>
      <c r="L25" s="35"/>
      <c r="M25" s="35"/>
      <c r="N25" s="35"/>
      <c r="O25" s="35"/>
      <c r="P25" s="35"/>
      <c r="Q25" s="35"/>
      <c r="R25" s="20">
        <f>Summary!K12</f>
        <v>80.3</v>
      </c>
    </row>
    <row r="26" spans="2:18" ht="16.2" thickBot="1" x14ac:dyDescent="0.35">
      <c r="B26" s="33" t="s">
        <v>24</v>
      </c>
      <c r="C26" s="34"/>
      <c r="D26" s="34"/>
      <c r="E26" s="34"/>
      <c r="F26" s="34"/>
      <c r="G26" s="34"/>
      <c r="H26" s="34"/>
      <c r="I26" s="34"/>
      <c r="J26" s="34"/>
      <c r="K26" s="34"/>
      <c r="L26" s="34"/>
      <c r="M26" s="34"/>
      <c r="N26" s="34"/>
      <c r="O26" s="34"/>
      <c r="P26" s="34"/>
      <c r="Q26" s="34"/>
      <c r="R26" s="51">
        <f ca="1">(R24/R25)-1</f>
        <v>0.73144020111226138</v>
      </c>
    </row>
    <row r="27" spans="2:18" ht="16.2" thickBot="1" x14ac:dyDescent="0.35"/>
    <row r="28" spans="2:18" x14ac:dyDescent="0.3">
      <c r="G28" s="382" t="s">
        <v>25</v>
      </c>
      <c r="L28" s="41" t="s">
        <v>25</v>
      </c>
      <c r="M28" s="48"/>
      <c r="N28" s="48"/>
      <c r="O28" s="54">
        <f>'Wacc &amp; Beta'!C26</f>
        <v>0.11014535920931831</v>
      </c>
    </row>
    <row r="29" spans="2:18" ht="16.2" thickBot="1" x14ac:dyDescent="0.35">
      <c r="C29" s="58"/>
      <c r="D29" s="383">
        <f ca="1">R24</f>
        <v>139.03464814931459</v>
      </c>
      <c r="E29" s="384">
        <f>F29-0.005</f>
        <v>9.9899999999999989E-2</v>
      </c>
      <c r="F29" s="384">
        <f>G29-0.005</f>
        <v>0.10489999999999999</v>
      </c>
      <c r="G29" s="385">
        <v>0.1099</v>
      </c>
      <c r="H29" s="384">
        <f>G29+0.005</f>
        <v>0.1149</v>
      </c>
      <c r="I29" s="384">
        <f>H29+0.005</f>
        <v>0.11990000000000001</v>
      </c>
      <c r="L29" s="49" t="s">
        <v>26</v>
      </c>
      <c r="M29" s="50"/>
      <c r="N29" s="50"/>
      <c r="O29" s="55">
        <f>'Wacc &amp; Beta'!M21</f>
        <v>1.8200000000000001E-2</v>
      </c>
    </row>
    <row r="30" spans="2:18" x14ac:dyDescent="0.3">
      <c r="B30" s="58"/>
      <c r="C30" s="57"/>
      <c r="D30" s="53">
        <f t="shared" ref="D30" si="12">D31-0.0025</f>
        <v>1.3200000000000002E-2</v>
      </c>
      <c r="E30" s="311">
        <f t="dataTable" ref="E30:I34" dt2D="1" dtr="1" r1="O28" r2="O29" ca="1"/>
        <v>149.83905505950918</v>
      </c>
      <c r="F30" s="311">
        <v>142.6122189771211</v>
      </c>
      <c r="G30" s="311">
        <v>136.19662975349294</v>
      </c>
      <c r="H30" s="311">
        <v>130.4706463529499</v>
      </c>
      <c r="I30" s="311">
        <v>125.33548794680215</v>
      </c>
    </row>
    <row r="31" spans="2:18" x14ac:dyDescent="0.3">
      <c r="B31" s="57"/>
      <c r="C31" s="342" t="s">
        <v>10</v>
      </c>
      <c r="D31" s="53">
        <f>D32-0.0025</f>
        <v>1.5700000000000002E-2</v>
      </c>
      <c r="E31" s="311">
        <v>151.91905310886375</v>
      </c>
      <c r="F31" s="311">
        <v>144.39431861871844</v>
      </c>
      <c r="G31" s="311">
        <v>137.73315922838376</v>
      </c>
      <c r="H31" s="311">
        <v>131.8029925015752</v>
      </c>
      <c r="I31" s="311">
        <v>126.49674294127271</v>
      </c>
    </row>
    <row r="32" spans="2:18" x14ac:dyDescent="0.3">
      <c r="B32" s="57"/>
      <c r="C32" s="386" t="s">
        <v>252</v>
      </c>
      <c r="D32" s="387">
        <v>1.8200000000000001E-2</v>
      </c>
      <c r="E32" s="311">
        <v>154.12634602047993</v>
      </c>
      <c r="F32" s="311">
        <v>146.27919217274933</v>
      </c>
      <c r="G32" s="311">
        <v>139.35346893636566</v>
      </c>
      <c r="H32" s="311">
        <v>133.20422935074993</v>
      </c>
      <c r="I32" s="311">
        <v>127.71509011836227</v>
      </c>
    </row>
    <row r="33" spans="2:9" x14ac:dyDescent="0.3">
      <c r="B33" s="57"/>
      <c r="C33" s="57"/>
      <c r="D33" s="53">
        <f>D32+0.0025</f>
        <v>2.07E-2</v>
      </c>
      <c r="E33" s="311">
        <v>156.47298823207191</v>
      </c>
      <c r="F33" s="311">
        <v>148.27599408509556</v>
      </c>
      <c r="G33" s="311">
        <v>141.06460317954833</v>
      </c>
      <c r="H33" s="311">
        <v>134.67984182886175</v>
      </c>
      <c r="I33" s="311">
        <v>128.99484592332934</v>
      </c>
    </row>
    <row r="34" spans="2:9" x14ac:dyDescent="0.3">
      <c r="B34" s="57"/>
      <c r="C34" s="57"/>
      <c r="D34" s="53">
        <f>D33+0.0025</f>
        <v>2.3199999999999998E-2</v>
      </c>
      <c r="E34" s="311">
        <v>158.9726058159971</v>
      </c>
      <c r="F34" s="311">
        <v>150.39499929685098</v>
      </c>
      <c r="G34" s="311">
        <v>142.87441875163427</v>
      </c>
      <c r="H34" s="311">
        <v>136.23591300261762</v>
      </c>
      <c r="I34" s="311">
        <v>130.34077317632986</v>
      </c>
    </row>
    <row r="35" spans="2:9" x14ac:dyDescent="0.3">
      <c r="B35" s="57"/>
    </row>
  </sheetData>
  <conditionalFormatting sqref="E30:I34">
    <cfRule type="colorScale" priority="2">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190A1-7F6E-45E1-A8DA-F455142093DE}">
  <dimension ref="B2:T207"/>
  <sheetViews>
    <sheetView showGridLines="0" zoomScale="75" zoomScaleNormal="75" workbookViewId="0">
      <selection activeCell="E2" sqref="E2"/>
    </sheetView>
  </sheetViews>
  <sheetFormatPr defaultRowHeight="15.6" x14ac:dyDescent="0.3"/>
  <cols>
    <col min="1" max="1" width="8.88671875" style="2"/>
    <col min="2" max="2" width="26.109375" style="2" bestFit="1" customWidth="1"/>
    <col min="3" max="3" width="14.5546875" style="2" bestFit="1" customWidth="1"/>
    <col min="4" max="4" width="8.88671875" style="2"/>
    <col min="5" max="5" width="11.88671875" style="2" bestFit="1" customWidth="1"/>
    <col min="6" max="6" width="14" style="2" bestFit="1" customWidth="1"/>
    <col min="7" max="7" width="12.44140625" style="2" bestFit="1" customWidth="1"/>
    <col min="8" max="9" width="12.44140625" style="2" customWidth="1"/>
    <col min="10" max="10" width="8.21875" style="2" customWidth="1"/>
    <col min="11" max="12" width="8.88671875" style="2"/>
    <col min="13" max="13" width="17.21875" style="2" bestFit="1" customWidth="1"/>
    <col min="14" max="14" width="8.88671875" style="2"/>
    <col min="15" max="15" width="11.21875" style="2" bestFit="1" customWidth="1"/>
    <col min="16" max="16" width="12.88671875" style="2" bestFit="1" customWidth="1"/>
    <col min="17" max="17" width="11.44140625" style="2" bestFit="1" customWidth="1"/>
    <col min="18" max="18" width="12.6640625" style="2" customWidth="1"/>
    <col min="19" max="20" width="15.21875" style="2" customWidth="1"/>
    <col min="21" max="16384" width="8.88671875" style="2"/>
  </cols>
  <sheetData>
    <row r="2" spans="2:20" ht="16.2" thickBot="1" x14ac:dyDescent="0.35"/>
    <row r="3" spans="2:20" ht="16.2" thickBot="1" x14ac:dyDescent="0.35">
      <c r="B3" s="332" t="s">
        <v>25</v>
      </c>
      <c r="C3" s="318"/>
      <c r="G3" s="319" t="s">
        <v>237</v>
      </c>
      <c r="H3" s="320"/>
      <c r="I3" s="320"/>
      <c r="J3" s="321"/>
      <c r="S3" s="298" t="s">
        <v>235</v>
      </c>
      <c r="T3" s="56"/>
    </row>
    <row r="4" spans="2:20" ht="16.2" thickBot="1" x14ac:dyDescent="0.35">
      <c r="B4" s="245" t="s">
        <v>484</v>
      </c>
      <c r="C4" s="756">
        <f>CHOOSE('Pro Forma'!$B$1,'Wacc &amp; Beta'!C5,'Wacc &amp; Beta'!C6)</f>
        <v>1.1000000000000001</v>
      </c>
      <c r="G4" s="301" t="s">
        <v>238</v>
      </c>
      <c r="H4" s="302"/>
      <c r="I4" s="302"/>
      <c r="J4" s="303">
        <f>AVERAGE(J5:J7)</f>
        <v>1.0950896844005562</v>
      </c>
      <c r="O4" s="295" t="s">
        <v>232</v>
      </c>
      <c r="P4" s="296" t="s">
        <v>234</v>
      </c>
      <c r="Q4" s="297" t="s">
        <v>233</v>
      </c>
      <c r="S4" s="299" t="s">
        <v>224</v>
      </c>
      <c r="T4" s="300" t="s">
        <v>236</v>
      </c>
    </row>
    <row r="5" spans="2:20" x14ac:dyDescent="0.3">
      <c r="B5" s="246" t="s">
        <v>476</v>
      </c>
      <c r="C5" s="757">
        <f>J4</f>
        <v>1.0950896844005562</v>
      </c>
      <c r="G5" s="304" t="s">
        <v>239</v>
      </c>
      <c r="H5" s="323"/>
      <c r="I5" s="323"/>
      <c r="J5" s="306">
        <f>SLOPE(S6:S207,T6:T207)</f>
        <v>0.7852690532016684</v>
      </c>
      <c r="O5" s="312">
        <v>43213</v>
      </c>
      <c r="P5" s="311">
        <v>15.11605</v>
      </c>
      <c r="Q5" s="311">
        <v>1556.23999</v>
      </c>
      <c r="S5" s="313" t="s">
        <v>221</v>
      </c>
      <c r="T5" s="313" t="s">
        <v>221</v>
      </c>
    </row>
    <row r="6" spans="2:20" x14ac:dyDescent="0.3">
      <c r="B6" s="753" t="s">
        <v>477</v>
      </c>
      <c r="C6" s="754">
        <v>1.1000000000000001</v>
      </c>
      <c r="G6" s="246" t="s">
        <v>242</v>
      </c>
      <c r="H6" s="315"/>
      <c r="I6" s="315"/>
      <c r="J6" s="307">
        <v>0.9</v>
      </c>
      <c r="O6" s="312">
        <v>43220</v>
      </c>
      <c r="P6" s="311">
        <v>14.732150000000001</v>
      </c>
      <c r="Q6" s="311">
        <v>1565.599976</v>
      </c>
      <c r="S6" s="52">
        <f t="shared" ref="S6:S37" si="0">(P6/P5)-1</f>
        <v>-2.5396846398364592E-2</v>
      </c>
      <c r="T6" s="52">
        <f t="shared" ref="T6:T37" si="1">(Q6/Q5)-1</f>
        <v>6.014487521297962E-3</v>
      </c>
    </row>
    <row r="7" spans="2:20" x14ac:dyDescent="0.3">
      <c r="B7" s="246" t="s">
        <v>181</v>
      </c>
      <c r="C7" s="247">
        <v>2.75E-2</v>
      </c>
      <c r="G7" s="246" t="s">
        <v>243</v>
      </c>
      <c r="H7" s="315"/>
      <c r="I7" s="315"/>
      <c r="J7" s="307">
        <v>1.6</v>
      </c>
      <c r="O7" s="312">
        <v>43227</v>
      </c>
      <c r="P7" s="311">
        <v>16.152577999999998</v>
      </c>
      <c r="Q7" s="311">
        <v>1606.790039</v>
      </c>
      <c r="S7" s="52">
        <f t="shared" si="0"/>
        <v>9.6416884161510508E-2</v>
      </c>
      <c r="T7" s="52">
        <f t="shared" si="1"/>
        <v>2.6309442789618442E-2</v>
      </c>
    </row>
    <row r="8" spans="2:20" x14ac:dyDescent="0.3">
      <c r="B8" s="246" t="s">
        <v>182</v>
      </c>
      <c r="C8" s="248">
        <f>C7+C9</f>
        <v>8.7499999999999994E-2</v>
      </c>
      <c r="G8" s="246" t="s">
        <v>241</v>
      </c>
      <c r="H8" s="315"/>
      <c r="I8" s="315"/>
      <c r="J8" s="308">
        <v>0.83</v>
      </c>
      <c r="O8" s="312">
        <v>43234</v>
      </c>
      <c r="P8" s="311">
        <v>15.547938</v>
      </c>
      <c r="Q8" s="311">
        <v>1626.630005</v>
      </c>
      <c r="S8" s="52">
        <f t="shared" si="0"/>
        <v>-3.7433033909509583E-2</v>
      </c>
      <c r="T8" s="52">
        <f t="shared" si="1"/>
        <v>1.234757841313705E-2</v>
      </c>
    </row>
    <row r="9" spans="2:20" ht="16.2" thickBot="1" x14ac:dyDescent="0.35">
      <c r="B9" s="246" t="s">
        <v>183</v>
      </c>
      <c r="C9" s="247">
        <v>0.06</v>
      </c>
      <c r="G9" s="309" t="s">
        <v>240</v>
      </c>
      <c r="H9" s="310"/>
      <c r="I9" s="310"/>
      <c r="J9" s="314">
        <v>0.7</v>
      </c>
      <c r="O9" s="312">
        <v>43241</v>
      </c>
      <c r="P9" s="311">
        <v>15.749484000000001</v>
      </c>
      <c r="Q9" s="311">
        <v>1626.9300539999999</v>
      </c>
      <c r="S9" s="52">
        <f t="shared" si="0"/>
        <v>1.296287649204686E-2</v>
      </c>
      <c r="T9" s="52">
        <f t="shared" si="1"/>
        <v>1.844605098133556E-4</v>
      </c>
    </row>
    <row r="10" spans="2:20" x14ac:dyDescent="0.3">
      <c r="B10" s="246" t="s">
        <v>184</v>
      </c>
      <c r="C10" s="249">
        <f>(C7+(C4*C9))</f>
        <v>9.35E-2</v>
      </c>
      <c r="O10" s="312">
        <v>43248</v>
      </c>
      <c r="P10" s="311">
        <v>15.576729</v>
      </c>
      <c r="Q10" s="311">
        <v>1647.9799800000001</v>
      </c>
      <c r="S10" s="52">
        <f t="shared" si="0"/>
        <v>-1.096893079163741E-2</v>
      </c>
      <c r="T10" s="52">
        <f t="shared" si="1"/>
        <v>1.2938433307717379E-2</v>
      </c>
    </row>
    <row r="11" spans="2:20" ht="16.2" thickBot="1" x14ac:dyDescent="0.35">
      <c r="B11" s="246" t="s">
        <v>185</v>
      </c>
      <c r="C11" s="250">
        <f>Summary!K24</f>
        <v>3058.4421494000003</v>
      </c>
      <c r="O11" s="312">
        <v>43255</v>
      </c>
      <c r="P11" s="311">
        <v>18.715111</v>
      </c>
      <c r="Q11" s="311">
        <v>1672.48999</v>
      </c>
      <c r="S11" s="52">
        <f t="shared" si="0"/>
        <v>0.20147888558631277</v>
      </c>
      <c r="T11" s="52">
        <f t="shared" si="1"/>
        <v>1.4872759558644644E-2</v>
      </c>
    </row>
    <row r="12" spans="2:20" ht="16.2" thickBot="1" x14ac:dyDescent="0.35">
      <c r="B12" s="251"/>
      <c r="C12" s="252"/>
      <c r="E12" s="319" t="s">
        <v>244</v>
      </c>
      <c r="F12" s="320"/>
      <c r="G12" s="320"/>
      <c r="H12" s="320"/>
      <c r="I12" s="320"/>
      <c r="J12" s="328"/>
      <c r="K12" s="328"/>
      <c r="L12" s="328"/>
      <c r="M12" s="329"/>
      <c r="O12" s="312">
        <v>43262</v>
      </c>
      <c r="P12" s="311">
        <v>22.813237999999998</v>
      </c>
      <c r="Q12" s="311">
        <v>1683.910034</v>
      </c>
      <c r="S12" s="52">
        <f t="shared" si="0"/>
        <v>0.21897422889984441</v>
      </c>
      <c r="T12" s="52">
        <f t="shared" si="1"/>
        <v>6.8281688191149659E-3</v>
      </c>
    </row>
    <row r="13" spans="2:20" x14ac:dyDescent="0.3">
      <c r="B13" s="246" t="s">
        <v>186</v>
      </c>
      <c r="C13" s="253">
        <f>'Pro Forma'!O118</f>
        <v>-2854</v>
      </c>
      <c r="E13" s="245" t="s">
        <v>251</v>
      </c>
      <c r="F13" s="324"/>
      <c r="G13" s="324"/>
      <c r="H13" s="324"/>
      <c r="I13" s="324"/>
      <c r="J13" s="324"/>
      <c r="K13" s="324" t="s">
        <v>202</v>
      </c>
      <c r="L13" s="324" t="s">
        <v>252</v>
      </c>
      <c r="M13" s="325" t="s">
        <v>254</v>
      </c>
      <c r="O13" s="312">
        <v>43269</v>
      </c>
      <c r="P13" s="311">
        <v>25.164621</v>
      </c>
      <c r="Q13" s="311">
        <v>1685.579956</v>
      </c>
      <c r="S13" s="52">
        <f t="shared" si="0"/>
        <v>0.10307098887058475</v>
      </c>
      <c r="T13" s="52">
        <f t="shared" si="1"/>
        <v>9.916931227218484E-4</v>
      </c>
    </row>
    <row r="14" spans="2:20" x14ac:dyDescent="0.3">
      <c r="B14" s="246" t="s">
        <v>187</v>
      </c>
      <c r="C14" s="253">
        <f>'Pro Forma'!O176</f>
        <v>118361</v>
      </c>
      <c r="E14" s="304" t="s">
        <v>245</v>
      </c>
      <c r="F14" s="305"/>
      <c r="G14" s="330"/>
      <c r="H14" s="330"/>
      <c r="I14" s="330"/>
      <c r="J14" s="323"/>
      <c r="K14" s="728">
        <v>0.05</v>
      </c>
      <c r="L14" s="729">
        <v>2.5999999999999999E-2</v>
      </c>
      <c r="M14" s="730">
        <f>K14*L14</f>
        <v>1.2999999999999999E-3</v>
      </c>
      <c r="O14" s="312">
        <v>43276</v>
      </c>
      <c r="P14" s="311">
        <v>23.955338000000001</v>
      </c>
      <c r="Q14" s="311">
        <v>1643.0699460000001</v>
      </c>
      <c r="S14" s="52">
        <f t="shared" si="0"/>
        <v>-4.805488626274157E-2</v>
      </c>
      <c r="T14" s="52">
        <f t="shared" si="1"/>
        <v>-2.5219812236542682E-2</v>
      </c>
    </row>
    <row r="15" spans="2:20" x14ac:dyDescent="0.3">
      <c r="B15" s="246" t="s">
        <v>188</v>
      </c>
      <c r="C15" s="253">
        <f>C14</f>
        <v>118361</v>
      </c>
      <c r="E15" s="246" t="s">
        <v>247</v>
      </c>
      <c r="F15" s="315"/>
      <c r="G15" s="316"/>
      <c r="H15" s="316"/>
      <c r="I15" s="316"/>
      <c r="J15" s="315"/>
      <c r="K15" s="731">
        <f>0.4/3</f>
        <v>0.13333333333333333</v>
      </c>
      <c r="L15" s="732">
        <v>0.01</v>
      </c>
      <c r="M15" s="733">
        <f t="shared" ref="M15:M20" si="2">K15*L15</f>
        <v>1.3333333333333333E-3</v>
      </c>
      <c r="O15" s="312">
        <v>43283</v>
      </c>
      <c r="P15" s="311">
        <v>23.964936999999999</v>
      </c>
      <c r="Q15" s="311">
        <v>1694.0500489999999</v>
      </c>
      <c r="S15" s="52">
        <f t="shared" si="0"/>
        <v>4.0070401010394718E-4</v>
      </c>
      <c r="T15" s="52">
        <f t="shared" si="1"/>
        <v>3.1027347998245247E-2</v>
      </c>
    </row>
    <row r="16" spans="2:20" x14ac:dyDescent="0.3">
      <c r="B16" s="246" t="s">
        <v>189</v>
      </c>
      <c r="C16" s="331">
        <f>ABS(C13/C15)</f>
        <v>2.4112672248460219E-2</v>
      </c>
      <c r="E16" s="246" t="s">
        <v>246</v>
      </c>
      <c r="F16" s="315"/>
      <c r="G16" s="316"/>
      <c r="H16" s="316"/>
      <c r="I16" s="316"/>
      <c r="J16" s="315"/>
      <c r="K16" s="731">
        <f t="shared" ref="K16:K17" si="3">0.4/3</f>
        <v>0.13333333333333333</v>
      </c>
      <c r="L16" s="732">
        <v>1.4E-2</v>
      </c>
      <c r="M16" s="733">
        <f t="shared" si="2"/>
        <v>1.8666666666666666E-3</v>
      </c>
      <c r="O16" s="312">
        <v>43290</v>
      </c>
      <c r="P16" s="311">
        <v>25.011064999999999</v>
      </c>
      <c r="Q16" s="311">
        <v>1687.079956</v>
      </c>
      <c r="S16" s="52">
        <f t="shared" si="0"/>
        <v>4.3652441064209846E-2</v>
      </c>
      <c r="T16" s="52">
        <f t="shared" si="1"/>
        <v>-4.1144551804206397E-3</v>
      </c>
    </row>
    <row r="17" spans="2:20" x14ac:dyDescent="0.3">
      <c r="B17" s="246" t="s">
        <v>190</v>
      </c>
      <c r="C17" s="247">
        <v>0.25</v>
      </c>
      <c r="E17" s="246" t="s">
        <v>248</v>
      </c>
      <c r="F17" s="315"/>
      <c r="G17" s="317"/>
      <c r="H17" s="317"/>
      <c r="I17" s="317"/>
      <c r="J17" s="315"/>
      <c r="K17" s="731">
        <f t="shared" si="3"/>
        <v>0.13333333333333333</v>
      </c>
      <c r="L17" s="732">
        <v>6.0000000000000001E-3</v>
      </c>
      <c r="M17" s="733">
        <f t="shared" si="2"/>
        <v>8.0000000000000004E-4</v>
      </c>
      <c r="O17" s="312">
        <v>43297</v>
      </c>
      <c r="P17" s="311">
        <v>25.836449000000002</v>
      </c>
      <c r="Q17" s="311">
        <v>1696.8100589999999</v>
      </c>
      <c r="S17" s="52">
        <f t="shared" si="0"/>
        <v>3.3000753866338828E-2</v>
      </c>
      <c r="T17" s="52">
        <f t="shared" si="1"/>
        <v>5.7674225607360352E-3</v>
      </c>
    </row>
    <row r="18" spans="2:20" x14ac:dyDescent="0.3">
      <c r="B18" s="246" t="s">
        <v>191</v>
      </c>
      <c r="C18" s="249">
        <f>(1-C17)</f>
        <v>0.75</v>
      </c>
      <c r="E18" s="246" t="s">
        <v>249</v>
      </c>
      <c r="F18" s="315"/>
      <c r="G18" s="317"/>
      <c r="H18" s="317"/>
      <c r="I18" s="317"/>
      <c r="J18" s="315"/>
      <c r="K18" s="731">
        <v>0.4</v>
      </c>
      <c r="L18" s="732">
        <v>2.5000000000000001E-2</v>
      </c>
      <c r="M18" s="733">
        <f t="shared" si="2"/>
        <v>1.0000000000000002E-2</v>
      </c>
      <c r="O18" s="312">
        <v>43304</v>
      </c>
      <c r="P18" s="311">
        <v>25.778866000000001</v>
      </c>
      <c r="Q18" s="311">
        <v>1663.339966</v>
      </c>
      <c r="S18" s="52">
        <f t="shared" si="0"/>
        <v>-2.2287505531429774E-3</v>
      </c>
      <c r="T18" s="52">
        <f t="shared" si="1"/>
        <v>-1.9725303266840188E-2</v>
      </c>
    </row>
    <row r="19" spans="2:20" x14ac:dyDescent="0.3">
      <c r="B19" s="246" t="s">
        <v>192</v>
      </c>
      <c r="C19" s="331">
        <f>C16*(C18)</f>
        <v>1.8084504186345163E-2</v>
      </c>
      <c r="E19" s="246" t="s">
        <v>250</v>
      </c>
      <c r="F19" s="315"/>
      <c r="G19" s="315"/>
      <c r="H19" s="315"/>
      <c r="I19" s="315"/>
      <c r="J19" s="315"/>
      <c r="K19" s="731">
        <v>0.05</v>
      </c>
      <c r="L19" s="732">
        <v>2.1000000000000001E-2</v>
      </c>
      <c r="M19" s="733">
        <f t="shared" si="2"/>
        <v>1.0500000000000002E-3</v>
      </c>
      <c r="O19" s="312">
        <v>43311</v>
      </c>
      <c r="P19" s="311">
        <v>26.565857000000001</v>
      </c>
      <c r="Q19" s="311">
        <v>1673.369995</v>
      </c>
      <c r="S19" s="52">
        <f t="shared" si="0"/>
        <v>3.0528534497987536E-2</v>
      </c>
      <c r="T19" s="52">
        <f t="shared" si="1"/>
        <v>6.030053509818778E-3</v>
      </c>
    </row>
    <row r="20" spans="2:20" x14ac:dyDescent="0.3">
      <c r="B20" s="251"/>
      <c r="C20" s="252"/>
      <c r="E20" s="246" t="s">
        <v>253</v>
      </c>
      <c r="F20" s="315"/>
      <c r="G20" s="315"/>
      <c r="H20" s="315"/>
      <c r="I20" s="315"/>
      <c r="J20" s="315"/>
      <c r="K20" s="731">
        <v>0.1</v>
      </c>
      <c r="L20" s="732">
        <v>1.8499999999999999E-2</v>
      </c>
      <c r="M20" s="733">
        <f t="shared" si="2"/>
        <v>1.8500000000000001E-3</v>
      </c>
      <c r="O20" s="312">
        <v>43318</v>
      </c>
      <c r="P20" s="311">
        <v>26.153164</v>
      </c>
      <c r="Q20" s="311">
        <v>1686.8000489999999</v>
      </c>
      <c r="S20" s="52">
        <f t="shared" si="0"/>
        <v>-1.5534714351582934E-2</v>
      </c>
      <c r="T20" s="52">
        <f t="shared" si="1"/>
        <v>8.025752846130052E-3</v>
      </c>
    </row>
    <row r="21" spans="2:20" ht="16.2" thickBot="1" x14ac:dyDescent="0.35">
      <c r="B21" s="251" t="s">
        <v>193</v>
      </c>
      <c r="C21" s="249">
        <f>((C11*1000)/((C11*1000)+C15))*C10</f>
        <v>9.0016386763816278E-2</v>
      </c>
      <c r="E21" s="326" t="s">
        <v>255</v>
      </c>
      <c r="F21" s="327"/>
      <c r="G21" s="327"/>
      <c r="H21" s="327"/>
      <c r="I21" s="327"/>
      <c r="J21" s="327"/>
      <c r="K21" s="335">
        <f>SUM(K14:K20)</f>
        <v>1</v>
      </c>
      <c r="L21" s="327"/>
      <c r="M21" s="334">
        <f>SUM(M14:M20)</f>
        <v>1.8200000000000001E-2</v>
      </c>
      <c r="O21" s="312">
        <v>43325</v>
      </c>
      <c r="P21" s="311">
        <v>25.538927000000001</v>
      </c>
      <c r="Q21" s="311">
        <v>1692.9499510000001</v>
      </c>
      <c r="S21" s="52">
        <f t="shared" si="0"/>
        <v>-2.3486144926862407E-2</v>
      </c>
      <c r="T21" s="52">
        <f t="shared" si="1"/>
        <v>3.6458986372724933E-3</v>
      </c>
    </row>
    <row r="22" spans="2:20" x14ac:dyDescent="0.3">
      <c r="B22" s="251" t="s">
        <v>194</v>
      </c>
      <c r="C22" s="249">
        <f>(C15/(C15+C11))*C19</f>
        <v>1.7628972445502024E-2</v>
      </c>
      <c r="O22" s="312">
        <v>43332</v>
      </c>
      <c r="P22" s="311">
        <v>25.394964000000002</v>
      </c>
      <c r="Q22" s="311">
        <v>1725.670044</v>
      </c>
      <c r="S22" s="52">
        <f t="shared" si="0"/>
        <v>-5.6370026822191166E-3</v>
      </c>
      <c r="T22" s="52">
        <f t="shared" si="1"/>
        <v>1.9327265392974358E-2</v>
      </c>
    </row>
    <row r="23" spans="2:20" x14ac:dyDescent="0.3">
      <c r="B23" s="251" t="s">
        <v>195</v>
      </c>
      <c r="C23" s="254">
        <v>2.5000000000000001E-3</v>
      </c>
      <c r="O23" s="312">
        <v>43339</v>
      </c>
      <c r="P23" s="311">
        <v>29.771419999999999</v>
      </c>
      <c r="Q23" s="311">
        <v>1740.75</v>
      </c>
      <c r="S23" s="52">
        <f t="shared" si="0"/>
        <v>0.1723355859059299</v>
      </c>
      <c r="T23" s="52">
        <f t="shared" si="1"/>
        <v>8.7386091289187728E-3</v>
      </c>
    </row>
    <row r="24" spans="2:20" x14ac:dyDescent="0.3">
      <c r="B24" s="251" t="s">
        <v>196</v>
      </c>
      <c r="C24" s="249">
        <f>(C21+C22+C23)</f>
        <v>0.11014535920931831</v>
      </c>
      <c r="O24" s="312">
        <v>43346</v>
      </c>
      <c r="P24" s="311">
        <v>30.299282000000002</v>
      </c>
      <c r="Q24" s="311">
        <v>1713.1800539999999</v>
      </c>
      <c r="S24" s="52">
        <f t="shared" si="0"/>
        <v>1.773049454812714E-2</v>
      </c>
      <c r="T24" s="52">
        <f t="shared" si="1"/>
        <v>-1.5837969840585941E-2</v>
      </c>
    </row>
    <row r="25" spans="2:20" x14ac:dyDescent="0.3">
      <c r="B25" s="251" t="s">
        <v>197</v>
      </c>
      <c r="C25" s="255">
        <v>5.6000000000000001E-2</v>
      </c>
      <c r="O25" s="312">
        <v>43353</v>
      </c>
      <c r="P25" s="311">
        <v>34.963664999999999</v>
      </c>
      <c r="Q25" s="311">
        <v>1721.719971</v>
      </c>
      <c r="S25" s="52">
        <f t="shared" si="0"/>
        <v>0.15394368090966637</v>
      </c>
      <c r="T25" s="52">
        <f t="shared" si="1"/>
        <v>4.984833310462955E-3</v>
      </c>
    </row>
    <row r="26" spans="2:20" ht="16.2" thickBot="1" x14ac:dyDescent="0.35">
      <c r="B26" s="326" t="s">
        <v>198</v>
      </c>
      <c r="C26" s="333">
        <f>C24</f>
        <v>0.11014535920931831</v>
      </c>
      <c r="O26" s="312">
        <v>43360</v>
      </c>
      <c r="P26" s="311">
        <v>34.071095</v>
      </c>
      <c r="Q26" s="311">
        <v>1712.3199460000001</v>
      </c>
      <c r="S26" s="52">
        <f t="shared" si="0"/>
        <v>-2.5528502232245898E-2</v>
      </c>
      <c r="T26" s="52">
        <f t="shared" si="1"/>
        <v>-5.4596712347713128E-3</v>
      </c>
    </row>
    <row r="27" spans="2:20" x14ac:dyDescent="0.3">
      <c r="O27" s="312">
        <v>43367</v>
      </c>
      <c r="P27" s="311">
        <v>32.506701999999997</v>
      </c>
      <c r="Q27" s="311">
        <v>1696.5699460000001</v>
      </c>
      <c r="S27" s="52">
        <f t="shared" si="0"/>
        <v>-4.5915548062074429E-2</v>
      </c>
      <c r="T27" s="52">
        <f t="shared" si="1"/>
        <v>-9.198047384072261E-3</v>
      </c>
    </row>
    <row r="28" spans="2:20" x14ac:dyDescent="0.3">
      <c r="O28" s="312">
        <v>43374</v>
      </c>
      <c r="P28" s="311">
        <v>28.350989999999999</v>
      </c>
      <c r="Q28" s="311">
        <v>1632.1099850000001</v>
      </c>
      <c r="S28" s="52">
        <f t="shared" si="0"/>
        <v>-0.12784169861341199</v>
      </c>
      <c r="T28" s="52">
        <f t="shared" si="1"/>
        <v>-3.7994284380657106E-2</v>
      </c>
    </row>
    <row r="29" spans="2:20" x14ac:dyDescent="0.3">
      <c r="O29" s="312">
        <v>43381</v>
      </c>
      <c r="P29" s="311">
        <v>26.431494000000001</v>
      </c>
      <c r="Q29" s="311">
        <v>1546.6800539999999</v>
      </c>
      <c r="S29" s="52">
        <f t="shared" si="0"/>
        <v>-6.7704725655082898E-2</v>
      </c>
      <c r="T29" s="52">
        <f t="shared" si="1"/>
        <v>-5.2343243889902524E-2</v>
      </c>
    </row>
    <row r="30" spans="2:20" x14ac:dyDescent="0.3">
      <c r="O30" s="312">
        <v>43388</v>
      </c>
      <c r="P30" s="311">
        <v>27.487214999999999</v>
      </c>
      <c r="Q30" s="311">
        <v>1542.040039</v>
      </c>
      <c r="S30" s="52">
        <f t="shared" si="0"/>
        <v>3.9941783086495208E-2</v>
      </c>
      <c r="T30" s="52">
        <f t="shared" si="1"/>
        <v>-2.9999837316062594E-3</v>
      </c>
    </row>
    <row r="31" spans="2:20" x14ac:dyDescent="0.3">
      <c r="O31" s="312">
        <v>43395</v>
      </c>
      <c r="P31" s="311">
        <v>29.838602000000002</v>
      </c>
      <c r="Q31" s="311">
        <v>1483.8199460000001</v>
      </c>
      <c r="S31" s="52">
        <f t="shared" si="0"/>
        <v>8.5544752351229603E-2</v>
      </c>
      <c r="T31" s="52">
        <f t="shared" si="1"/>
        <v>-3.7755240802797241E-2</v>
      </c>
    </row>
    <row r="32" spans="2:20" x14ac:dyDescent="0.3">
      <c r="O32" s="312">
        <v>43402</v>
      </c>
      <c r="P32" s="311">
        <v>34.714126999999998</v>
      </c>
      <c r="Q32" s="311">
        <v>1547.9799800000001</v>
      </c>
      <c r="S32" s="52">
        <f t="shared" si="0"/>
        <v>0.16339656261375768</v>
      </c>
      <c r="T32" s="52">
        <f t="shared" si="1"/>
        <v>4.3239770548279211E-2</v>
      </c>
    </row>
    <row r="33" spans="15:20" x14ac:dyDescent="0.3">
      <c r="O33" s="312">
        <v>43409</v>
      </c>
      <c r="P33" s="311">
        <v>27.180098000000001</v>
      </c>
      <c r="Q33" s="311">
        <v>1549.48999</v>
      </c>
      <c r="S33" s="52">
        <f t="shared" si="0"/>
        <v>-0.21703063424294089</v>
      </c>
      <c r="T33" s="52">
        <f t="shared" si="1"/>
        <v>9.7547127192165739E-4</v>
      </c>
    </row>
    <row r="34" spans="15:20" x14ac:dyDescent="0.3">
      <c r="O34" s="312">
        <v>43416</v>
      </c>
      <c r="P34" s="311">
        <v>21.076091999999999</v>
      </c>
      <c r="Q34" s="311">
        <v>1527.530029</v>
      </c>
      <c r="S34" s="52">
        <f t="shared" si="0"/>
        <v>-0.22457630579551269</v>
      </c>
      <c r="T34" s="52">
        <f t="shared" si="1"/>
        <v>-1.4172380035833654E-2</v>
      </c>
    </row>
    <row r="35" spans="15:20" x14ac:dyDescent="0.3">
      <c r="O35" s="312">
        <v>43423</v>
      </c>
      <c r="P35" s="311">
        <v>23.398685</v>
      </c>
      <c r="Q35" s="311">
        <v>1488.6800539999999</v>
      </c>
      <c r="S35" s="52">
        <f t="shared" si="0"/>
        <v>0.11020036352090323</v>
      </c>
      <c r="T35" s="52">
        <f t="shared" si="1"/>
        <v>-2.543319886512041E-2</v>
      </c>
    </row>
    <row r="36" spans="15:20" x14ac:dyDescent="0.3">
      <c r="O36" s="312">
        <v>43430</v>
      </c>
      <c r="P36" s="311">
        <v>24.396823999999999</v>
      </c>
      <c r="Q36" s="311">
        <v>1533.2700199999999</v>
      </c>
      <c r="S36" s="52">
        <f t="shared" si="0"/>
        <v>4.2657910049218595E-2</v>
      </c>
      <c r="T36" s="52">
        <f t="shared" si="1"/>
        <v>2.9952685857642214E-2</v>
      </c>
    </row>
    <row r="37" spans="15:20" x14ac:dyDescent="0.3">
      <c r="O37" s="312">
        <v>43437</v>
      </c>
      <c r="P37" s="311">
        <v>25.423756000000001</v>
      </c>
      <c r="Q37" s="311">
        <v>1448.089966</v>
      </c>
      <c r="S37" s="52">
        <f t="shared" si="0"/>
        <v>4.2092856020931269E-2</v>
      </c>
      <c r="T37" s="52">
        <f t="shared" si="1"/>
        <v>-5.5554503048327986E-2</v>
      </c>
    </row>
    <row r="38" spans="15:20" x14ac:dyDescent="0.3">
      <c r="O38" s="312">
        <v>43444</v>
      </c>
      <c r="P38" s="311">
        <v>26.287531000000001</v>
      </c>
      <c r="Q38" s="311">
        <v>1410.8100589999999</v>
      </c>
      <c r="S38" s="52">
        <f t="shared" ref="S38:S70" si="4">(P38/P37)-1</f>
        <v>3.3975113669278523E-2</v>
      </c>
      <c r="T38" s="52">
        <f t="shared" ref="T38:T70" si="5">(Q38/Q37)-1</f>
        <v>-2.5744192609093774E-2</v>
      </c>
    </row>
    <row r="39" spans="15:20" x14ac:dyDescent="0.3">
      <c r="O39" s="312">
        <v>43451</v>
      </c>
      <c r="P39" s="311">
        <v>22.746058000000001</v>
      </c>
      <c r="Q39" s="311">
        <v>1292.089966</v>
      </c>
      <c r="S39" s="52">
        <f t="shared" si="4"/>
        <v>-0.13472063998707218</v>
      </c>
      <c r="T39" s="52">
        <f t="shared" si="5"/>
        <v>-8.4150302333504956E-2</v>
      </c>
    </row>
    <row r="40" spans="15:20" x14ac:dyDescent="0.3">
      <c r="O40" s="312">
        <v>43458</v>
      </c>
      <c r="P40" s="311">
        <v>25.817253000000001</v>
      </c>
      <c r="Q40" s="311">
        <v>1337.920044</v>
      </c>
      <c r="S40" s="52">
        <f t="shared" si="4"/>
        <v>0.13502097814047609</v>
      </c>
      <c r="T40" s="52">
        <f t="shared" si="5"/>
        <v>3.5469726726443662E-2</v>
      </c>
    </row>
    <row r="41" spans="15:20" x14ac:dyDescent="0.3">
      <c r="O41" s="312">
        <v>43465</v>
      </c>
      <c r="P41" s="311">
        <v>25.855642</v>
      </c>
      <c r="Q41" s="311">
        <v>1380.75</v>
      </c>
      <c r="S41" s="52">
        <f t="shared" si="4"/>
        <v>1.4869513809234736E-3</v>
      </c>
      <c r="T41" s="52">
        <f t="shared" si="5"/>
        <v>3.2012343482014538E-2</v>
      </c>
    </row>
    <row r="42" spans="15:20" x14ac:dyDescent="0.3">
      <c r="O42" s="312">
        <v>43472</v>
      </c>
      <c r="P42" s="311">
        <v>27.362448000000001</v>
      </c>
      <c r="Q42" s="311">
        <v>1447.380005</v>
      </c>
      <c r="S42" s="52">
        <f t="shared" si="4"/>
        <v>5.8277647872754468E-2</v>
      </c>
      <c r="T42" s="52">
        <f t="shared" si="5"/>
        <v>4.8256386022089481E-2</v>
      </c>
    </row>
    <row r="43" spans="15:20" x14ac:dyDescent="0.3">
      <c r="O43" s="312">
        <v>43479</v>
      </c>
      <c r="P43" s="311">
        <v>27.516007999999999</v>
      </c>
      <c r="Q43" s="311">
        <v>1482.5</v>
      </c>
      <c r="S43" s="52">
        <f t="shared" si="4"/>
        <v>5.6120709667497604E-3</v>
      </c>
      <c r="T43" s="52">
        <f t="shared" si="5"/>
        <v>2.4264529618121866E-2</v>
      </c>
    </row>
    <row r="44" spans="15:20" x14ac:dyDescent="0.3">
      <c r="O44" s="312">
        <v>43486</v>
      </c>
      <c r="P44" s="311">
        <v>26.556259000000001</v>
      </c>
      <c r="Q44" s="311">
        <v>1482.849976</v>
      </c>
      <c r="S44" s="52">
        <f t="shared" si="4"/>
        <v>-3.4879659869265889E-2</v>
      </c>
      <c r="T44" s="52">
        <f t="shared" si="5"/>
        <v>2.360715008431491E-4</v>
      </c>
    </row>
    <row r="45" spans="15:20" x14ac:dyDescent="0.3">
      <c r="O45" s="312">
        <v>43493</v>
      </c>
      <c r="P45" s="311">
        <v>27.189692999999998</v>
      </c>
      <c r="Q45" s="311">
        <v>1502.0500489999999</v>
      </c>
      <c r="S45" s="52">
        <f t="shared" si="4"/>
        <v>2.3852531337339222E-2</v>
      </c>
      <c r="T45" s="52">
        <f t="shared" si="5"/>
        <v>1.2948088687833703E-2</v>
      </c>
    </row>
    <row r="46" spans="15:20" x14ac:dyDescent="0.3">
      <c r="O46" s="312">
        <v>43500</v>
      </c>
      <c r="P46" s="311">
        <v>26.393103</v>
      </c>
      <c r="Q46" s="311">
        <v>1506.3900149999999</v>
      </c>
      <c r="S46" s="52">
        <f t="shared" si="4"/>
        <v>-2.9297498872090877E-2</v>
      </c>
      <c r="T46" s="52">
        <f t="shared" si="5"/>
        <v>2.8893617778511516E-3</v>
      </c>
    </row>
    <row r="47" spans="15:20" x14ac:dyDescent="0.3">
      <c r="O47" s="312">
        <v>43507</v>
      </c>
      <c r="P47" s="311">
        <v>31.393393</v>
      </c>
      <c r="Q47" s="311">
        <v>1569.25</v>
      </c>
      <c r="S47" s="52">
        <f t="shared" si="4"/>
        <v>0.18945441920944273</v>
      </c>
      <c r="T47" s="52">
        <f t="shared" si="5"/>
        <v>4.1728891172980953E-2</v>
      </c>
    </row>
    <row r="48" spans="15:20" x14ac:dyDescent="0.3">
      <c r="O48" s="312">
        <v>43514</v>
      </c>
      <c r="P48" s="311">
        <v>32.074814000000003</v>
      </c>
      <c r="Q48" s="311">
        <v>1590.0600589999999</v>
      </c>
      <c r="S48" s="52">
        <f t="shared" si="4"/>
        <v>2.1705872952312077E-2</v>
      </c>
      <c r="T48" s="52">
        <f t="shared" si="5"/>
        <v>1.3261149593754906E-2</v>
      </c>
    </row>
    <row r="49" spans="15:20" x14ac:dyDescent="0.3">
      <c r="O49" s="312">
        <v>43521</v>
      </c>
      <c r="P49" s="311">
        <v>29.19557</v>
      </c>
      <c r="Q49" s="311">
        <v>1589.6400149999999</v>
      </c>
      <c r="S49" s="52">
        <f t="shared" si="4"/>
        <v>-8.9766506518167311E-2</v>
      </c>
      <c r="T49" s="52">
        <f t="shared" si="5"/>
        <v>-2.6416863792189105E-4</v>
      </c>
    </row>
    <row r="50" spans="15:20" x14ac:dyDescent="0.3">
      <c r="O50" s="312">
        <v>43528</v>
      </c>
      <c r="P50" s="311">
        <v>25.740470999999999</v>
      </c>
      <c r="Q50" s="311">
        <v>1521.880005</v>
      </c>
      <c r="S50" s="52">
        <f t="shared" si="4"/>
        <v>-0.11834326235110326</v>
      </c>
      <c r="T50" s="52">
        <f t="shared" si="5"/>
        <v>-4.2626009260341879E-2</v>
      </c>
    </row>
    <row r="51" spans="15:20" x14ac:dyDescent="0.3">
      <c r="O51" s="312">
        <v>43535</v>
      </c>
      <c r="P51" s="311">
        <v>25.951619999999998</v>
      </c>
      <c r="Q51" s="311">
        <v>1553.540039</v>
      </c>
      <c r="S51" s="52">
        <f t="shared" si="4"/>
        <v>8.2029967516910052E-3</v>
      </c>
      <c r="T51" s="52">
        <f t="shared" si="5"/>
        <v>2.080323934606132E-2</v>
      </c>
    </row>
    <row r="52" spans="15:20" x14ac:dyDescent="0.3">
      <c r="O52" s="312">
        <v>43542</v>
      </c>
      <c r="P52" s="311">
        <v>27.744347000000001</v>
      </c>
      <c r="Q52" s="311">
        <v>1505.920044</v>
      </c>
      <c r="S52" s="52">
        <f t="shared" si="4"/>
        <v>6.9079579617765896E-2</v>
      </c>
      <c r="T52" s="52">
        <f t="shared" si="5"/>
        <v>-3.0652570133082979E-2</v>
      </c>
    </row>
    <row r="53" spans="15:20" x14ac:dyDescent="0.3">
      <c r="O53" s="312">
        <v>43549</v>
      </c>
      <c r="P53" s="311">
        <v>27.207609000000001</v>
      </c>
      <c r="Q53" s="311">
        <v>1539.73999</v>
      </c>
      <c r="S53" s="52">
        <f t="shared" si="4"/>
        <v>-1.9345850886308469E-2</v>
      </c>
      <c r="T53" s="52">
        <f t="shared" si="5"/>
        <v>2.2457995784535889E-2</v>
      </c>
    </row>
    <row r="54" spans="15:20" x14ac:dyDescent="0.3">
      <c r="O54" s="312">
        <v>43556</v>
      </c>
      <c r="P54" s="311">
        <v>28.300598000000001</v>
      </c>
      <c r="Q54" s="311">
        <v>1582.5600589999999</v>
      </c>
      <c r="S54" s="52">
        <f t="shared" si="4"/>
        <v>4.0172181245327288E-2</v>
      </c>
      <c r="T54" s="52">
        <f t="shared" si="5"/>
        <v>2.7809934974800443E-2</v>
      </c>
    </row>
    <row r="55" spans="15:20" x14ac:dyDescent="0.3">
      <c r="O55" s="312">
        <v>43563</v>
      </c>
      <c r="P55" s="311">
        <v>28.320115999999999</v>
      </c>
      <c r="Q55" s="311">
        <v>1584.8000489999999</v>
      </c>
      <c r="S55" s="52">
        <f t="shared" si="4"/>
        <v>6.8966740561449136E-4</v>
      </c>
      <c r="T55" s="52">
        <f t="shared" si="5"/>
        <v>1.4154217953759041E-3</v>
      </c>
    </row>
    <row r="56" spans="15:20" x14ac:dyDescent="0.3">
      <c r="O56" s="312">
        <v>43570</v>
      </c>
      <c r="P56" s="311">
        <v>26.348832999999999</v>
      </c>
      <c r="Q56" s="311">
        <v>1565.75</v>
      </c>
      <c r="S56" s="52">
        <f t="shared" si="4"/>
        <v>-6.9607165450875974E-2</v>
      </c>
      <c r="T56" s="52">
        <f t="shared" si="5"/>
        <v>-1.2020474767160949E-2</v>
      </c>
    </row>
    <row r="57" spans="15:20" x14ac:dyDescent="0.3">
      <c r="O57" s="312">
        <v>43577</v>
      </c>
      <c r="P57" s="311">
        <v>26.680634000000001</v>
      </c>
      <c r="Q57" s="311">
        <v>1589.900024</v>
      </c>
      <c r="S57" s="52">
        <f t="shared" si="4"/>
        <v>1.2592626018769204E-2</v>
      </c>
      <c r="T57" s="52">
        <f t="shared" si="5"/>
        <v>1.5423933578157412E-2</v>
      </c>
    </row>
    <row r="58" spans="15:20" x14ac:dyDescent="0.3">
      <c r="O58" s="312">
        <v>43584</v>
      </c>
      <c r="P58" s="311">
        <v>34.097340000000003</v>
      </c>
      <c r="Q58" s="311">
        <v>1614.0200199999999</v>
      </c>
      <c r="S58" s="52">
        <f t="shared" si="4"/>
        <v>0.27798087556689999</v>
      </c>
      <c r="T58" s="52">
        <f t="shared" si="5"/>
        <v>1.5170762712058306E-2</v>
      </c>
    </row>
    <row r="59" spans="15:20" x14ac:dyDescent="0.3">
      <c r="O59" s="312">
        <v>43591</v>
      </c>
      <c r="P59" s="311">
        <v>32.311478000000001</v>
      </c>
      <c r="Q59" s="311">
        <v>1572.98999</v>
      </c>
      <c r="S59" s="52">
        <f t="shared" si="4"/>
        <v>-5.2375405236889438E-2</v>
      </c>
      <c r="T59" s="52">
        <f t="shared" si="5"/>
        <v>-2.542101677276587E-2</v>
      </c>
    </row>
    <row r="60" spans="15:20" x14ac:dyDescent="0.3">
      <c r="O60" s="312">
        <v>43598</v>
      </c>
      <c r="P60" s="311">
        <v>39.035308999999998</v>
      </c>
      <c r="Q60" s="311">
        <v>1535.76001</v>
      </c>
      <c r="S60" s="52">
        <f t="shared" si="4"/>
        <v>0.20809419488641145</v>
      </c>
      <c r="T60" s="52">
        <f t="shared" si="5"/>
        <v>-2.366828793360598E-2</v>
      </c>
    </row>
    <row r="61" spans="15:20" x14ac:dyDescent="0.3">
      <c r="O61" s="312">
        <v>43605</v>
      </c>
      <c r="P61" s="311">
        <v>35.453819000000003</v>
      </c>
      <c r="Q61" s="311">
        <v>1514.1099850000001</v>
      </c>
      <c r="S61" s="52">
        <f t="shared" si="4"/>
        <v>-9.1750010227919399E-2</v>
      </c>
      <c r="T61" s="52">
        <f t="shared" si="5"/>
        <v>-1.4097270966184294E-2</v>
      </c>
    </row>
    <row r="62" spans="15:20" x14ac:dyDescent="0.3">
      <c r="O62" s="312">
        <v>43612</v>
      </c>
      <c r="P62" s="311">
        <v>35.746581999999997</v>
      </c>
      <c r="Q62" s="311">
        <v>1465.48999</v>
      </c>
      <c r="S62" s="52">
        <f t="shared" si="4"/>
        <v>8.2575871445609295E-3</v>
      </c>
      <c r="T62" s="52">
        <f t="shared" si="5"/>
        <v>-3.2111270305109296E-2</v>
      </c>
    </row>
    <row r="63" spans="15:20" x14ac:dyDescent="0.3">
      <c r="O63" s="312">
        <v>43619</v>
      </c>
      <c r="P63" s="311">
        <v>38.147255000000001</v>
      </c>
      <c r="Q63" s="311">
        <v>1514.3900149999999</v>
      </c>
      <c r="S63" s="52">
        <f t="shared" si="4"/>
        <v>6.7158113186877699E-2</v>
      </c>
      <c r="T63" s="52">
        <f t="shared" si="5"/>
        <v>3.3367696356629395E-2</v>
      </c>
    </row>
    <row r="64" spans="15:20" x14ac:dyDescent="0.3">
      <c r="O64" s="312">
        <v>43626</v>
      </c>
      <c r="P64" s="311">
        <v>39.952637000000003</v>
      </c>
      <c r="Q64" s="311">
        <v>1522.5</v>
      </c>
      <c r="S64" s="52">
        <f t="shared" si="4"/>
        <v>4.7326655613883606E-2</v>
      </c>
      <c r="T64" s="52">
        <f t="shared" si="5"/>
        <v>5.355281611520768E-3</v>
      </c>
    </row>
    <row r="65" spans="15:20" x14ac:dyDescent="0.3">
      <c r="O65" s="312">
        <v>43633</v>
      </c>
      <c r="P65" s="311">
        <v>43.202328000000001</v>
      </c>
      <c r="Q65" s="311">
        <v>1549.630005</v>
      </c>
      <c r="S65" s="52">
        <f t="shared" si="4"/>
        <v>8.1338585986201473E-2</v>
      </c>
      <c r="T65" s="52">
        <f t="shared" si="5"/>
        <v>1.7819379310344718E-2</v>
      </c>
    </row>
    <row r="66" spans="15:20" x14ac:dyDescent="0.3">
      <c r="O66" s="312">
        <v>43640</v>
      </c>
      <c r="P66" s="311">
        <v>46.647190000000002</v>
      </c>
      <c r="Q66" s="311">
        <v>1566.5699460000001</v>
      </c>
      <c r="S66" s="52">
        <f t="shared" si="4"/>
        <v>7.9737878940227436E-2</v>
      </c>
      <c r="T66" s="52">
        <f t="shared" si="5"/>
        <v>1.0931603637863274E-2</v>
      </c>
    </row>
    <row r="67" spans="15:20" x14ac:dyDescent="0.3">
      <c r="O67" s="312">
        <v>43647</v>
      </c>
      <c r="P67" s="311">
        <v>47.954875999999999</v>
      </c>
      <c r="Q67" s="311">
        <v>1575.619995</v>
      </c>
      <c r="S67" s="52">
        <f t="shared" si="4"/>
        <v>2.803354285649351E-2</v>
      </c>
      <c r="T67" s="52">
        <f t="shared" si="5"/>
        <v>5.776983672582281E-3</v>
      </c>
    </row>
    <row r="68" spans="15:20" x14ac:dyDescent="0.3">
      <c r="O68" s="312">
        <v>43654</v>
      </c>
      <c r="P68" s="311">
        <v>44.890605999999998</v>
      </c>
      <c r="Q68" s="311">
        <v>1570</v>
      </c>
      <c r="S68" s="52">
        <f t="shared" si="4"/>
        <v>-6.3899028745272979E-2</v>
      </c>
      <c r="T68" s="52">
        <f t="shared" si="5"/>
        <v>-3.5668467129347237E-3</v>
      </c>
    </row>
    <row r="69" spans="15:20" x14ac:dyDescent="0.3">
      <c r="O69" s="312">
        <v>43661</v>
      </c>
      <c r="P69" s="311">
        <v>43.299914999999999</v>
      </c>
      <c r="Q69" s="311">
        <v>1547.900024</v>
      </c>
      <c r="S69" s="52">
        <f t="shared" si="4"/>
        <v>-3.5434830173600274E-2</v>
      </c>
      <c r="T69" s="52">
        <f t="shared" si="5"/>
        <v>-1.4076417834394839E-2</v>
      </c>
    </row>
    <row r="70" spans="15:20" x14ac:dyDescent="0.3">
      <c r="O70" s="312">
        <v>43668</v>
      </c>
      <c r="P70" s="311">
        <v>45.232162000000002</v>
      </c>
      <c r="Q70" s="311">
        <v>1578.969971</v>
      </c>
      <c r="S70" s="52">
        <f t="shared" si="4"/>
        <v>4.4624729632841253E-2</v>
      </c>
      <c r="T70" s="52">
        <f t="shared" si="5"/>
        <v>2.0072321544198024E-2</v>
      </c>
    </row>
    <row r="71" spans="15:20" x14ac:dyDescent="0.3">
      <c r="O71" s="312">
        <v>43675</v>
      </c>
      <c r="P71" s="311">
        <v>42.314278000000002</v>
      </c>
      <c r="Q71" s="311">
        <v>1533.660034</v>
      </c>
      <c r="S71" s="52">
        <f t="shared" ref="S71:S134" si="6">(P71/P70)-1</f>
        <v>-6.4509054420171186E-2</v>
      </c>
      <c r="T71" s="52">
        <f t="shared" ref="T71:T134" si="7">(Q71/Q70)-1</f>
        <v>-2.869588265272971E-2</v>
      </c>
    </row>
    <row r="72" spans="15:20" x14ac:dyDescent="0.3">
      <c r="O72" s="312">
        <v>43682</v>
      </c>
      <c r="P72" s="311">
        <v>45.085785000000001</v>
      </c>
      <c r="Q72" s="311">
        <v>1513.040039</v>
      </c>
      <c r="S72" s="52">
        <f t="shared" si="6"/>
        <v>6.5498151711344432E-2</v>
      </c>
      <c r="T72" s="52">
        <f t="shared" si="7"/>
        <v>-1.344495816730662E-2</v>
      </c>
    </row>
    <row r="73" spans="15:20" x14ac:dyDescent="0.3">
      <c r="O73" s="312">
        <v>43689</v>
      </c>
      <c r="P73" s="311">
        <v>42.450896999999998</v>
      </c>
      <c r="Q73" s="311">
        <v>1493.6400149999999</v>
      </c>
      <c r="S73" s="52">
        <f t="shared" si="6"/>
        <v>-5.844165738713436E-2</v>
      </c>
      <c r="T73" s="52">
        <f t="shared" si="7"/>
        <v>-1.2821884087629298E-2</v>
      </c>
    </row>
    <row r="74" spans="15:20" x14ac:dyDescent="0.3">
      <c r="O74" s="312">
        <v>43696</v>
      </c>
      <c r="P74" s="311">
        <v>42.763179999999998</v>
      </c>
      <c r="Q74" s="311">
        <v>1459.48999</v>
      </c>
      <c r="S74" s="52">
        <f t="shared" si="6"/>
        <v>7.3563345434137783E-3</v>
      </c>
      <c r="T74" s="52">
        <f t="shared" si="7"/>
        <v>-2.2863624874163491E-2</v>
      </c>
    </row>
    <row r="75" spans="15:20" x14ac:dyDescent="0.3">
      <c r="O75" s="312">
        <v>43703</v>
      </c>
      <c r="P75" s="311">
        <v>45.124817</v>
      </c>
      <c r="Q75" s="311">
        <v>1494.839966</v>
      </c>
      <c r="S75" s="52">
        <f t="shared" si="6"/>
        <v>5.5225944375511871E-2</v>
      </c>
      <c r="T75" s="52">
        <f t="shared" si="7"/>
        <v>2.4220773175703592E-2</v>
      </c>
    </row>
    <row r="76" spans="15:20" x14ac:dyDescent="0.3">
      <c r="O76" s="312">
        <v>43710</v>
      </c>
      <c r="P76" s="311">
        <v>46.256839999999997</v>
      </c>
      <c r="Q76" s="311">
        <v>1505.170044</v>
      </c>
      <c r="S76" s="52">
        <f t="shared" si="6"/>
        <v>2.5086484007236898E-2</v>
      </c>
      <c r="T76" s="52">
        <f t="shared" si="7"/>
        <v>6.9104909120418778E-3</v>
      </c>
    </row>
    <row r="77" spans="15:20" x14ac:dyDescent="0.3">
      <c r="O77" s="312">
        <v>43717</v>
      </c>
      <c r="P77" s="311">
        <v>45.368789999999997</v>
      </c>
      <c r="Q77" s="311">
        <v>1578.1400149999999</v>
      </c>
      <c r="S77" s="52">
        <f t="shared" si="6"/>
        <v>-1.9198241816777761E-2</v>
      </c>
      <c r="T77" s="52">
        <f t="shared" si="7"/>
        <v>4.8479553051748114E-2</v>
      </c>
    </row>
    <row r="78" spans="15:20" x14ac:dyDescent="0.3">
      <c r="O78" s="312">
        <v>43724</v>
      </c>
      <c r="P78" s="311">
        <v>48.00367</v>
      </c>
      <c r="Q78" s="311">
        <v>1559.76001</v>
      </c>
      <c r="S78" s="52">
        <f t="shared" si="6"/>
        <v>5.8076929095971064E-2</v>
      </c>
      <c r="T78" s="52">
        <f t="shared" si="7"/>
        <v>-1.1646625030289237E-2</v>
      </c>
    </row>
    <row r="79" spans="15:20" x14ac:dyDescent="0.3">
      <c r="O79" s="312">
        <v>43731</v>
      </c>
      <c r="P79" s="311">
        <v>47.584038</v>
      </c>
      <c r="Q79" s="311">
        <v>1520.4799800000001</v>
      </c>
      <c r="S79" s="52">
        <f t="shared" si="6"/>
        <v>-8.7416649601999019E-3</v>
      </c>
      <c r="T79" s="52">
        <f t="shared" si="7"/>
        <v>-2.5183380615072859E-2</v>
      </c>
    </row>
    <row r="80" spans="15:20" x14ac:dyDescent="0.3">
      <c r="O80" s="312">
        <v>43738</v>
      </c>
      <c r="P80" s="311">
        <v>45.105300999999997</v>
      </c>
      <c r="Q80" s="311">
        <v>1500.6999510000001</v>
      </c>
      <c r="S80" s="52">
        <f t="shared" si="6"/>
        <v>-5.2091774977146788E-2</v>
      </c>
      <c r="T80" s="52">
        <f t="shared" si="7"/>
        <v>-1.300906901779797E-2</v>
      </c>
    </row>
    <row r="81" spans="15:20" x14ac:dyDescent="0.3">
      <c r="O81" s="312">
        <v>43745</v>
      </c>
      <c r="P81" s="311">
        <v>45.915283000000002</v>
      </c>
      <c r="Q81" s="311">
        <v>1511.900024</v>
      </c>
      <c r="S81" s="52">
        <f t="shared" si="6"/>
        <v>1.7957578866395485E-2</v>
      </c>
      <c r="T81" s="52">
        <f t="shared" si="7"/>
        <v>7.4632327351891181E-3</v>
      </c>
    </row>
    <row r="82" spans="15:20" x14ac:dyDescent="0.3">
      <c r="O82" s="312">
        <v>43752</v>
      </c>
      <c r="P82" s="311">
        <v>47.086342000000002</v>
      </c>
      <c r="Q82" s="311">
        <v>1535.4799800000001</v>
      </c>
      <c r="S82" s="52">
        <f t="shared" si="6"/>
        <v>2.5504775828126824E-2</v>
      </c>
      <c r="T82" s="52">
        <f t="shared" si="7"/>
        <v>1.5596240244520221E-2</v>
      </c>
    </row>
    <row r="83" spans="15:20" x14ac:dyDescent="0.3">
      <c r="O83" s="312">
        <v>43759</v>
      </c>
      <c r="P83" s="311">
        <v>47.749943000000002</v>
      </c>
      <c r="Q83" s="311">
        <v>1558.709961</v>
      </c>
      <c r="S83" s="52">
        <f t="shared" si="6"/>
        <v>1.4093279957912319E-2</v>
      </c>
      <c r="T83" s="52">
        <f t="shared" si="7"/>
        <v>1.5128807475562001E-2</v>
      </c>
    </row>
    <row r="84" spans="15:20" x14ac:dyDescent="0.3">
      <c r="O84" s="312">
        <v>43766</v>
      </c>
      <c r="P84" s="311">
        <v>43.846409000000001</v>
      </c>
      <c r="Q84" s="311">
        <v>1589.329956</v>
      </c>
      <c r="S84" s="52">
        <f t="shared" si="6"/>
        <v>-8.1749500727152702E-2</v>
      </c>
      <c r="T84" s="52">
        <f t="shared" si="7"/>
        <v>1.9644446860630493E-2</v>
      </c>
    </row>
    <row r="85" spans="15:20" x14ac:dyDescent="0.3">
      <c r="O85" s="312">
        <v>43773</v>
      </c>
      <c r="P85" s="311">
        <v>41.923920000000003</v>
      </c>
      <c r="Q85" s="311">
        <v>1598.8599850000001</v>
      </c>
      <c r="S85" s="52">
        <f t="shared" si="6"/>
        <v>-4.3845985198012416E-2</v>
      </c>
      <c r="T85" s="52">
        <f t="shared" si="7"/>
        <v>5.9962558209027961E-3</v>
      </c>
    </row>
    <row r="86" spans="15:20" x14ac:dyDescent="0.3">
      <c r="O86" s="312">
        <v>43780</v>
      </c>
      <c r="P86" s="311">
        <v>42.363067999999998</v>
      </c>
      <c r="Q86" s="311">
        <v>1596.4499510000001</v>
      </c>
      <c r="S86" s="52">
        <f t="shared" si="6"/>
        <v>1.0474879257473813E-2</v>
      </c>
      <c r="T86" s="52">
        <f t="shared" si="7"/>
        <v>-1.5073452476203064E-3</v>
      </c>
    </row>
    <row r="87" spans="15:20" x14ac:dyDescent="0.3">
      <c r="O87" s="312">
        <v>43787</v>
      </c>
      <c r="P87" s="311">
        <v>44.100135999999999</v>
      </c>
      <c r="Q87" s="311">
        <v>1588.9399410000001</v>
      </c>
      <c r="S87" s="52">
        <f t="shared" si="6"/>
        <v>4.1004301199337068E-2</v>
      </c>
      <c r="T87" s="52">
        <f t="shared" si="7"/>
        <v>-4.7041938241131342E-3</v>
      </c>
    </row>
    <row r="88" spans="15:20" x14ac:dyDescent="0.3">
      <c r="O88" s="312">
        <v>43794</v>
      </c>
      <c r="P88" s="311">
        <v>39.542766999999998</v>
      </c>
      <c r="Q88" s="311">
        <v>1624.5</v>
      </c>
      <c r="S88" s="52">
        <f t="shared" si="6"/>
        <v>-0.10334138198576082</v>
      </c>
      <c r="T88" s="52">
        <f t="shared" si="7"/>
        <v>2.2379737636666119E-2</v>
      </c>
    </row>
    <row r="89" spans="15:20" x14ac:dyDescent="0.3">
      <c r="O89" s="312">
        <v>43801</v>
      </c>
      <c r="P89" s="311">
        <v>38.840133999999999</v>
      </c>
      <c r="Q89" s="311">
        <v>1633.839966</v>
      </c>
      <c r="S89" s="52">
        <f t="shared" si="6"/>
        <v>-1.7768938627891084E-2</v>
      </c>
      <c r="T89" s="52">
        <f t="shared" si="7"/>
        <v>5.7494404432132384E-3</v>
      </c>
    </row>
    <row r="90" spans="15:20" x14ac:dyDescent="0.3">
      <c r="O90" s="312">
        <v>43808</v>
      </c>
      <c r="P90" s="311">
        <v>39.015788999999998</v>
      </c>
      <c r="Q90" s="311">
        <v>1637.9799800000001</v>
      </c>
      <c r="S90" s="52">
        <f t="shared" si="6"/>
        <v>4.522512718416527E-3</v>
      </c>
      <c r="T90" s="52">
        <f t="shared" si="7"/>
        <v>2.5339164704947237E-3</v>
      </c>
    </row>
    <row r="91" spans="15:20" x14ac:dyDescent="0.3">
      <c r="O91" s="312">
        <v>43815</v>
      </c>
      <c r="P91" s="311">
        <v>41.299354999999998</v>
      </c>
      <c r="Q91" s="311">
        <v>1671.900024</v>
      </c>
      <c r="S91" s="52">
        <f t="shared" si="6"/>
        <v>5.852927900548166E-2</v>
      </c>
      <c r="T91" s="52">
        <f t="shared" si="7"/>
        <v>2.0708460673615869E-2</v>
      </c>
    </row>
    <row r="92" spans="15:20" x14ac:dyDescent="0.3">
      <c r="O92" s="312">
        <v>43822</v>
      </c>
      <c r="P92" s="311">
        <v>41.113940999999997</v>
      </c>
      <c r="Q92" s="311">
        <v>1669.030029</v>
      </c>
      <c r="S92" s="52">
        <f t="shared" si="6"/>
        <v>-4.4895132139473048E-3</v>
      </c>
      <c r="T92" s="52">
        <f t="shared" si="7"/>
        <v>-1.71660682983521E-3</v>
      </c>
    </row>
    <row r="93" spans="15:20" x14ac:dyDescent="0.3">
      <c r="O93" s="312">
        <v>43829</v>
      </c>
      <c r="P93" s="311">
        <v>43.290157000000001</v>
      </c>
      <c r="Q93" s="311">
        <v>1660.869995</v>
      </c>
      <c r="S93" s="52">
        <f t="shared" si="6"/>
        <v>5.2931340247825087E-2</v>
      </c>
      <c r="T93" s="52">
        <f t="shared" si="7"/>
        <v>-4.8890875887290797E-3</v>
      </c>
    </row>
    <row r="94" spans="15:20" x14ac:dyDescent="0.3">
      <c r="O94" s="312">
        <v>43836</v>
      </c>
      <c r="P94" s="311">
        <v>43.368228999999999</v>
      </c>
      <c r="Q94" s="311">
        <v>1657.6400149999999</v>
      </c>
      <c r="S94" s="52">
        <f t="shared" si="6"/>
        <v>1.8034584628556782E-3</v>
      </c>
      <c r="T94" s="52">
        <f t="shared" si="7"/>
        <v>-1.9447518527783147E-3</v>
      </c>
    </row>
    <row r="95" spans="15:20" x14ac:dyDescent="0.3">
      <c r="O95" s="312">
        <v>43843</v>
      </c>
      <c r="P95" s="311">
        <v>44.783256999999999</v>
      </c>
      <c r="Q95" s="311">
        <v>1699.6400149999999</v>
      </c>
      <c r="S95" s="52">
        <f t="shared" si="6"/>
        <v>3.2628217306268192E-2</v>
      </c>
      <c r="T95" s="52">
        <f t="shared" si="7"/>
        <v>2.533722618900458E-2</v>
      </c>
    </row>
    <row r="96" spans="15:20" x14ac:dyDescent="0.3">
      <c r="O96" s="312">
        <v>43850</v>
      </c>
      <c r="P96" s="311">
        <v>44.305076999999997</v>
      </c>
      <c r="Q96" s="311">
        <v>1662.2299800000001</v>
      </c>
      <c r="S96" s="52">
        <f t="shared" si="6"/>
        <v>-1.0677651248099274E-2</v>
      </c>
      <c r="T96" s="52">
        <f t="shared" si="7"/>
        <v>-2.2010563807536521E-2</v>
      </c>
    </row>
    <row r="97" spans="15:20" x14ac:dyDescent="0.3">
      <c r="O97" s="312">
        <v>43857</v>
      </c>
      <c r="P97" s="311">
        <v>50.921557999999997</v>
      </c>
      <c r="Q97" s="311">
        <v>1614.0600589999999</v>
      </c>
      <c r="S97" s="52">
        <f t="shared" si="6"/>
        <v>0.14933911524406107</v>
      </c>
      <c r="T97" s="52">
        <f t="shared" si="7"/>
        <v>-2.8979095299436319E-2</v>
      </c>
    </row>
    <row r="98" spans="15:20" x14ac:dyDescent="0.3">
      <c r="O98" s="312">
        <v>43864</v>
      </c>
      <c r="P98" s="311">
        <v>51.136257000000001</v>
      </c>
      <c r="Q98" s="311">
        <v>1656.780029</v>
      </c>
      <c r="S98" s="52">
        <f t="shared" si="6"/>
        <v>4.2162692665452806E-3</v>
      </c>
      <c r="T98" s="52">
        <f t="shared" si="7"/>
        <v>2.6467398013967136E-2</v>
      </c>
    </row>
    <row r="99" spans="15:20" x14ac:dyDescent="0.3">
      <c r="O99" s="312">
        <v>43871</v>
      </c>
      <c r="P99" s="311">
        <v>54.015106000000003</v>
      </c>
      <c r="Q99" s="311">
        <v>1687.579956</v>
      </c>
      <c r="S99" s="52">
        <f t="shared" si="6"/>
        <v>5.6297608954836154E-2</v>
      </c>
      <c r="T99" s="52">
        <f t="shared" si="7"/>
        <v>1.8590233139513579E-2</v>
      </c>
    </row>
    <row r="100" spans="15:20" x14ac:dyDescent="0.3">
      <c r="O100" s="312">
        <v>43878</v>
      </c>
      <c r="P100" s="311">
        <v>53.907764</v>
      </c>
      <c r="Q100" s="311">
        <v>1678.6099850000001</v>
      </c>
      <c r="S100" s="52">
        <f t="shared" si="6"/>
        <v>-1.9872588975388128E-3</v>
      </c>
      <c r="T100" s="52">
        <f t="shared" si="7"/>
        <v>-5.3152865250077896E-3</v>
      </c>
    </row>
    <row r="101" spans="15:20" x14ac:dyDescent="0.3">
      <c r="O101" s="312">
        <v>43885</v>
      </c>
      <c r="P101" s="311">
        <v>52.931880999999997</v>
      </c>
      <c r="Q101" s="311">
        <v>1476.4300539999999</v>
      </c>
      <c r="S101" s="52">
        <f t="shared" si="6"/>
        <v>-1.8102828379229385E-2</v>
      </c>
      <c r="T101" s="52">
        <f t="shared" si="7"/>
        <v>-0.12044485187546417</v>
      </c>
    </row>
    <row r="102" spans="15:20" x14ac:dyDescent="0.3">
      <c r="O102" s="312">
        <v>43892</v>
      </c>
      <c r="P102" s="311">
        <v>59.167769999999997</v>
      </c>
      <c r="Q102" s="311">
        <v>1449.219971</v>
      </c>
      <c r="S102" s="52">
        <f t="shared" si="6"/>
        <v>0.11780969960240029</v>
      </c>
      <c r="T102" s="52">
        <f t="shared" si="7"/>
        <v>-1.8429645838136E-2</v>
      </c>
    </row>
    <row r="103" spans="15:20" x14ac:dyDescent="0.3">
      <c r="O103" s="312">
        <v>43899</v>
      </c>
      <c r="P103" s="311">
        <v>44.753982999999998</v>
      </c>
      <c r="Q103" s="311">
        <v>1210.130005</v>
      </c>
      <c r="S103" s="52">
        <f t="shared" si="6"/>
        <v>-0.24360875861976883</v>
      </c>
      <c r="T103" s="52">
        <f t="shared" si="7"/>
        <v>-0.16497838201541037</v>
      </c>
    </row>
    <row r="104" spans="15:20" x14ac:dyDescent="0.3">
      <c r="O104" s="312">
        <v>43906</v>
      </c>
      <c r="P104" s="311">
        <v>43.914721999999998</v>
      </c>
      <c r="Q104" s="311">
        <v>1013.8900149999999</v>
      </c>
      <c r="S104" s="52">
        <f t="shared" si="6"/>
        <v>-1.8752766653193809E-2</v>
      </c>
      <c r="T104" s="52">
        <f t="shared" si="7"/>
        <v>-0.16216438662720378</v>
      </c>
    </row>
    <row r="105" spans="15:20" x14ac:dyDescent="0.3">
      <c r="O105" s="312">
        <v>43913</v>
      </c>
      <c r="P105" s="311">
        <v>44.724708999999997</v>
      </c>
      <c r="Q105" s="311">
        <v>1131.98999</v>
      </c>
      <c r="S105" s="52">
        <f t="shared" si="6"/>
        <v>1.8444543495003796E-2</v>
      </c>
      <c r="T105" s="52">
        <f t="shared" si="7"/>
        <v>0.11648203774844368</v>
      </c>
    </row>
    <row r="106" spans="15:20" x14ac:dyDescent="0.3">
      <c r="O106" s="312">
        <v>43920</v>
      </c>
      <c r="P106" s="311">
        <v>38.205810999999997</v>
      </c>
      <c r="Q106" s="311">
        <v>1052.0500489999999</v>
      </c>
      <c r="S106" s="52">
        <f t="shared" si="6"/>
        <v>-0.14575607412001268</v>
      </c>
      <c r="T106" s="52">
        <f t="shared" si="7"/>
        <v>-7.0618946904292046E-2</v>
      </c>
    </row>
    <row r="107" spans="15:20" x14ac:dyDescent="0.3">
      <c r="O107" s="312">
        <v>43927</v>
      </c>
      <c r="P107" s="311">
        <v>40.967556000000002</v>
      </c>
      <c r="Q107" s="311">
        <v>1246.7299800000001</v>
      </c>
      <c r="S107" s="52">
        <f t="shared" si="6"/>
        <v>7.2285993353210287E-2</v>
      </c>
      <c r="T107" s="52">
        <f t="shared" si="7"/>
        <v>0.18504816494714138</v>
      </c>
    </row>
    <row r="108" spans="15:20" x14ac:dyDescent="0.3">
      <c r="O108" s="312">
        <v>43934</v>
      </c>
      <c r="P108" s="311">
        <v>42.001990999999997</v>
      </c>
      <c r="Q108" s="311">
        <v>1229.099976</v>
      </c>
      <c r="S108" s="52">
        <f t="shared" si="6"/>
        <v>2.525010278865536E-2</v>
      </c>
      <c r="T108" s="52">
        <f t="shared" si="7"/>
        <v>-1.4140996272504869E-2</v>
      </c>
    </row>
    <row r="109" spans="15:20" x14ac:dyDescent="0.3">
      <c r="O109" s="312">
        <v>43941</v>
      </c>
      <c r="P109" s="311">
        <v>48.872208000000001</v>
      </c>
      <c r="Q109" s="311">
        <v>1233.0500489999999</v>
      </c>
      <c r="S109" s="52">
        <f t="shared" si="6"/>
        <v>0.16356884129611871</v>
      </c>
      <c r="T109" s="52">
        <f t="shared" si="7"/>
        <v>3.213793082036398E-3</v>
      </c>
    </row>
    <row r="110" spans="15:20" x14ac:dyDescent="0.3">
      <c r="O110" s="312">
        <v>43948</v>
      </c>
      <c r="P110" s="311">
        <v>56.074218999999999</v>
      </c>
      <c r="Q110" s="311">
        <v>1260.4799800000001</v>
      </c>
      <c r="S110" s="52">
        <f t="shared" si="6"/>
        <v>0.14736414200888981</v>
      </c>
      <c r="T110" s="52">
        <f t="shared" si="7"/>
        <v>2.2245594185123174E-2</v>
      </c>
    </row>
    <row r="111" spans="15:20" x14ac:dyDescent="0.3">
      <c r="O111" s="312">
        <v>43955</v>
      </c>
      <c r="P111" s="311">
        <v>60.016787999999998</v>
      </c>
      <c r="Q111" s="311">
        <v>1329.6400149999999</v>
      </c>
      <c r="S111" s="52">
        <f t="shared" si="6"/>
        <v>7.0309833472669503E-2</v>
      </c>
      <c r="T111" s="52">
        <f t="shared" si="7"/>
        <v>5.4868015436468687E-2</v>
      </c>
    </row>
    <row r="112" spans="15:20" x14ac:dyDescent="0.3">
      <c r="O112" s="312">
        <v>43962</v>
      </c>
      <c r="P112" s="311">
        <v>56.806133000000003</v>
      </c>
      <c r="Q112" s="311">
        <v>1256.98999</v>
      </c>
      <c r="S112" s="52">
        <f t="shared" si="6"/>
        <v>-5.3495948500276169E-2</v>
      </c>
      <c r="T112" s="52">
        <f t="shared" si="7"/>
        <v>-5.4638867799116198E-2</v>
      </c>
    </row>
    <row r="113" spans="15:20" x14ac:dyDescent="0.3">
      <c r="O113" s="312">
        <v>43969</v>
      </c>
      <c r="P113" s="311">
        <v>58.591999000000001</v>
      </c>
      <c r="Q113" s="311">
        <v>1355.530029</v>
      </c>
      <c r="S113" s="52">
        <f t="shared" si="6"/>
        <v>3.1437908297683226E-2</v>
      </c>
      <c r="T113" s="52">
        <f t="shared" si="7"/>
        <v>7.8393654511123012E-2</v>
      </c>
    </row>
    <row r="114" spans="15:20" x14ac:dyDescent="0.3">
      <c r="O114" s="312">
        <v>43976</v>
      </c>
      <c r="P114" s="311">
        <v>58.504168999999997</v>
      </c>
      <c r="Q114" s="311">
        <v>1394.040039</v>
      </c>
      <c r="S114" s="52">
        <f t="shared" si="6"/>
        <v>-1.499010129352385E-3</v>
      </c>
      <c r="T114" s="52">
        <f t="shared" si="7"/>
        <v>2.8409558752755526E-2</v>
      </c>
    </row>
    <row r="115" spans="15:20" x14ac:dyDescent="0.3">
      <c r="O115" s="312">
        <v>43983</v>
      </c>
      <c r="P115" s="311">
        <v>68.253235000000004</v>
      </c>
      <c r="Q115" s="311">
        <v>1507.150024</v>
      </c>
      <c r="S115" s="52">
        <f t="shared" si="6"/>
        <v>0.16663882534593411</v>
      </c>
      <c r="T115" s="52">
        <f t="shared" si="7"/>
        <v>8.1138261337987405E-2</v>
      </c>
    </row>
    <row r="116" spans="15:20" x14ac:dyDescent="0.3">
      <c r="O116" s="312">
        <v>43990</v>
      </c>
      <c r="P116" s="311">
        <v>62.602879000000001</v>
      </c>
      <c r="Q116" s="311">
        <v>1387.6800539999999</v>
      </c>
      <c r="S116" s="52">
        <f t="shared" si="6"/>
        <v>-8.2785174944455031E-2</v>
      </c>
      <c r="T116" s="52">
        <f t="shared" si="7"/>
        <v>-7.9268797463788565E-2</v>
      </c>
    </row>
    <row r="117" spans="15:20" x14ac:dyDescent="0.3">
      <c r="O117" s="312">
        <v>43997</v>
      </c>
      <c r="P117" s="311">
        <v>70.546561999999994</v>
      </c>
      <c r="Q117" s="311">
        <v>1418.630005</v>
      </c>
      <c r="S117" s="52">
        <f t="shared" si="6"/>
        <v>0.12689005884218196</v>
      </c>
      <c r="T117" s="52">
        <f t="shared" si="7"/>
        <v>2.2303376711934719E-2</v>
      </c>
    </row>
    <row r="118" spans="15:20" x14ac:dyDescent="0.3">
      <c r="O118" s="312">
        <v>44004</v>
      </c>
      <c r="P118" s="311">
        <v>71.268715</v>
      </c>
      <c r="Q118" s="311">
        <v>1378.780029</v>
      </c>
      <c r="S118" s="52">
        <f t="shared" si="6"/>
        <v>1.0236544198993114E-2</v>
      </c>
      <c r="T118" s="52">
        <f t="shared" si="7"/>
        <v>-2.8090464645148971E-2</v>
      </c>
    </row>
    <row r="119" spans="15:20" x14ac:dyDescent="0.3">
      <c r="O119" s="312">
        <v>44011</v>
      </c>
      <c r="P119" s="311">
        <v>73.747451999999996</v>
      </c>
      <c r="Q119" s="311">
        <v>1431.8599850000001</v>
      </c>
      <c r="S119" s="52">
        <f t="shared" si="6"/>
        <v>3.4780155640521837E-2</v>
      </c>
      <c r="T119" s="52">
        <f t="shared" si="7"/>
        <v>3.8497769683027538E-2</v>
      </c>
    </row>
    <row r="120" spans="15:20" x14ac:dyDescent="0.3">
      <c r="O120" s="312">
        <v>44018</v>
      </c>
      <c r="P120" s="311">
        <v>79.934562999999997</v>
      </c>
      <c r="Q120" s="311">
        <v>1422.6800539999999</v>
      </c>
      <c r="S120" s="52">
        <f t="shared" si="6"/>
        <v>8.3895929041724715E-2</v>
      </c>
      <c r="T120" s="52">
        <f t="shared" si="7"/>
        <v>-6.4111932005699312E-3</v>
      </c>
    </row>
    <row r="121" spans="15:20" x14ac:dyDescent="0.3">
      <c r="O121" s="312">
        <v>44025</v>
      </c>
      <c r="P121" s="311">
        <v>81.193443000000002</v>
      </c>
      <c r="Q121" s="311">
        <v>1473.3199460000001</v>
      </c>
      <c r="S121" s="52">
        <f t="shared" si="6"/>
        <v>1.5748881994888775E-2</v>
      </c>
      <c r="T121" s="52">
        <f t="shared" si="7"/>
        <v>3.5594715661909637E-2</v>
      </c>
    </row>
    <row r="122" spans="15:20" x14ac:dyDescent="0.3">
      <c r="O122" s="312">
        <v>44032</v>
      </c>
      <c r="P122" s="311">
        <v>81.251998999999998</v>
      </c>
      <c r="Q122" s="311">
        <v>1467.5500489999999</v>
      </c>
      <c r="S122" s="52">
        <f t="shared" si="6"/>
        <v>7.2119124200709095E-4</v>
      </c>
      <c r="T122" s="52">
        <f t="shared" si="7"/>
        <v>-3.9162552680190865E-3</v>
      </c>
    </row>
    <row r="123" spans="15:20" x14ac:dyDescent="0.3">
      <c r="O123" s="312">
        <v>44039</v>
      </c>
      <c r="P123" s="311">
        <v>100.837959</v>
      </c>
      <c r="Q123" s="311">
        <v>1480.4300539999999</v>
      </c>
      <c r="S123" s="52">
        <f t="shared" si="6"/>
        <v>0.24105203860892077</v>
      </c>
      <c r="T123" s="52">
        <f t="shared" si="7"/>
        <v>8.7765354297637543E-3</v>
      </c>
    </row>
    <row r="124" spans="15:20" x14ac:dyDescent="0.3">
      <c r="O124" s="312">
        <v>44046</v>
      </c>
      <c r="P124" s="311">
        <v>103.121529</v>
      </c>
      <c r="Q124" s="311">
        <v>1569.1800539999999</v>
      </c>
      <c r="S124" s="52">
        <f t="shared" si="6"/>
        <v>2.2645936338318684E-2</v>
      </c>
      <c r="T124" s="52">
        <f t="shared" si="7"/>
        <v>5.9948796473163091E-2</v>
      </c>
    </row>
    <row r="125" spans="15:20" x14ac:dyDescent="0.3">
      <c r="O125" s="312">
        <v>44053</v>
      </c>
      <c r="P125" s="311">
        <v>95.950019999999995</v>
      </c>
      <c r="Q125" s="311">
        <v>1577.880005</v>
      </c>
      <c r="S125" s="52">
        <f t="shared" si="6"/>
        <v>-6.9544246187428049E-2</v>
      </c>
      <c r="T125" s="52">
        <f t="shared" si="7"/>
        <v>5.5442656040796123E-3</v>
      </c>
    </row>
    <row r="126" spans="15:20" x14ac:dyDescent="0.3">
      <c r="O126" s="312">
        <v>44060</v>
      </c>
      <c r="P126" s="311">
        <v>94.411026000000007</v>
      </c>
      <c r="Q126" s="311">
        <v>1552.4799800000001</v>
      </c>
      <c r="S126" s="52">
        <f t="shared" si="6"/>
        <v>-1.6039538084515081E-2</v>
      </c>
      <c r="T126" s="52">
        <f t="shared" si="7"/>
        <v>-1.6097564402560494E-2</v>
      </c>
    </row>
    <row r="127" spans="15:20" x14ac:dyDescent="0.3">
      <c r="O127" s="312">
        <v>44067</v>
      </c>
      <c r="P127" s="311">
        <v>99.570587000000003</v>
      </c>
      <c r="Q127" s="311">
        <v>1578.339966</v>
      </c>
      <c r="S127" s="52">
        <f t="shared" si="6"/>
        <v>5.4649983361053645E-2</v>
      </c>
      <c r="T127" s="52">
        <f t="shared" si="7"/>
        <v>1.665721061343417E-2</v>
      </c>
    </row>
    <row r="128" spans="15:20" x14ac:dyDescent="0.3">
      <c r="O128" s="312">
        <v>44074</v>
      </c>
      <c r="P128" s="311">
        <v>99.817222999999998</v>
      </c>
      <c r="Q128" s="311">
        <v>1535.3000489999999</v>
      </c>
      <c r="S128" s="52">
        <f t="shared" si="6"/>
        <v>2.4769965451745257E-3</v>
      </c>
      <c r="T128" s="52">
        <f t="shared" si="7"/>
        <v>-2.7269104202611305E-2</v>
      </c>
    </row>
    <row r="129" spans="15:20" x14ac:dyDescent="0.3">
      <c r="O129" s="312">
        <v>44081</v>
      </c>
      <c r="P129" s="311">
        <v>97.518600000000006</v>
      </c>
      <c r="Q129" s="311">
        <v>1497.2700199999999</v>
      </c>
      <c r="S129" s="52">
        <f t="shared" si="6"/>
        <v>-2.3028320473311381E-2</v>
      </c>
      <c r="T129" s="52">
        <f t="shared" si="7"/>
        <v>-2.4770421276785859E-2</v>
      </c>
    </row>
    <row r="130" spans="15:20" x14ac:dyDescent="0.3">
      <c r="O130" s="312">
        <v>44088</v>
      </c>
      <c r="P130" s="311">
        <v>77.531479000000004</v>
      </c>
      <c r="Q130" s="311">
        <v>1536.780029</v>
      </c>
      <c r="S130" s="52">
        <f t="shared" si="6"/>
        <v>-0.20495701332873939</v>
      </c>
      <c r="T130" s="52">
        <f t="shared" si="7"/>
        <v>2.6388031866156014E-2</v>
      </c>
    </row>
    <row r="131" spans="15:20" x14ac:dyDescent="0.3">
      <c r="O131" s="312">
        <v>44095</v>
      </c>
      <c r="P131" s="311">
        <v>80.185248999999999</v>
      </c>
      <c r="Q131" s="311">
        <v>1474.910034</v>
      </c>
      <c r="S131" s="52">
        <f t="shared" si="6"/>
        <v>3.4228290679196194E-2</v>
      </c>
      <c r="T131" s="52">
        <f t="shared" si="7"/>
        <v>-4.0259499624197725E-2</v>
      </c>
    </row>
    <row r="132" spans="15:20" x14ac:dyDescent="0.3">
      <c r="O132" s="312">
        <v>44102</v>
      </c>
      <c r="P132" s="311">
        <v>80.362823000000006</v>
      </c>
      <c r="Q132" s="311">
        <v>1539.3000489999999</v>
      </c>
      <c r="S132" s="52">
        <f t="shared" si="6"/>
        <v>2.2145469673606755E-3</v>
      </c>
      <c r="T132" s="52">
        <f t="shared" si="7"/>
        <v>4.3656910262771964E-2</v>
      </c>
    </row>
    <row r="133" spans="15:20" x14ac:dyDescent="0.3">
      <c r="O133" s="312">
        <v>44109</v>
      </c>
      <c r="P133" s="311">
        <v>92.447829999999996</v>
      </c>
      <c r="Q133" s="311">
        <v>1637.5500489999999</v>
      </c>
      <c r="S133" s="52">
        <f t="shared" si="6"/>
        <v>0.15038056838794711</v>
      </c>
      <c r="T133" s="52">
        <f t="shared" si="7"/>
        <v>6.3827711864121506E-2</v>
      </c>
    </row>
    <row r="134" spans="15:20" x14ac:dyDescent="0.3">
      <c r="O134" s="312">
        <v>44116</v>
      </c>
      <c r="P134" s="311">
        <v>106.57495900000001</v>
      </c>
      <c r="Q134" s="311">
        <v>1633.8100589999999</v>
      </c>
      <c r="S134" s="52">
        <f t="shared" si="6"/>
        <v>0.15281190483324503</v>
      </c>
      <c r="T134" s="52">
        <f t="shared" si="7"/>
        <v>-2.2838935532284443E-3</v>
      </c>
    </row>
    <row r="135" spans="15:20" x14ac:dyDescent="0.3">
      <c r="O135" s="312">
        <v>44123</v>
      </c>
      <c r="P135" s="311">
        <v>107.403648</v>
      </c>
      <c r="Q135" s="311">
        <v>1640.5</v>
      </c>
      <c r="S135" s="52">
        <f t="shared" ref="S135:S198" si="8">(P135/P134)-1</f>
        <v>7.7756445583057054E-3</v>
      </c>
      <c r="T135" s="52">
        <f t="shared" ref="T135:T198" si="9">(Q135/Q134)-1</f>
        <v>4.0946871168701104E-3</v>
      </c>
    </row>
    <row r="136" spans="15:20" x14ac:dyDescent="0.3">
      <c r="O136" s="312">
        <v>44130</v>
      </c>
      <c r="P136" s="311">
        <v>120.889526</v>
      </c>
      <c r="Q136" s="311">
        <v>1538.4799800000001</v>
      </c>
      <c r="S136" s="52">
        <f t="shared" si="8"/>
        <v>0.12556256934587551</v>
      </c>
      <c r="T136" s="52">
        <f t="shared" si="9"/>
        <v>-6.2188369399573284E-2</v>
      </c>
    </row>
    <row r="137" spans="15:20" x14ac:dyDescent="0.3">
      <c r="O137" s="312">
        <v>44137</v>
      </c>
      <c r="P137" s="311">
        <v>120.208817</v>
      </c>
      <c r="Q137" s="311">
        <v>1648.26001</v>
      </c>
      <c r="S137" s="52">
        <f t="shared" si="8"/>
        <v>-5.6308352139622375E-3</v>
      </c>
      <c r="T137" s="52">
        <f t="shared" si="9"/>
        <v>7.1356164153660195E-2</v>
      </c>
    </row>
    <row r="138" spans="15:20" x14ac:dyDescent="0.3">
      <c r="O138" s="312">
        <v>44144</v>
      </c>
      <c r="P138" s="311">
        <v>120.89939099999999</v>
      </c>
      <c r="Q138" s="311">
        <v>1744.040039</v>
      </c>
      <c r="S138" s="52">
        <f t="shared" si="8"/>
        <v>5.7447865908204498E-3</v>
      </c>
      <c r="T138" s="52">
        <f t="shared" si="9"/>
        <v>5.8109781477984068E-2</v>
      </c>
    </row>
    <row r="139" spans="15:20" x14ac:dyDescent="0.3">
      <c r="O139" s="312">
        <v>44151</v>
      </c>
      <c r="P139" s="311">
        <v>122.89218099999999</v>
      </c>
      <c r="Q139" s="311">
        <v>1785.339966</v>
      </c>
      <c r="S139" s="52">
        <f t="shared" si="8"/>
        <v>1.6483044153630111E-2</v>
      </c>
      <c r="T139" s="52">
        <f t="shared" si="9"/>
        <v>2.3680607140006193E-2</v>
      </c>
    </row>
    <row r="140" spans="15:20" x14ac:dyDescent="0.3">
      <c r="O140" s="312">
        <v>44158</v>
      </c>
      <c r="P140" s="311">
        <v>121.185478</v>
      </c>
      <c r="Q140" s="311">
        <v>1855.2700199999999</v>
      </c>
      <c r="S140" s="52">
        <f t="shared" si="8"/>
        <v>-1.3887807882586034E-2</v>
      </c>
      <c r="T140" s="52">
        <f t="shared" si="9"/>
        <v>3.916904081673378E-2</v>
      </c>
    </row>
    <row r="141" spans="15:20" x14ac:dyDescent="0.3">
      <c r="O141" s="312">
        <v>44165</v>
      </c>
      <c r="P141" s="311">
        <v>111.527351</v>
      </c>
      <c r="Q141" s="311">
        <v>1892.4499510000001</v>
      </c>
      <c r="S141" s="52">
        <f t="shared" si="8"/>
        <v>-7.9697065683068113E-2</v>
      </c>
      <c r="T141" s="52">
        <f t="shared" si="9"/>
        <v>2.004017237339939E-2</v>
      </c>
    </row>
    <row r="142" spans="15:20" x14ac:dyDescent="0.3">
      <c r="O142" s="312">
        <v>44172</v>
      </c>
      <c r="P142" s="311">
        <v>116.055519</v>
      </c>
      <c r="Q142" s="311">
        <v>1911.6999510000001</v>
      </c>
      <c r="S142" s="52">
        <f t="shared" si="8"/>
        <v>4.0601412652578883E-2</v>
      </c>
      <c r="T142" s="52">
        <f t="shared" si="9"/>
        <v>1.0171999523595376E-2</v>
      </c>
    </row>
    <row r="143" spans="15:20" x14ac:dyDescent="0.3">
      <c r="O143" s="312">
        <v>44179</v>
      </c>
      <c r="P143" s="311">
        <v>127.23292499999999</v>
      </c>
      <c r="Q143" s="311">
        <v>1969.98999</v>
      </c>
      <c r="S143" s="52">
        <f t="shared" si="8"/>
        <v>9.6310852739368569E-2</v>
      </c>
      <c r="T143" s="52">
        <f t="shared" si="9"/>
        <v>3.0491207037751211E-2</v>
      </c>
    </row>
    <row r="144" spans="15:20" x14ac:dyDescent="0.3">
      <c r="O144" s="312">
        <v>44186</v>
      </c>
      <c r="P144" s="311">
        <v>122.517303</v>
      </c>
      <c r="Q144" s="311">
        <v>2003.9499510000001</v>
      </c>
      <c r="S144" s="52">
        <f t="shared" si="8"/>
        <v>-3.7062906476448609E-2</v>
      </c>
      <c r="T144" s="52">
        <f t="shared" si="9"/>
        <v>1.7238646476574138E-2</v>
      </c>
    </row>
    <row r="145" spans="15:20" x14ac:dyDescent="0.3">
      <c r="O145" s="312">
        <v>44193</v>
      </c>
      <c r="P145" s="311">
        <v>123.079628</v>
      </c>
      <c r="Q145" s="311">
        <v>1974.8599850000001</v>
      </c>
      <c r="S145" s="52">
        <f t="shared" si="8"/>
        <v>4.5897598643678261E-3</v>
      </c>
      <c r="T145" s="52">
        <f t="shared" si="9"/>
        <v>-1.4516313636218192E-2</v>
      </c>
    </row>
    <row r="146" spans="15:20" x14ac:dyDescent="0.3">
      <c r="O146" s="312">
        <v>44200</v>
      </c>
      <c r="P146" s="311">
        <v>127.716331</v>
      </c>
      <c r="Q146" s="311">
        <v>2091.6599120000001</v>
      </c>
      <c r="S146" s="52">
        <f t="shared" si="8"/>
        <v>3.7672383930182241E-2</v>
      </c>
      <c r="T146" s="52">
        <f t="shared" si="9"/>
        <v>5.9143396436785789E-2</v>
      </c>
    </row>
    <row r="147" spans="15:20" x14ac:dyDescent="0.3">
      <c r="O147" s="312">
        <v>44207</v>
      </c>
      <c r="P147" s="311">
        <v>134.70095800000001</v>
      </c>
      <c r="Q147" s="311">
        <v>2123.1999510000001</v>
      </c>
      <c r="S147" s="52">
        <f t="shared" si="8"/>
        <v>5.4688597341556955E-2</v>
      </c>
      <c r="T147" s="52">
        <f t="shared" si="9"/>
        <v>1.5078951802371288E-2</v>
      </c>
    </row>
    <row r="148" spans="15:20" x14ac:dyDescent="0.3">
      <c r="O148" s="312">
        <v>44214</v>
      </c>
      <c r="P148" s="311">
        <v>134.26689099999999</v>
      </c>
      <c r="Q148" s="311">
        <v>2168.76001</v>
      </c>
      <c r="S148" s="52">
        <f t="shared" si="8"/>
        <v>-3.2224492419722361E-3</v>
      </c>
      <c r="T148" s="52">
        <f t="shared" si="9"/>
        <v>2.1458204621068067E-2</v>
      </c>
    </row>
    <row r="149" spans="15:20" x14ac:dyDescent="0.3">
      <c r="O149" s="312">
        <v>44221</v>
      </c>
      <c r="P149" s="311">
        <v>131.800568</v>
      </c>
      <c r="Q149" s="311">
        <v>2073.639893</v>
      </c>
      <c r="S149" s="52">
        <f t="shared" si="8"/>
        <v>-1.8368809925002227E-2</v>
      </c>
      <c r="T149" s="52">
        <f t="shared" si="9"/>
        <v>-4.3859217507427162E-2</v>
      </c>
    </row>
    <row r="150" spans="15:20" x14ac:dyDescent="0.3">
      <c r="O150" s="312">
        <v>44228</v>
      </c>
      <c r="P150" s="311">
        <v>147.782364</v>
      </c>
      <c r="Q150" s="311">
        <v>2233.330078</v>
      </c>
      <c r="S150" s="52">
        <f t="shared" si="8"/>
        <v>0.12125741370097898</v>
      </c>
      <c r="T150" s="52">
        <f t="shared" si="9"/>
        <v>7.7009603036220176E-2</v>
      </c>
    </row>
    <row r="151" spans="15:20" x14ac:dyDescent="0.3">
      <c r="O151" s="312">
        <v>44235</v>
      </c>
      <c r="P151" s="311">
        <v>165.214371</v>
      </c>
      <c r="Q151" s="311">
        <v>2289.360107</v>
      </c>
      <c r="S151" s="52">
        <f t="shared" si="8"/>
        <v>0.11795728886837953</v>
      </c>
      <c r="T151" s="52">
        <f t="shared" si="9"/>
        <v>2.508810925529481E-2</v>
      </c>
    </row>
    <row r="152" spans="15:20" x14ac:dyDescent="0.3">
      <c r="O152" s="312">
        <v>44242</v>
      </c>
      <c r="P152" s="311">
        <v>172.19901999999999</v>
      </c>
      <c r="Q152" s="311">
        <v>2266.6899410000001</v>
      </c>
      <c r="S152" s="52">
        <f t="shared" si="8"/>
        <v>4.2276279949036599E-2</v>
      </c>
      <c r="T152" s="52">
        <f t="shared" si="9"/>
        <v>-9.9024028289316224E-3</v>
      </c>
    </row>
    <row r="153" spans="15:20" x14ac:dyDescent="0.3">
      <c r="O153" s="312">
        <v>44249</v>
      </c>
      <c r="P153" s="311">
        <v>127.79523500000001</v>
      </c>
      <c r="Q153" s="311">
        <v>2201.0500489999999</v>
      </c>
      <c r="S153" s="52">
        <f t="shared" si="8"/>
        <v>-0.25786316902384221</v>
      </c>
      <c r="T153" s="52">
        <f t="shared" si="9"/>
        <v>-2.8958478534140242E-2</v>
      </c>
    </row>
    <row r="154" spans="15:20" x14ac:dyDescent="0.3">
      <c r="O154" s="312">
        <v>44256</v>
      </c>
      <c r="P154" s="311">
        <v>118.73889200000001</v>
      </c>
      <c r="Q154" s="311">
        <v>2192.209961</v>
      </c>
      <c r="S154" s="52">
        <f t="shared" si="8"/>
        <v>-7.0866045983639325E-2</v>
      </c>
      <c r="T154" s="52">
        <f t="shared" si="9"/>
        <v>-4.0163048559556103E-3</v>
      </c>
    </row>
    <row r="155" spans="15:20" x14ac:dyDescent="0.3">
      <c r="O155" s="312">
        <v>44263</v>
      </c>
      <c r="P155" s="311">
        <v>138.952911</v>
      </c>
      <c r="Q155" s="311">
        <v>2352.790039</v>
      </c>
      <c r="S155" s="52">
        <f t="shared" si="8"/>
        <v>0.17023924225265619</v>
      </c>
      <c r="T155" s="52">
        <f t="shared" si="9"/>
        <v>7.3250318562894323E-2</v>
      </c>
    </row>
    <row r="156" spans="15:20" x14ac:dyDescent="0.3">
      <c r="O156" s="312">
        <v>44270</v>
      </c>
      <c r="P156" s="311">
        <v>113.638527</v>
      </c>
      <c r="Q156" s="311">
        <v>2287.5500489999999</v>
      </c>
      <c r="S156" s="52">
        <f t="shared" si="8"/>
        <v>-0.18217958744311591</v>
      </c>
      <c r="T156" s="52">
        <f t="shared" si="9"/>
        <v>-2.7728776864309079E-2</v>
      </c>
    </row>
    <row r="157" spans="15:20" x14ac:dyDescent="0.3">
      <c r="O157" s="312">
        <v>44277</v>
      </c>
      <c r="P157" s="311">
        <v>110.225128</v>
      </c>
      <c r="Q157" s="311">
        <v>2221.4799800000001</v>
      </c>
      <c r="S157" s="52">
        <f t="shared" si="8"/>
        <v>-3.0037339361148163E-2</v>
      </c>
      <c r="T157" s="52">
        <f t="shared" si="9"/>
        <v>-2.8882458343974737E-2</v>
      </c>
    </row>
    <row r="158" spans="15:20" x14ac:dyDescent="0.3">
      <c r="O158" s="312">
        <v>44284</v>
      </c>
      <c r="P158" s="311">
        <v>109.504959</v>
      </c>
      <c r="Q158" s="311">
        <v>2253.8999020000001</v>
      </c>
      <c r="S158" s="52">
        <f t="shared" si="8"/>
        <v>-6.533619085477449E-3</v>
      </c>
      <c r="T158" s="52">
        <f t="shared" si="9"/>
        <v>1.4593839373695294E-2</v>
      </c>
    </row>
    <row r="159" spans="15:20" x14ac:dyDescent="0.3">
      <c r="O159" s="312">
        <v>44291</v>
      </c>
      <c r="P159" s="311">
        <v>100.369675</v>
      </c>
      <c r="Q159" s="311">
        <v>2243.469971</v>
      </c>
      <c r="S159" s="52">
        <f t="shared" si="8"/>
        <v>-8.342347308673026E-2</v>
      </c>
      <c r="T159" s="52">
        <f t="shared" si="9"/>
        <v>-4.627504083364653E-3</v>
      </c>
    </row>
    <row r="160" spans="15:20" x14ac:dyDescent="0.3">
      <c r="O160" s="312">
        <v>44298</v>
      </c>
      <c r="P160" s="311">
        <v>105.60816199999999</v>
      </c>
      <c r="Q160" s="311">
        <v>2262.669922</v>
      </c>
      <c r="S160" s="52">
        <f t="shared" si="8"/>
        <v>5.2191929484677546E-2</v>
      </c>
      <c r="T160" s="52">
        <f t="shared" si="9"/>
        <v>8.5581493169895051E-3</v>
      </c>
    </row>
    <row r="161" spans="15:20" x14ac:dyDescent="0.3">
      <c r="O161" s="312">
        <v>44305</v>
      </c>
      <c r="P161" s="311">
        <v>104.542709</v>
      </c>
      <c r="Q161" s="311">
        <v>2271.860107</v>
      </c>
      <c r="S161" s="52">
        <f t="shared" si="8"/>
        <v>-1.0088737270136261E-2</v>
      </c>
      <c r="T161" s="52">
        <f t="shared" si="9"/>
        <v>4.0616551758803077E-3</v>
      </c>
    </row>
    <row r="162" spans="15:20" x14ac:dyDescent="0.3">
      <c r="O162" s="312">
        <v>44312</v>
      </c>
      <c r="P162" s="311">
        <v>108.459236</v>
      </c>
      <c r="Q162" s="311">
        <v>2266.4499510000001</v>
      </c>
      <c r="S162" s="52">
        <f t="shared" si="8"/>
        <v>3.7463416028371777E-2</v>
      </c>
      <c r="T162" s="52">
        <f t="shared" si="9"/>
        <v>-2.3813772614477147E-3</v>
      </c>
    </row>
    <row r="163" spans="15:20" x14ac:dyDescent="0.3">
      <c r="O163" s="312">
        <v>44319</v>
      </c>
      <c r="P163" s="311">
        <v>103.279945</v>
      </c>
      <c r="Q163" s="311">
        <v>2271.6298830000001</v>
      </c>
      <c r="S163" s="52">
        <f t="shared" si="8"/>
        <v>-4.7753342094351559E-2</v>
      </c>
      <c r="T163" s="52">
        <f t="shared" si="9"/>
        <v>2.2854826323055466E-3</v>
      </c>
    </row>
    <row r="164" spans="15:20" x14ac:dyDescent="0.3">
      <c r="O164" s="312">
        <v>44326</v>
      </c>
      <c r="P164" s="311">
        <v>82.444405000000003</v>
      </c>
      <c r="Q164" s="311">
        <v>2224.6298830000001</v>
      </c>
      <c r="S164" s="52">
        <f t="shared" si="8"/>
        <v>-0.20173848853230891</v>
      </c>
      <c r="T164" s="52">
        <f t="shared" si="9"/>
        <v>-2.0689990192385599E-2</v>
      </c>
    </row>
    <row r="165" spans="15:20" x14ac:dyDescent="0.3">
      <c r="O165" s="312">
        <v>44333</v>
      </c>
      <c r="P165" s="311">
        <v>80.915283000000002</v>
      </c>
      <c r="Q165" s="311">
        <v>2215.2700199999999</v>
      </c>
      <c r="S165" s="52">
        <f t="shared" si="8"/>
        <v>-1.8547310760505864E-2</v>
      </c>
      <c r="T165" s="52">
        <f t="shared" si="9"/>
        <v>-4.2073798754236336E-3</v>
      </c>
    </row>
    <row r="166" spans="15:20" x14ac:dyDescent="0.3">
      <c r="O166" s="312">
        <v>44340</v>
      </c>
      <c r="P166" s="311">
        <v>88.659554</v>
      </c>
      <c r="Q166" s="311">
        <v>2268.969971</v>
      </c>
      <c r="S166" s="52">
        <f t="shared" si="8"/>
        <v>9.5708384286315784E-2</v>
      </c>
      <c r="T166" s="52">
        <f t="shared" si="9"/>
        <v>2.4240815121941761E-2</v>
      </c>
    </row>
    <row r="167" spans="15:20" x14ac:dyDescent="0.3">
      <c r="O167" s="312">
        <v>44347</v>
      </c>
      <c r="P167" s="311">
        <v>91.747398000000004</v>
      </c>
      <c r="Q167" s="311">
        <v>2286.4099120000001</v>
      </c>
      <c r="S167" s="52">
        <f t="shared" si="8"/>
        <v>3.4828102112943293E-2</v>
      </c>
      <c r="T167" s="52">
        <f t="shared" si="9"/>
        <v>7.6862810979880791E-3</v>
      </c>
    </row>
    <row r="168" spans="15:20" x14ac:dyDescent="0.3">
      <c r="O168" s="312">
        <v>44354</v>
      </c>
      <c r="P168" s="311">
        <v>93.868438999999995</v>
      </c>
      <c r="Q168" s="311">
        <v>2335.8100589999999</v>
      </c>
      <c r="S168" s="52">
        <f t="shared" si="8"/>
        <v>2.3118268705560441E-2</v>
      </c>
      <c r="T168" s="52">
        <f t="shared" si="9"/>
        <v>2.1605988821483013E-2</v>
      </c>
    </row>
    <row r="169" spans="15:20" x14ac:dyDescent="0.3">
      <c r="O169" s="312">
        <v>44361</v>
      </c>
      <c r="P169" s="311">
        <v>116.864479</v>
      </c>
      <c r="Q169" s="311">
        <v>2237.75</v>
      </c>
      <c r="S169" s="52">
        <f t="shared" si="8"/>
        <v>0.24498159599735114</v>
      </c>
      <c r="T169" s="52">
        <f t="shared" si="9"/>
        <v>-4.1981178487595527E-2</v>
      </c>
    </row>
    <row r="170" spans="15:20" x14ac:dyDescent="0.3">
      <c r="O170" s="312">
        <v>44368</v>
      </c>
      <c r="P170" s="311">
        <v>118.630371</v>
      </c>
      <c r="Q170" s="311">
        <v>2334.3999020000001</v>
      </c>
      <c r="S170" s="52">
        <f t="shared" si="8"/>
        <v>1.5110596608230331E-2</v>
      </c>
      <c r="T170" s="52">
        <f t="shared" si="9"/>
        <v>4.3190661155178223E-2</v>
      </c>
    </row>
    <row r="171" spans="15:20" x14ac:dyDescent="0.3">
      <c r="O171" s="312">
        <v>44375</v>
      </c>
      <c r="P171" s="311">
        <v>125.299324</v>
      </c>
      <c r="Q171" s="311">
        <v>2305.76001</v>
      </c>
      <c r="S171" s="52">
        <f t="shared" si="8"/>
        <v>5.6216236565592492E-2</v>
      </c>
      <c r="T171" s="52">
        <f t="shared" si="9"/>
        <v>-1.2268631426630372E-2</v>
      </c>
    </row>
    <row r="172" spans="15:20" x14ac:dyDescent="0.3">
      <c r="O172" s="312">
        <v>44382</v>
      </c>
      <c r="P172" s="311">
        <v>110.23498499999999</v>
      </c>
      <c r="Q172" s="311">
        <v>2280</v>
      </c>
      <c r="S172" s="52">
        <f t="shared" si="8"/>
        <v>-0.12022681782385358</v>
      </c>
      <c r="T172" s="52">
        <f t="shared" si="9"/>
        <v>-1.117202566107478E-2</v>
      </c>
    </row>
    <row r="173" spans="15:20" x14ac:dyDescent="0.3">
      <c r="O173" s="312">
        <v>44389</v>
      </c>
      <c r="P173" s="311">
        <v>113.973938</v>
      </c>
      <c r="Q173" s="311">
        <v>2163.23999</v>
      </c>
      <c r="S173" s="52">
        <f t="shared" si="8"/>
        <v>3.3918025207696267E-2</v>
      </c>
      <c r="T173" s="52">
        <f t="shared" si="9"/>
        <v>-5.1210530701754409E-2</v>
      </c>
    </row>
    <row r="174" spans="15:20" x14ac:dyDescent="0.3">
      <c r="O174" s="312">
        <v>44396</v>
      </c>
      <c r="P174" s="311">
        <v>125.703796</v>
      </c>
      <c r="Q174" s="311">
        <v>2209.6499020000001</v>
      </c>
      <c r="S174" s="52">
        <f t="shared" si="8"/>
        <v>0.10291701950317789</v>
      </c>
      <c r="T174" s="52">
        <f t="shared" si="9"/>
        <v>2.1453889635241197E-2</v>
      </c>
    </row>
    <row r="175" spans="15:20" x14ac:dyDescent="0.3">
      <c r="O175" s="312">
        <v>44403</v>
      </c>
      <c r="P175" s="311">
        <v>118.57118199999999</v>
      </c>
      <c r="Q175" s="311">
        <v>2226.25</v>
      </c>
      <c r="S175" s="52">
        <f t="shared" si="8"/>
        <v>-5.6741436829799485E-2</v>
      </c>
      <c r="T175" s="52">
        <f t="shared" si="9"/>
        <v>7.5125466640550975E-3</v>
      </c>
    </row>
    <row r="176" spans="15:20" x14ac:dyDescent="0.3">
      <c r="O176" s="312">
        <v>44410</v>
      </c>
      <c r="P176" s="311">
        <v>123.267059</v>
      </c>
      <c r="Q176" s="311">
        <v>2247.76001</v>
      </c>
      <c r="S176" s="52">
        <f t="shared" si="8"/>
        <v>3.9603864284662338E-2</v>
      </c>
      <c r="T176" s="52">
        <f t="shared" si="9"/>
        <v>9.6619921392475661E-3</v>
      </c>
    </row>
    <row r="177" spans="15:20" x14ac:dyDescent="0.3">
      <c r="O177" s="312">
        <v>44417</v>
      </c>
      <c r="P177" s="311">
        <v>135.520004</v>
      </c>
      <c r="Q177" s="311">
        <v>2223.110107</v>
      </c>
      <c r="S177" s="52">
        <f t="shared" si="8"/>
        <v>9.9401617101938067E-2</v>
      </c>
      <c r="T177" s="52">
        <f t="shared" si="9"/>
        <v>-1.0966430086101542E-2</v>
      </c>
    </row>
    <row r="178" spans="15:20" x14ac:dyDescent="0.3">
      <c r="O178" s="312">
        <v>44424</v>
      </c>
      <c r="P178" s="311">
        <v>136.78999300000001</v>
      </c>
      <c r="Q178" s="311">
        <v>2167.6000979999999</v>
      </c>
      <c r="S178" s="52">
        <f t="shared" si="8"/>
        <v>9.3712290622425254E-3</v>
      </c>
      <c r="T178" s="52">
        <f t="shared" si="9"/>
        <v>-2.4969527521472412E-2</v>
      </c>
    </row>
    <row r="179" spans="15:20" x14ac:dyDescent="0.3">
      <c r="O179" s="312">
        <v>44431</v>
      </c>
      <c r="P179" s="311">
        <v>137.990005</v>
      </c>
      <c r="Q179" s="311">
        <v>2277.1499020000001</v>
      </c>
      <c r="S179" s="52">
        <f t="shared" si="8"/>
        <v>8.7726592690153815E-3</v>
      </c>
      <c r="T179" s="52">
        <f t="shared" si="9"/>
        <v>5.0539674777224652E-2</v>
      </c>
    </row>
    <row r="180" spans="15:20" x14ac:dyDescent="0.3">
      <c r="O180" s="312">
        <v>44438</v>
      </c>
      <c r="P180" s="311">
        <v>149.55999800000001</v>
      </c>
      <c r="Q180" s="311">
        <v>2292.0500489999999</v>
      </c>
      <c r="S180" s="52">
        <f t="shared" si="8"/>
        <v>8.3846601788296171E-2</v>
      </c>
      <c r="T180" s="52">
        <f t="shared" si="9"/>
        <v>6.5433316387792928E-3</v>
      </c>
    </row>
    <row r="181" spans="15:20" x14ac:dyDescent="0.3">
      <c r="O181" s="312">
        <v>44445</v>
      </c>
      <c r="P181" s="311">
        <v>153.71000699999999</v>
      </c>
      <c r="Q181" s="311">
        <v>2227.5500489999999</v>
      </c>
      <c r="S181" s="52">
        <f t="shared" si="8"/>
        <v>2.7748121526452341E-2</v>
      </c>
      <c r="T181" s="52">
        <f t="shared" si="9"/>
        <v>-2.8140746764295455E-2</v>
      </c>
    </row>
    <row r="182" spans="15:20" x14ac:dyDescent="0.3">
      <c r="O182" s="312">
        <v>44452</v>
      </c>
      <c r="P182" s="311">
        <v>147.85000600000001</v>
      </c>
      <c r="Q182" s="311">
        <v>2236.8701169999999</v>
      </c>
      <c r="S182" s="52">
        <f t="shared" si="8"/>
        <v>-3.8123744279056515E-2</v>
      </c>
      <c r="T182" s="52">
        <f t="shared" si="9"/>
        <v>4.1839993692549537E-3</v>
      </c>
    </row>
    <row r="183" spans="15:20" x14ac:dyDescent="0.3">
      <c r="O183" s="312">
        <v>44459</v>
      </c>
      <c r="P183" s="311">
        <v>160.35000600000001</v>
      </c>
      <c r="Q183" s="311">
        <v>2248.070068</v>
      </c>
      <c r="S183" s="52">
        <f t="shared" si="8"/>
        <v>8.454514367757282E-2</v>
      </c>
      <c r="T183" s="52">
        <f t="shared" si="9"/>
        <v>5.0069742158391772E-3</v>
      </c>
    </row>
    <row r="184" spans="15:20" x14ac:dyDescent="0.3">
      <c r="O184" s="312">
        <v>44466</v>
      </c>
      <c r="P184" s="311">
        <v>153.470001</v>
      </c>
      <c r="Q184" s="311">
        <v>2241.6298830000001</v>
      </c>
      <c r="S184" s="52">
        <f t="shared" si="8"/>
        <v>-4.2906172388917807E-2</v>
      </c>
      <c r="T184" s="52">
        <f t="shared" si="9"/>
        <v>-2.8647616867785164E-3</v>
      </c>
    </row>
    <row r="185" spans="15:20" x14ac:dyDescent="0.3">
      <c r="O185" s="312">
        <v>44473</v>
      </c>
      <c r="P185" s="311">
        <v>174.720001</v>
      </c>
      <c r="Q185" s="311">
        <v>2233.0900879999999</v>
      </c>
      <c r="S185" s="52">
        <f t="shared" si="8"/>
        <v>0.13846354246130477</v>
      </c>
      <c r="T185" s="52">
        <f t="shared" si="9"/>
        <v>-3.8096364902895363E-3</v>
      </c>
    </row>
    <row r="186" spans="15:20" x14ac:dyDescent="0.3">
      <c r="O186" s="312">
        <v>44480</v>
      </c>
      <c r="P186" s="311">
        <v>163</v>
      </c>
      <c r="Q186" s="311">
        <v>2265.6499020000001</v>
      </c>
      <c r="S186" s="52">
        <f t="shared" si="8"/>
        <v>-6.7078759918276276E-2</v>
      </c>
      <c r="T186" s="52">
        <f t="shared" si="9"/>
        <v>1.4580609253055821E-2</v>
      </c>
    </row>
    <row r="187" spans="15:20" x14ac:dyDescent="0.3">
      <c r="O187" s="312">
        <v>44487</v>
      </c>
      <c r="P187" s="311">
        <v>163.08999600000001</v>
      </c>
      <c r="Q187" s="311">
        <v>2291.2700199999999</v>
      </c>
      <c r="S187" s="52">
        <f t="shared" si="8"/>
        <v>5.5212269938653691E-4</v>
      </c>
      <c r="T187" s="52">
        <f t="shared" si="9"/>
        <v>1.1308065724269012E-2</v>
      </c>
    </row>
    <row r="188" spans="15:20" x14ac:dyDescent="0.3">
      <c r="O188" s="312">
        <v>44494</v>
      </c>
      <c r="P188" s="311">
        <v>144.300003</v>
      </c>
      <c r="Q188" s="311">
        <v>2297.1899410000001</v>
      </c>
      <c r="S188" s="52">
        <f t="shared" si="8"/>
        <v>-0.11521241928290937</v>
      </c>
      <c r="T188" s="52">
        <f t="shared" si="9"/>
        <v>2.5836854444594159E-3</v>
      </c>
    </row>
    <row r="189" spans="15:20" x14ac:dyDescent="0.3">
      <c r="O189" s="312">
        <v>44501</v>
      </c>
      <c r="P189" s="311">
        <v>144.820007</v>
      </c>
      <c r="Q189" s="311">
        <v>2437.080078</v>
      </c>
      <c r="S189" s="52">
        <f t="shared" si="8"/>
        <v>3.6036312487117694E-3</v>
      </c>
      <c r="T189" s="52">
        <f t="shared" si="9"/>
        <v>6.0896199527629591E-2</v>
      </c>
    </row>
    <row r="190" spans="15:20" x14ac:dyDescent="0.3">
      <c r="O190" s="312">
        <v>44508</v>
      </c>
      <c r="P190" s="311">
        <v>144.28999300000001</v>
      </c>
      <c r="Q190" s="311">
        <v>2411.780029</v>
      </c>
      <c r="S190" s="52">
        <f t="shared" si="8"/>
        <v>-3.6598120037377724E-3</v>
      </c>
      <c r="T190" s="52">
        <f t="shared" si="9"/>
        <v>-1.0381295726959672E-2</v>
      </c>
    </row>
    <row r="191" spans="15:20" x14ac:dyDescent="0.3">
      <c r="O191" s="312">
        <v>44515</v>
      </c>
      <c r="P191" s="311">
        <v>130.990005</v>
      </c>
      <c r="Q191" s="311">
        <v>2343.1599120000001</v>
      </c>
      <c r="S191" s="52">
        <f t="shared" si="8"/>
        <v>-9.2175401242136079E-2</v>
      </c>
      <c r="T191" s="52">
        <f t="shared" si="9"/>
        <v>-2.84520628643119E-2</v>
      </c>
    </row>
    <row r="192" spans="15:20" x14ac:dyDescent="0.3">
      <c r="O192" s="312">
        <v>44522</v>
      </c>
      <c r="P192" s="311">
        <v>135.14999399999999</v>
      </c>
      <c r="Q192" s="311">
        <v>2245.9399410000001</v>
      </c>
      <c r="S192" s="52">
        <f t="shared" si="8"/>
        <v>3.1758064288950782E-2</v>
      </c>
      <c r="T192" s="52">
        <f t="shared" si="9"/>
        <v>-4.1490967177318261E-2</v>
      </c>
    </row>
    <row r="193" spans="15:20" x14ac:dyDescent="0.3">
      <c r="O193" s="312">
        <v>44529</v>
      </c>
      <c r="P193" s="311">
        <v>125.860001</v>
      </c>
      <c r="Q193" s="311">
        <v>2159.3100589999999</v>
      </c>
      <c r="S193" s="52">
        <f t="shared" si="8"/>
        <v>-6.8738390029081331E-2</v>
      </c>
      <c r="T193" s="52">
        <f t="shared" si="9"/>
        <v>-3.8571771407844735E-2</v>
      </c>
    </row>
    <row r="194" spans="15:20" x14ac:dyDescent="0.3">
      <c r="O194" s="312">
        <v>44536</v>
      </c>
      <c r="P194" s="311">
        <v>132.46000699999999</v>
      </c>
      <c r="Q194" s="311">
        <v>2211.8100589999999</v>
      </c>
      <c r="S194" s="52">
        <f t="shared" si="8"/>
        <v>5.2439265434297777E-2</v>
      </c>
      <c r="T194" s="52">
        <f t="shared" si="9"/>
        <v>2.4313321646967756E-2</v>
      </c>
    </row>
    <row r="195" spans="15:20" x14ac:dyDescent="0.3">
      <c r="O195" s="312">
        <v>44543</v>
      </c>
      <c r="P195" s="311">
        <v>125.349998</v>
      </c>
      <c r="Q195" s="311">
        <v>2173.929932</v>
      </c>
      <c r="S195" s="52">
        <f t="shared" si="8"/>
        <v>-5.3676646717978782E-2</v>
      </c>
      <c r="T195" s="52">
        <f t="shared" si="9"/>
        <v>-1.7126301983239056E-2</v>
      </c>
    </row>
    <row r="196" spans="15:20" x14ac:dyDescent="0.3">
      <c r="O196" s="312">
        <v>44550</v>
      </c>
      <c r="P196" s="311">
        <v>138.08999600000001</v>
      </c>
      <c r="Q196" s="311">
        <v>2241.580078</v>
      </c>
      <c r="S196" s="52">
        <f t="shared" si="8"/>
        <v>0.10163540648800029</v>
      </c>
      <c r="T196" s="52">
        <f t="shared" si="9"/>
        <v>3.1118825406558637E-2</v>
      </c>
    </row>
    <row r="197" spans="15:20" x14ac:dyDescent="0.3">
      <c r="O197" s="312">
        <v>44557</v>
      </c>
      <c r="P197" s="311">
        <v>130.08000200000001</v>
      </c>
      <c r="Q197" s="311">
        <v>2245.3100589999999</v>
      </c>
      <c r="S197" s="52">
        <f t="shared" si="8"/>
        <v>-5.8005606720417324E-2</v>
      </c>
      <c r="T197" s="52">
        <f t="shared" si="9"/>
        <v>1.6639963196531937E-3</v>
      </c>
    </row>
    <row r="198" spans="15:20" x14ac:dyDescent="0.3">
      <c r="O198" s="312">
        <v>44564</v>
      </c>
      <c r="P198" s="311">
        <v>112.07</v>
      </c>
      <c r="Q198" s="311">
        <v>2179.8100589999999</v>
      </c>
      <c r="S198" s="52">
        <f t="shared" si="8"/>
        <v>-0.13845327277900887</v>
      </c>
      <c r="T198" s="52">
        <f t="shared" si="9"/>
        <v>-2.9171917587708096E-2</v>
      </c>
    </row>
    <row r="199" spans="15:20" x14ac:dyDescent="0.3">
      <c r="O199" s="312">
        <v>44571</v>
      </c>
      <c r="P199" s="311">
        <v>98.589995999999999</v>
      </c>
      <c r="Q199" s="311">
        <v>2162.459961</v>
      </c>
      <c r="S199" s="52">
        <f t="shared" ref="S199:S207" si="10">(P199/P198)-1</f>
        <v>-0.12028200231997854</v>
      </c>
      <c r="T199" s="52">
        <f t="shared" ref="T199:T207" si="11">(Q199/Q198)-1</f>
        <v>-7.9594540489272836E-3</v>
      </c>
    </row>
    <row r="200" spans="15:20" x14ac:dyDescent="0.3">
      <c r="O200" s="312">
        <v>44578</v>
      </c>
      <c r="P200" s="311">
        <v>92.5</v>
      </c>
      <c r="Q200" s="311">
        <v>1987.920044</v>
      </c>
      <c r="S200" s="52">
        <f t="shared" si="10"/>
        <v>-6.1770932620790475E-2</v>
      </c>
      <c r="T200" s="52">
        <f t="shared" si="11"/>
        <v>-8.0713594770691843E-2</v>
      </c>
    </row>
    <row r="201" spans="15:20" x14ac:dyDescent="0.3">
      <c r="O201" s="312">
        <v>44585</v>
      </c>
      <c r="P201" s="311">
        <v>89.639999000000003</v>
      </c>
      <c r="Q201" s="311">
        <v>1968.51001</v>
      </c>
      <c r="S201" s="52">
        <f t="shared" si="10"/>
        <v>-3.0918929729729649E-2</v>
      </c>
      <c r="T201" s="52">
        <f t="shared" si="11"/>
        <v>-9.7639912925995276E-3</v>
      </c>
    </row>
    <row r="202" spans="15:20" x14ac:dyDescent="0.3">
      <c r="O202" s="312">
        <v>44592</v>
      </c>
      <c r="P202" s="311">
        <v>94.330001999999993</v>
      </c>
      <c r="Q202" s="311">
        <v>2002.3599850000001</v>
      </c>
      <c r="S202" s="52">
        <f t="shared" si="10"/>
        <v>5.232042673271331E-2</v>
      </c>
      <c r="T202" s="52">
        <f t="shared" si="11"/>
        <v>1.7195734249784156E-2</v>
      </c>
    </row>
    <row r="203" spans="15:20" x14ac:dyDescent="0.3">
      <c r="O203" s="312">
        <v>44599</v>
      </c>
      <c r="P203" s="311">
        <v>94.760002</v>
      </c>
      <c r="Q203" s="311">
        <v>2030.150024</v>
      </c>
      <c r="S203" s="52">
        <f t="shared" si="10"/>
        <v>4.5584648667771344E-3</v>
      </c>
      <c r="T203" s="52">
        <f t="shared" si="11"/>
        <v>1.3878642805579267E-2</v>
      </c>
    </row>
    <row r="204" spans="15:20" x14ac:dyDescent="0.3">
      <c r="O204" s="312">
        <v>44606</v>
      </c>
      <c r="P204" s="311">
        <v>90.220000999999996</v>
      </c>
      <c r="Q204" s="311">
        <v>2009.329956</v>
      </c>
      <c r="S204" s="52">
        <f t="shared" si="10"/>
        <v>-4.791052030581433E-2</v>
      </c>
      <c r="T204" s="52">
        <f t="shared" si="11"/>
        <v>-1.025543322112632E-2</v>
      </c>
    </row>
    <row r="205" spans="15:20" x14ac:dyDescent="0.3">
      <c r="O205" s="312">
        <v>44613</v>
      </c>
      <c r="P205" s="311">
        <v>88.699996999999996</v>
      </c>
      <c r="Q205" s="311">
        <v>2040.9300539999999</v>
      </c>
      <c r="S205" s="52">
        <f t="shared" si="10"/>
        <v>-1.6847749757839203E-2</v>
      </c>
      <c r="T205" s="52">
        <f t="shared" si="11"/>
        <v>1.5726684363431609E-2</v>
      </c>
    </row>
    <row r="206" spans="15:20" x14ac:dyDescent="0.3">
      <c r="O206" s="312">
        <v>44620</v>
      </c>
      <c r="P206" s="311">
        <v>66.160004000000001</v>
      </c>
      <c r="Q206" s="311">
        <v>2000.900024</v>
      </c>
      <c r="S206" s="52">
        <f t="shared" si="10"/>
        <v>-0.25411492403996361</v>
      </c>
      <c r="T206" s="52">
        <f t="shared" si="11"/>
        <v>-1.9613621702294748E-2</v>
      </c>
    </row>
    <row r="207" spans="15:20" x14ac:dyDescent="0.3">
      <c r="O207" s="312">
        <v>44627</v>
      </c>
      <c r="P207" s="311">
        <v>65.910004000000001</v>
      </c>
      <c r="Q207" s="311">
        <v>1963.01001</v>
      </c>
      <c r="S207" s="52">
        <f t="shared" si="10"/>
        <v>-3.7787180303072709E-3</v>
      </c>
      <c r="T207" s="52">
        <f t="shared" si="11"/>
        <v>-1.8936485354352772E-2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ED289-235D-4643-A498-5A830B51F250}">
  <dimension ref="A1:AK257"/>
  <sheetViews>
    <sheetView showGridLines="0" zoomScale="62" zoomScaleNormal="62" workbookViewId="0">
      <pane xSplit="2" ySplit="5" topLeftCell="C6" activePane="bottomRight" state="frozen"/>
      <selection pane="topRight" activeCell="B1" sqref="B1"/>
      <selection pane="bottomLeft" activeCell="A4" sqref="A4"/>
      <selection pane="bottomRight" activeCell="C4" sqref="C4"/>
    </sheetView>
  </sheetViews>
  <sheetFormatPr defaultRowHeight="15.6" outlineLevelRow="2" outlineLevelCol="2" x14ac:dyDescent="0.3"/>
  <cols>
    <col min="1" max="1" width="8.88671875" style="1"/>
    <col min="2" max="2" width="48.21875" style="1" customWidth="1"/>
    <col min="3" max="3" width="17" style="1" bestFit="1" customWidth="1"/>
    <col min="4" max="5" width="16.6640625" style="1" bestFit="1" customWidth="1"/>
    <col min="6" max="9" width="16.6640625" style="1" hidden="1" customWidth="1" outlineLevel="1"/>
    <col min="10" max="10" width="18.109375" style="1" bestFit="1" customWidth="1" collapsed="1"/>
    <col min="11" max="14" width="18.109375" style="1" hidden="1" customWidth="1" outlineLevel="2"/>
    <col min="15" max="15" width="18.77734375" style="1" bestFit="1" customWidth="1" collapsed="1"/>
    <col min="16" max="16" width="18.77734375" style="1" bestFit="1" customWidth="1"/>
    <col min="17" max="17" width="17.44140625" style="1" bestFit="1" customWidth="1"/>
    <col min="18" max="21" width="16.6640625" style="1" customWidth="1"/>
    <col min="22" max="22" width="17.5546875" style="1" bestFit="1" customWidth="1"/>
    <col min="23" max="23" width="18.77734375" style="1" bestFit="1" customWidth="1"/>
    <col min="24" max="24" width="17.88671875" style="1" bestFit="1" customWidth="1"/>
    <col min="25" max="25" width="17.88671875" style="1" customWidth="1"/>
    <col min="26" max="26" width="12.109375" style="1" bestFit="1" customWidth="1"/>
    <col min="27" max="27" width="11.109375" style="1" customWidth="1"/>
    <col min="28" max="28" width="8.88671875" style="1"/>
    <col min="29" max="29" width="20.77734375" style="1" bestFit="1" customWidth="1"/>
    <col min="30" max="16384" width="8.88671875" style="1"/>
  </cols>
  <sheetData>
    <row r="1" spans="1:26" ht="16.8" thickBot="1" x14ac:dyDescent="0.4">
      <c r="A1" s="6"/>
      <c r="B1" s="766">
        <v>2</v>
      </c>
      <c r="C1" s="417" t="s">
        <v>230</v>
      </c>
      <c r="D1" s="418"/>
      <c r="E1" s="419">
        <f ca="1">(T36/O36)^(1/5)-1</f>
        <v>0.29238761941793556</v>
      </c>
      <c r="O1" s="337" t="s">
        <v>226</v>
      </c>
      <c r="P1" s="338" t="s">
        <v>227</v>
      </c>
      <c r="Q1" s="339" t="s">
        <v>228</v>
      </c>
      <c r="R1" s="340" t="s">
        <v>229</v>
      </c>
      <c r="S1" s="341" t="s">
        <v>257</v>
      </c>
      <c r="T1" s="97"/>
      <c r="U1" s="417" t="s">
        <v>381</v>
      </c>
      <c r="V1" s="418"/>
      <c r="W1" s="419">
        <f ca="1">(Y36/O36)^(1/10)-1</f>
        <v>0.26072349577971177</v>
      </c>
    </row>
    <row r="2" spans="1:26" ht="16.8" thickBot="1" x14ac:dyDescent="0.4">
      <c r="A2" s="6"/>
      <c r="B2" s="811" t="s">
        <v>481</v>
      </c>
      <c r="C2" s="743" t="s">
        <v>231</v>
      </c>
      <c r="D2" s="421"/>
      <c r="E2" s="422">
        <f ca="1">(T141/O141)^(1/5)-1</f>
        <v>0.45331267559314536</v>
      </c>
      <c r="J2" s="8"/>
      <c r="O2" s="761" t="s">
        <v>475</v>
      </c>
      <c r="P2" s="762" t="s">
        <v>478</v>
      </c>
      <c r="Q2" s="762" t="s">
        <v>480</v>
      </c>
      <c r="R2" s="762" t="s">
        <v>482</v>
      </c>
      <c r="S2" s="763"/>
      <c r="U2" s="420" t="s">
        <v>382</v>
      </c>
      <c r="V2" s="421"/>
      <c r="W2" s="422">
        <f ca="1">(Y141/O141)^(1/10)-1</f>
        <v>0.41570145341217035</v>
      </c>
    </row>
    <row r="3" spans="1:26" ht="16.8" thickBot="1" x14ac:dyDescent="0.4">
      <c r="A3" s="6"/>
      <c r="B3" s="812"/>
      <c r="C3" s="744"/>
      <c r="D3" s="62"/>
      <c r="E3" s="745"/>
      <c r="F3" s="6"/>
      <c r="G3" s="6"/>
      <c r="H3" s="6"/>
      <c r="I3" s="6"/>
      <c r="J3" s="755"/>
      <c r="K3" s="6"/>
      <c r="L3" s="6"/>
      <c r="M3" s="6"/>
      <c r="N3" s="6"/>
      <c r="O3" s="764" t="s">
        <v>489</v>
      </c>
      <c r="P3" s="765"/>
      <c r="Q3" s="765"/>
      <c r="R3" s="765"/>
      <c r="S3" s="765"/>
      <c r="T3" s="6"/>
      <c r="U3" s="744"/>
      <c r="V3" s="62"/>
      <c r="W3" s="745"/>
    </row>
    <row r="4" spans="1:26" ht="16.8" thickBot="1" x14ac:dyDescent="0.4">
      <c r="B4" s="12" t="s">
        <v>5</v>
      </c>
      <c r="C4" s="14">
        <v>17</v>
      </c>
      <c r="D4" s="14">
        <f t="shared" ref="D4:S4" si="0">C4+1</f>
        <v>18</v>
      </c>
      <c r="E4" s="14">
        <f>D4+1</f>
        <v>19</v>
      </c>
      <c r="F4" s="88">
        <v>20</v>
      </c>
      <c r="G4" s="89">
        <v>20</v>
      </c>
      <c r="H4" s="90">
        <v>20</v>
      </c>
      <c r="I4" s="91">
        <v>20</v>
      </c>
      <c r="J4" s="14">
        <f>E4+1</f>
        <v>20</v>
      </c>
      <c r="K4" s="88">
        <v>21</v>
      </c>
      <c r="L4" s="89">
        <v>21</v>
      </c>
      <c r="M4" s="90">
        <v>21</v>
      </c>
      <c r="N4" s="91">
        <v>21</v>
      </c>
      <c r="O4" s="14">
        <f>J4+1</f>
        <v>21</v>
      </c>
      <c r="P4" s="14">
        <f t="shared" si="0"/>
        <v>22</v>
      </c>
      <c r="Q4" s="14">
        <f t="shared" si="0"/>
        <v>23</v>
      </c>
      <c r="R4" s="14">
        <f t="shared" si="0"/>
        <v>24</v>
      </c>
      <c r="S4" s="15">
        <f t="shared" si="0"/>
        <v>25</v>
      </c>
      <c r="T4" s="15">
        <f t="shared" ref="T4" si="1">S4+1</f>
        <v>26</v>
      </c>
      <c r="U4" s="15">
        <f t="shared" ref="U4" si="2">T4+1</f>
        <v>27</v>
      </c>
      <c r="V4" s="15">
        <f t="shared" ref="V4" si="3">U4+1</f>
        <v>28</v>
      </c>
      <c r="W4" s="15">
        <f t="shared" ref="W4" si="4">V4+1</f>
        <v>29</v>
      </c>
      <c r="X4" s="15">
        <f t="shared" ref="X4:Y4" si="5">W4+1</f>
        <v>30</v>
      </c>
      <c r="Y4" s="15">
        <f t="shared" si="5"/>
        <v>31</v>
      </c>
    </row>
    <row r="5" spans="1:26" ht="16.2" x14ac:dyDescent="0.35">
      <c r="B5" s="4" t="s">
        <v>28</v>
      </c>
      <c r="C5" s="13" t="s">
        <v>4</v>
      </c>
      <c r="D5" s="13" t="s">
        <v>4</v>
      </c>
      <c r="E5" s="13" t="s">
        <v>4</v>
      </c>
      <c r="F5" s="72" t="s">
        <v>4</v>
      </c>
      <c r="G5" s="72" t="s">
        <v>4</v>
      </c>
      <c r="H5" s="73" t="s">
        <v>4</v>
      </c>
      <c r="I5" s="72" t="s">
        <v>4</v>
      </c>
      <c r="J5" s="13" t="s">
        <v>4</v>
      </c>
      <c r="K5" s="72" t="s">
        <v>4</v>
      </c>
      <c r="L5" s="72" t="s">
        <v>4</v>
      </c>
      <c r="M5" s="73" t="s">
        <v>4</v>
      </c>
      <c r="N5" s="72" t="s">
        <v>4</v>
      </c>
      <c r="O5" s="13" t="s">
        <v>4</v>
      </c>
      <c r="P5" s="68" t="s">
        <v>76</v>
      </c>
      <c r="Q5" s="68" t="s">
        <v>76</v>
      </c>
      <c r="R5" s="68" t="s">
        <v>76</v>
      </c>
      <c r="S5" s="68" t="s">
        <v>76</v>
      </c>
      <c r="T5" s="68" t="s">
        <v>76</v>
      </c>
      <c r="U5" s="68" t="s">
        <v>76</v>
      </c>
      <c r="V5" s="68" t="s">
        <v>76</v>
      </c>
      <c r="W5" s="68" t="s">
        <v>76</v>
      </c>
      <c r="X5" s="68" t="s">
        <v>76</v>
      </c>
      <c r="Y5" s="68" t="s">
        <v>76</v>
      </c>
      <c r="Z5" s="65" t="s">
        <v>6</v>
      </c>
    </row>
    <row r="6" spans="1:26" ht="16.2" x14ac:dyDescent="0.35">
      <c r="B6" s="4"/>
      <c r="C6" s="185"/>
      <c r="D6" s="185"/>
      <c r="E6" s="185"/>
      <c r="F6" s="74"/>
      <c r="G6" s="74"/>
      <c r="H6" s="74"/>
      <c r="I6" s="74"/>
      <c r="J6" s="185"/>
      <c r="K6" s="74"/>
      <c r="L6" s="74"/>
      <c r="M6" s="75"/>
      <c r="N6" s="74"/>
      <c r="O6" s="185"/>
      <c r="P6" s="185"/>
      <c r="Q6" s="185"/>
      <c r="R6" s="185"/>
      <c r="S6" s="185"/>
      <c r="T6" s="185"/>
      <c r="U6" s="185"/>
      <c r="V6" s="185"/>
      <c r="W6" s="185"/>
      <c r="X6" s="185"/>
      <c r="Y6" s="185"/>
      <c r="Z6" s="65"/>
    </row>
    <row r="7" spans="1:26" ht="16.2" x14ac:dyDescent="0.35">
      <c r="B7" s="9" t="s">
        <v>31</v>
      </c>
      <c r="C7" s="13"/>
      <c r="D7" s="13"/>
      <c r="E7" s="13"/>
      <c r="F7" s="74"/>
      <c r="G7" s="74"/>
      <c r="H7" s="74"/>
      <c r="I7" s="74"/>
      <c r="J7" s="13"/>
      <c r="K7" s="74"/>
      <c r="L7" s="74"/>
      <c r="M7" s="75"/>
      <c r="N7" s="74"/>
      <c r="O7" s="13"/>
      <c r="P7" s="72"/>
      <c r="Q7" s="72"/>
      <c r="R7" s="72"/>
      <c r="S7" s="72"/>
      <c r="T7" s="661" t="s">
        <v>448</v>
      </c>
      <c r="U7" s="655"/>
      <c r="V7" s="655"/>
      <c r="W7" s="655"/>
      <c r="X7" s="656"/>
      <c r="Y7" s="655"/>
      <c r="Z7" s="65"/>
    </row>
    <row r="8" spans="1:26" ht="16.2" x14ac:dyDescent="0.35">
      <c r="B8" s="60" t="s">
        <v>35</v>
      </c>
      <c r="C8" s="186">
        <f>IF(SUM(C10,C13,C16,C19)=SUM(C23,C26),SUM(C23,C26),"ERR")</f>
        <v>342330</v>
      </c>
      <c r="D8" s="186">
        <f t="shared" ref="D8:E8" si="6">IF(SUM(D10,D13,D16,D19)=SUM(D23,D26),SUM(D23,D26),"ERR")</f>
        <v>509012</v>
      </c>
      <c r="E8" s="186">
        <f t="shared" si="6"/>
        <v>739009</v>
      </c>
      <c r="F8" s="159"/>
      <c r="G8" s="159"/>
      <c r="H8" s="159"/>
      <c r="I8" s="159"/>
      <c r="J8" s="186">
        <f>IF(SUM(J10,J13,J16,J19)=SUM(J23,J26),SUM(J23,J26),"ERR")</f>
        <v>1074076</v>
      </c>
      <c r="K8" s="159"/>
      <c r="L8" s="159"/>
      <c r="M8" s="159"/>
      <c r="N8" s="159"/>
      <c r="O8" s="186">
        <f>IF(SUM(O10,O13,O16,O19)=SUM(O23,O26),SUM(O23,O26),"ERR")</f>
        <v>1559858</v>
      </c>
      <c r="P8" s="657"/>
      <c r="Q8" s="657"/>
      <c r="R8" s="657"/>
      <c r="S8" s="657"/>
      <c r="T8" s="657"/>
      <c r="U8" s="658"/>
      <c r="V8" s="659"/>
      <c r="W8" s="659"/>
      <c r="X8" s="659"/>
      <c r="Y8" s="659"/>
    </row>
    <row r="9" spans="1:26" ht="16.2" x14ac:dyDescent="0.35">
      <c r="B9" s="64" t="s">
        <v>86</v>
      </c>
      <c r="C9" s="187"/>
      <c r="D9" s="189">
        <f>(D8/C8)-1</f>
        <v>0.48690444892355322</v>
      </c>
      <c r="E9" s="189">
        <f t="shared" ref="E9" si="7">(E8/D8)-1</f>
        <v>0.45184985815658574</v>
      </c>
      <c r="F9" s="647"/>
      <c r="G9" s="647"/>
      <c r="H9" s="647"/>
      <c r="I9" s="647"/>
      <c r="J9" s="189">
        <f>(J8/E8)-1</f>
        <v>0.4534004322004197</v>
      </c>
      <c r="K9" s="647"/>
      <c r="L9" s="647"/>
      <c r="M9" s="647"/>
      <c r="N9" s="647"/>
      <c r="O9" s="189">
        <f>(O8/J8)-1</f>
        <v>0.45227898212044582</v>
      </c>
      <c r="P9" s="660"/>
      <c r="Q9" s="660"/>
      <c r="R9" s="660"/>
      <c r="S9" s="660"/>
      <c r="T9" s="660"/>
      <c r="U9" s="658"/>
      <c r="V9" s="659"/>
      <c r="W9" s="659"/>
      <c r="X9" s="659"/>
      <c r="Y9" s="659"/>
    </row>
    <row r="10" spans="1:26" ht="16.2" x14ac:dyDescent="0.35">
      <c r="B10" s="99" t="s">
        <v>36</v>
      </c>
      <c r="C10" s="188">
        <v>188570</v>
      </c>
      <c r="D10" s="188">
        <v>270479</v>
      </c>
      <c r="E10" s="188">
        <v>395572</v>
      </c>
      <c r="F10" s="153"/>
      <c r="G10" s="153"/>
      <c r="H10" s="153"/>
      <c r="I10" s="153"/>
      <c r="J10" s="188">
        <v>585515</v>
      </c>
      <c r="K10" s="154"/>
      <c r="L10" s="154"/>
      <c r="M10" s="154"/>
      <c r="N10" s="154"/>
      <c r="O10" s="188">
        <v>885130</v>
      </c>
      <c r="P10" s="72"/>
      <c r="Q10" s="72"/>
      <c r="R10" s="72"/>
      <c r="S10" s="72"/>
      <c r="T10" s="72"/>
      <c r="U10" s="72"/>
      <c r="V10" s="72"/>
      <c r="W10" s="658"/>
      <c r="X10" s="659"/>
      <c r="Y10" s="659"/>
    </row>
    <row r="11" spans="1:26" ht="16.2" x14ac:dyDescent="0.35">
      <c r="B11" s="101" t="s">
        <v>86</v>
      </c>
      <c r="C11" s="187"/>
      <c r="D11" s="189">
        <f>(D10/C10)-1</f>
        <v>0.43436919976666499</v>
      </c>
      <c r="E11" s="189">
        <f t="shared" ref="E11" si="8">(E10/D10)-1</f>
        <v>0.46248692135064084</v>
      </c>
      <c r="F11" s="647"/>
      <c r="G11" s="647"/>
      <c r="H11" s="647"/>
      <c r="I11" s="647"/>
      <c r="J11" s="189">
        <f>(J10/E10)-1</f>
        <v>0.48017301527914014</v>
      </c>
      <c r="K11" s="647"/>
      <c r="L11" s="647"/>
      <c r="M11" s="647"/>
      <c r="N11" s="647"/>
      <c r="O11" s="189">
        <f>(O10/J10)-1</f>
        <v>0.5117119117358222</v>
      </c>
      <c r="P11" s="72"/>
      <c r="Q11" s="72"/>
      <c r="R11" s="72"/>
      <c r="S11" s="72"/>
      <c r="T11" s="72"/>
      <c r="U11" s="72"/>
      <c r="V11" s="72"/>
      <c r="W11" s="658"/>
      <c r="X11" s="659"/>
      <c r="Y11" s="659"/>
    </row>
    <row r="12" spans="1:26" ht="16.2" x14ac:dyDescent="0.35">
      <c r="B12" s="101" t="s">
        <v>92</v>
      </c>
      <c r="C12" s="189">
        <f>C10/C$8</f>
        <v>0.55084275406771244</v>
      </c>
      <c r="D12" s="189">
        <f t="shared" ref="D12:O12" si="9">D10/D$8</f>
        <v>0.53138039967623552</v>
      </c>
      <c r="E12" s="189">
        <f t="shared" si="9"/>
        <v>0.53527358936088731</v>
      </c>
      <c r="F12" s="647"/>
      <c r="G12" s="647"/>
      <c r="H12" s="647"/>
      <c r="I12" s="647"/>
      <c r="J12" s="189">
        <f t="shared" si="9"/>
        <v>0.54513367769133658</v>
      </c>
      <c r="K12" s="647"/>
      <c r="L12" s="647"/>
      <c r="M12" s="647"/>
      <c r="N12" s="647"/>
      <c r="O12" s="189">
        <f t="shared" si="9"/>
        <v>0.56744267747448807</v>
      </c>
      <c r="P12" s="72"/>
      <c r="Q12" s="72"/>
      <c r="R12" s="72"/>
      <c r="S12" s="72"/>
      <c r="T12" s="72"/>
      <c r="U12" s="72"/>
      <c r="V12" s="72"/>
      <c r="W12" s="658"/>
      <c r="X12" s="659"/>
      <c r="Y12" s="659"/>
    </row>
    <row r="13" spans="1:26" ht="16.2" x14ac:dyDescent="0.35">
      <c r="B13" s="64" t="s">
        <v>37</v>
      </c>
      <c r="C13" s="190">
        <v>144884</v>
      </c>
      <c r="D13" s="190">
        <v>225591</v>
      </c>
      <c r="E13" s="190">
        <v>321857</v>
      </c>
      <c r="F13" s="152"/>
      <c r="G13" s="152"/>
      <c r="H13" s="152"/>
      <c r="I13" s="152"/>
      <c r="J13" s="190">
        <v>456320</v>
      </c>
      <c r="K13" s="155"/>
      <c r="L13" s="155"/>
      <c r="M13" s="155"/>
      <c r="N13" s="155"/>
      <c r="O13" s="190">
        <v>618483</v>
      </c>
      <c r="P13" s="72"/>
      <c r="Q13" s="72"/>
      <c r="R13" s="72"/>
      <c r="S13" s="72"/>
      <c r="T13" s="72"/>
      <c r="U13" s="72"/>
      <c r="V13" s="72"/>
      <c r="W13" s="658"/>
      <c r="X13" s="659"/>
      <c r="Y13" s="659"/>
    </row>
    <row r="14" spans="1:26" ht="16.2" x14ac:dyDescent="0.35">
      <c r="B14" s="101" t="s">
        <v>86</v>
      </c>
      <c r="C14" s="187"/>
      <c r="D14" s="189">
        <f>(D13/C13)-1</f>
        <v>0.55704563650920735</v>
      </c>
      <c r="E14" s="189">
        <f t="shared" ref="E14" si="10">(E13/D13)-1</f>
        <v>0.42672801663186921</v>
      </c>
      <c r="F14" s="647"/>
      <c r="G14" s="647"/>
      <c r="H14" s="647"/>
      <c r="I14" s="647"/>
      <c r="J14" s="189">
        <f>(J13/E13)-1</f>
        <v>0.41777248902462905</v>
      </c>
      <c r="K14" s="647"/>
      <c r="L14" s="647"/>
      <c r="M14" s="647"/>
      <c r="N14" s="647"/>
      <c r="O14" s="189">
        <f>(O13/J13)-1</f>
        <v>0.35537123071528742</v>
      </c>
      <c r="P14" s="72"/>
      <c r="Q14" s="72"/>
      <c r="R14" s="72"/>
      <c r="S14" s="72"/>
      <c r="T14" s="72"/>
      <c r="U14" s="72"/>
      <c r="V14" s="72"/>
      <c r="W14" s="658"/>
      <c r="X14" s="659"/>
      <c r="Y14" s="659"/>
    </row>
    <row r="15" spans="1:26" ht="16.2" x14ac:dyDescent="0.35">
      <c r="B15" s="101" t="s">
        <v>92</v>
      </c>
      <c r="C15" s="189">
        <f>C13/C$8</f>
        <v>0.42322904799462507</v>
      </c>
      <c r="D15" s="189">
        <f t="shared" ref="D15:E15" si="11">D13/D$8</f>
        <v>0.44319387362183998</v>
      </c>
      <c r="E15" s="189">
        <f t="shared" si="11"/>
        <v>0.43552514245428675</v>
      </c>
      <c r="F15" s="647"/>
      <c r="G15" s="647"/>
      <c r="H15" s="647"/>
      <c r="I15" s="647"/>
      <c r="J15" s="189">
        <f>J13/J$8</f>
        <v>0.42484889337439807</v>
      </c>
      <c r="K15" s="647"/>
      <c r="L15" s="647"/>
      <c r="M15" s="647"/>
      <c r="N15" s="647"/>
      <c r="O15" s="189">
        <f>O13/O$8</f>
        <v>0.39649955316445473</v>
      </c>
      <c r="P15" s="72"/>
      <c r="Q15" s="72"/>
      <c r="R15" s="72"/>
      <c r="S15" s="72"/>
      <c r="T15" s="72"/>
      <c r="U15" s="72"/>
      <c r="V15" s="72"/>
      <c r="W15" s="658"/>
      <c r="X15" s="659"/>
      <c r="Y15" s="659"/>
    </row>
    <row r="16" spans="1:26" ht="16.2" x14ac:dyDescent="0.35">
      <c r="B16" s="64" t="s">
        <v>38</v>
      </c>
      <c r="C16" s="190">
        <v>5818</v>
      </c>
      <c r="D16" s="190">
        <v>8507</v>
      </c>
      <c r="E16" s="190">
        <v>13831</v>
      </c>
      <c r="F16" s="152"/>
      <c r="G16" s="152"/>
      <c r="H16" s="152"/>
      <c r="I16" s="152"/>
      <c r="J16" s="190">
        <v>20730</v>
      </c>
      <c r="K16" s="155"/>
      <c r="L16" s="155"/>
      <c r="M16" s="155"/>
      <c r="N16" s="155"/>
      <c r="O16" s="190">
        <v>39254</v>
      </c>
      <c r="P16" s="72"/>
      <c r="Q16" s="72"/>
      <c r="R16" s="72"/>
      <c r="S16" s="72"/>
      <c r="T16" s="72"/>
      <c r="U16" s="72"/>
      <c r="V16" s="72"/>
      <c r="W16" s="658"/>
      <c r="X16" s="659"/>
      <c r="Y16" s="659"/>
    </row>
    <row r="17" spans="2:26" ht="16.2" x14ac:dyDescent="0.35">
      <c r="B17" s="101" t="s">
        <v>86</v>
      </c>
      <c r="C17" s="187"/>
      <c r="D17" s="189">
        <f>(D16/C16)-1</f>
        <v>0.4621863183224475</v>
      </c>
      <c r="E17" s="189">
        <f t="shared" ref="E17" si="12">(E16/D16)-1</f>
        <v>0.62583754555072302</v>
      </c>
      <c r="F17" s="647"/>
      <c r="G17" s="647"/>
      <c r="H17" s="647"/>
      <c r="I17" s="647"/>
      <c r="J17" s="189">
        <f>(J16/E16)-1</f>
        <v>0.49880702769141783</v>
      </c>
      <c r="K17" s="647"/>
      <c r="L17" s="647"/>
      <c r="M17" s="647"/>
      <c r="N17" s="647"/>
      <c r="O17" s="189">
        <f>(O16/J16)-1</f>
        <v>0.89358417752050179</v>
      </c>
      <c r="P17" s="72"/>
      <c r="Q17" s="72"/>
      <c r="R17" s="72"/>
      <c r="S17" s="72"/>
      <c r="T17" s="72"/>
      <c r="U17" s="72"/>
      <c r="V17" s="72"/>
      <c r="W17" s="658"/>
      <c r="X17" s="659"/>
      <c r="Y17" s="659"/>
    </row>
    <row r="18" spans="2:26" ht="16.2" x14ac:dyDescent="0.35">
      <c r="B18" s="101" t="s">
        <v>92</v>
      </c>
      <c r="C18" s="189">
        <f>C16/C$8</f>
        <v>1.6995296935705312E-2</v>
      </c>
      <c r="D18" s="189">
        <f t="shared" ref="D18:E18" si="13">D16/D$8</f>
        <v>1.6712769050631418E-2</v>
      </c>
      <c r="E18" s="189">
        <f t="shared" si="13"/>
        <v>1.8715604275455374E-2</v>
      </c>
      <c r="F18" s="647"/>
      <c r="G18" s="647"/>
      <c r="H18" s="647"/>
      <c r="I18" s="647"/>
      <c r="J18" s="189">
        <f>J16/J$8</f>
        <v>1.9300310220133399E-2</v>
      </c>
      <c r="K18" s="647"/>
      <c r="L18" s="647"/>
      <c r="M18" s="647"/>
      <c r="N18" s="647"/>
      <c r="O18" s="189">
        <f>O16/O$8</f>
        <v>2.5165111183197444E-2</v>
      </c>
      <c r="P18" s="72"/>
      <c r="Q18" s="72"/>
      <c r="R18" s="72"/>
      <c r="S18" s="72"/>
      <c r="T18" s="72"/>
      <c r="U18" s="72"/>
      <c r="V18" s="72"/>
      <c r="W18" s="658"/>
      <c r="X18" s="659"/>
      <c r="Y18" s="659"/>
    </row>
    <row r="19" spans="2:26" ht="16.2" x14ac:dyDescent="0.35">
      <c r="B19" s="64" t="s">
        <v>39</v>
      </c>
      <c r="C19" s="190">
        <v>3058</v>
      </c>
      <c r="D19" s="190">
        <v>4435</v>
      </c>
      <c r="E19" s="190">
        <v>7749</v>
      </c>
      <c r="F19" s="152"/>
      <c r="G19" s="152"/>
      <c r="H19" s="152"/>
      <c r="I19" s="152"/>
      <c r="J19" s="190">
        <v>11511</v>
      </c>
      <c r="K19" s="155"/>
      <c r="L19" s="155"/>
      <c r="M19" s="155"/>
      <c r="N19" s="155"/>
      <c r="O19" s="190">
        <v>16991</v>
      </c>
      <c r="P19" s="72"/>
      <c r="Q19" s="72"/>
      <c r="R19" s="72"/>
      <c r="S19" s="72"/>
      <c r="T19" s="72"/>
      <c r="U19" s="72"/>
      <c r="V19" s="72"/>
      <c r="W19" s="658"/>
      <c r="X19" s="659"/>
      <c r="Y19" s="659"/>
    </row>
    <row r="20" spans="2:26" ht="16.2" x14ac:dyDescent="0.35">
      <c r="B20" s="101" t="s">
        <v>86</v>
      </c>
      <c r="C20" s="13"/>
      <c r="D20" s="189">
        <f>(D19/C19)-1</f>
        <v>0.45029431000654019</v>
      </c>
      <c r="E20" s="189">
        <f t="shared" ref="E20" si="14">(E19/D19)-1</f>
        <v>0.74723788049605422</v>
      </c>
      <c r="F20" s="647"/>
      <c r="G20" s="647"/>
      <c r="H20" s="647"/>
      <c r="I20" s="647"/>
      <c r="J20" s="189">
        <f>(J19/E19)-1</f>
        <v>0.48548199767711964</v>
      </c>
      <c r="K20" s="647"/>
      <c r="L20" s="647"/>
      <c r="M20" s="647"/>
      <c r="N20" s="647"/>
      <c r="O20" s="189">
        <f>(O19/J19)-1</f>
        <v>0.47606637129702034</v>
      </c>
      <c r="P20" s="72"/>
      <c r="Q20" s="72"/>
      <c r="R20" s="72"/>
      <c r="S20" s="72"/>
      <c r="T20" s="72"/>
      <c r="U20" s="72"/>
      <c r="V20" s="72"/>
      <c r="W20" s="72"/>
      <c r="X20" s="72"/>
      <c r="Y20" s="72"/>
      <c r="Z20" s="65"/>
    </row>
    <row r="21" spans="2:26" ht="16.2" x14ac:dyDescent="0.35">
      <c r="B21" s="101" t="s">
        <v>92</v>
      </c>
      <c r="C21" s="189">
        <f>C19/C$8</f>
        <v>8.9329010019571758E-3</v>
      </c>
      <c r="D21" s="189">
        <f t="shared" ref="D21:E21" si="15">D19/D$8</f>
        <v>8.7129576512930927E-3</v>
      </c>
      <c r="E21" s="189">
        <f t="shared" si="15"/>
        <v>1.0485663909370523E-2</v>
      </c>
      <c r="F21" s="647"/>
      <c r="G21" s="647"/>
      <c r="H21" s="647"/>
      <c r="I21" s="647"/>
      <c r="J21" s="189">
        <f>J19/J$8</f>
        <v>1.0717118714131961E-2</v>
      </c>
      <c r="K21" s="647"/>
      <c r="L21" s="647"/>
      <c r="M21" s="647"/>
      <c r="N21" s="647"/>
      <c r="O21" s="189">
        <f>O19/O$8</f>
        <v>1.089265817785978E-2</v>
      </c>
      <c r="P21" s="72"/>
      <c r="Q21" s="72"/>
      <c r="R21" s="72"/>
      <c r="S21" s="72"/>
      <c r="T21" s="72"/>
      <c r="U21" s="72"/>
      <c r="V21" s="72"/>
      <c r="W21" s="72"/>
      <c r="X21" s="72"/>
      <c r="Y21" s="72"/>
      <c r="Z21" s="65"/>
    </row>
    <row r="22" spans="2:26" ht="16.2" x14ac:dyDescent="0.35">
      <c r="B22" s="101"/>
      <c r="C22" s="13"/>
      <c r="D22" s="13"/>
      <c r="E22" s="13"/>
      <c r="F22" s="74"/>
      <c r="G22" s="74"/>
      <c r="H22" s="74"/>
      <c r="I22" s="74"/>
      <c r="J22" s="13"/>
      <c r="K22" s="74"/>
      <c r="L22" s="74"/>
      <c r="M22" s="75"/>
      <c r="N22" s="74"/>
      <c r="O22" s="187"/>
      <c r="P22" s="72"/>
      <c r="Q22" s="72"/>
      <c r="R22" s="72"/>
      <c r="S22" s="72"/>
      <c r="T22" s="72"/>
      <c r="U22" s="72"/>
      <c r="V22" s="72"/>
      <c r="W22" s="72"/>
      <c r="X22" s="72"/>
      <c r="Y22" s="72"/>
      <c r="Z22" s="65"/>
    </row>
    <row r="23" spans="2:26" ht="16.2" x14ac:dyDescent="0.35">
      <c r="B23" s="99" t="s">
        <v>40</v>
      </c>
      <c r="C23" s="188">
        <v>143879</v>
      </c>
      <c r="D23" s="188">
        <v>191750</v>
      </c>
      <c r="E23" s="188">
        <v>244576</v>
      </c>
      <c r="F23" s="153"/>
      <c r="G23" s="153"/>
      <c r="H23" s="153"/>
      <c r="I23" s="153"/>
      <c r="J23" s="188">
        <v>320495</v>
      </c>
      <c r="K23" s="154"/>
      <c r="L23" s="154"/>
      <c r="M23" s="154"/>
      <c r="N23" s="154"/>
      <c r="O23" s="188">
        <v>421792</v>
      </c>
      <c r="P23" s="72"/>
      <c r="Q23" s="72"/>
      <c r="R23" s="72"/>
      <c r="S23" s="72"/>
      <c r="T23" s="72"/>
      <c r="U23" s="72"/>
      <c r="V23" s="72"/>
      <c r="W23" s="72"/>
      <c r="X23" s="72"/>
      <c r="Y23" s="72"/>
      <c r="Z23" s="65"/>
    </row>
    <row r="24" spans="2:26" ht="16.2" x14ac:dyDescent="0.35">
      <c r="B24" s="101" t="s">
        <v>86</v>
      </c>
      <c r="C24" s="187"/>
      <c r="D24" s="189">
        <f>(D23/C23)-1</f>
        <v>0.33271707476421164</v>
      </c>
      <c r="E24" s="189">
        <f t="shared" ref="E24" si="16">(E23/D23)-1</f>
        <v>0.27549413298565839</v>
      </c>
      <c r="F24" s="647"/>
      <c r="G24" s="647"/>
      <c r="H24" s="647"/>
      <c r="I24" s="647"/>
      <c r="J24" s="189">
        <f>(J23/E23)-1</f>
        <v>0.31041066989402077</v>
      </c>
      <c r="K24" s="647"/>
      <c r="L24" s="647"/>
      <c r="M24" s="647"/>
      <c r="N24" s="647"/>
      <c r="O24" s="189">
        <f>(O23/J23)-1</f>
        <v>0.31606421317025224</v>
      </c>
      <c r="P24" s="72"/>
      <c r="Q24" s="72"/>
      <c r="R24" s="72"/>
      <c r="S24" s="72"/>
      <c r="T24" s="72"/>
      <c r="U24" s="72"/>
      <c r="V24" s="72"/>
      <c r="W24" s="72"/>
      <c r="X24" s="72"/>
      <c r="Y24" s="72"/>
      <c r="Z24" s="65"/>
    </row>
    <row r="25" spans="2:26" ht="16.2" x14ac:dyDescent="0.35">
      <c r="B25" s="101" t="s">
        <v>92</v>
      </c>
      <c r="C25" s="189">
        <f>C23/C$8</f>
        <v>0.42029328425787982</v>
      </c>
      <c r="D25" s="189">
        <f t="shared" ref="D25:E25" si="17">D23/D$8</f>
        <v>0.37671017579153337</v>
      </c>
      <c r="E25" s="189">
        <f t="shared" si="17"/>
        <v>0.33095131453067556</v>
      </c>
      <c r="F25" s="647"/>
      <c r="G25" s="647"/>
      <c r="H25" s="647"/>
      <c r="I25" s="647"/>
      <c r="J25" s="189">
        <f>J23/J$8</f>
        <v>0.29839136150514489</v>
      </c>
      <c r="K25" s="647"/>
      <c r="L25" s="647"/>
      <c r="M25" s="647"/>
      <c r="N25" s="647"/>
      <c r="O25" s="189">
        <f>O23/O$8</f>
        <v>0.27040410088610628</v>
      </c>
      <c r="P25" s="72"/>
      <c r="Q25" s="72"/>
      <c r="R25" s="72"/>
      <c r="S25" s="72"/>
      <c r="T25" s="72"/>
      <c r="U25" s="72"/>
      <c r="V25" s="72"/>
      <c r="W25" s="72"/>
      <c r="X25" s="72"/>
      <c r="Y25" s="72"/>
      <c r="Z25" s="65"/>
    </row>
    <row r="26" spans="2:26" ht="16.2" x14ac:dyDescent="0.35">
      <c r="B26" s="64" t="s">
        <v>41</v>
      </c>
      <c r="C26" s="190">
        <v>198451</v>
      </c>
      <c r="D26" s="190">
        <v>317262</v>
      </c>
      <c r="E26" s="190">
        <v>494433</v>
      </c>
      <c r="F26" s="152"/>
      <c r="G26" s="152"/>
      <c r="H26" s="152"/>
      <c r="I26" s="152"/>
      <c r="J26" s="190">
        <v>753581</v>
      </c>
      <c r="K26" s="155"/>
      <c r="L26" s="155"/>
      <c r="M26" s="155"/>
      <c r="N26" s="155"/>
      <c r="O26" s="190">
        <v>1138066</v>
      </c>
      <c r="P26" s="72"/>
      <c r="Q26" s="72"/>
      <c r="R26" s="72"/>
      <c r="S26" s="72"/>
      <c r="T26" s="72"/>
      <c r="U26" s="72"/>
      <c r="V26" s="72"/>
      <c r="W26" s="72"/>
      <c r="X26" s="72"/>
      <c r="Y26" s="72"/>
      <c r="Z26" s="65"/>
    </row>
    <row r="27" spans="2:26" ht="16.2" x14ac:dyDescent="0.35">
      <c r="B27" s="101" t="s">
        <v>86</v>
      </c>
      <c r="C27" s="187"/>
      <c r="D27" s="189">
        <f>(D26/C26)-1</f>
        <v>0.59869186852170064</v>
      </c>
      <c r="E27" s="189">
        <f t="shared" ref="E27" si="18">(E26/D26)-1</f>
        <v>0.55843750590994201</v>
      </c>
      <c r="F27" s="647"/>
      <c r="G27" s="647"/>
      <c r="H27" s="647"/>
      <c r="I27" s="647"/>
      <c r="J27" s="189">
        <f>(J26/E26)-1</f>
        <v>0.5241316821490476</v>
      </c>
      <c r="K27" s="647"/>
      <c r="L27" s="647"/>
      <c r="M27" s="647"/>
      <c r="N27" s="647"/>
      <c r="O27" s="189">
        <f>(O26/J26)-1</f>
        <v>0.51021058121157514</v>
      </c>
      <c r="P27" s="72"/>
      <c r="Q27" s="72"/>
      <c r="R27" s="72"/>
      <c r="S27" s="72"/>
      <c r="T27" s="72"/>
      <c r="U27" s="72"/>
      <c r="V27" s="72"/>
      <c r="W27" s="72"/>
      <c r="X27" s="72"/>
      <c r="Y27" s="72"/>
      <c r="Z27" s="65"/>
    </row>
    <row r="28" spans="2:26" ht="16.2" x14ac:dyDescent="0.35">
      <c r="B28" s="101" t="s">
        <v>92</v>
      </c>
      <c r="C28" s="189">
        <f>C26/C$8</f>
        <v>0.57970671574212018</v>
      </c>
      <c r="D28" s="189">
        <f t="shared" ref="D28:E28" si="19">D26/D$8</f>
        <v>0.62328982420846657</v>
      </c>
      <c r="E28" s="189">
        <f t="shared" si="19"/>
        <v>0.6690486854693245</v>
      </c>
      <c r="F28" s="647"/>
      <c r="G28" s="647"/>
      <c r="H28" s="647"/>
      <c r="I28" s="647"/>
      <c r="J28" s="189">
        <f>J26/J$8</f>
        <v>0.70160863849485511</v>
      </c>
      <c r="K28" s="647"/>
      <c r="L28" s="647"/>
      <c r="M28" s="647"/>
      <c r="N28" s="647"/>
      <c r="O28" s="189">
        <f>O26/O$8</f>
        <v>0.72959589911389366</v>
      </c>
      <c r="P28" s="72"/>
      <c r="Q28" s="72"/>
      <c r="R28" s="72"/>
      <c r="S28" s="72"/>
      <c r="T28" s="72"/>
      <c r="U28" s="72"/>
      <c r="V28" s="72"/>
      <c r="W28" s="72"/>
      <c r="X28" s="72"/>
      <c r="Y28" s="72"/>
      <c r="Z28" s="65"/>
    </row>
    <row r="29" spans="2:26" ht="16.2" x14ac:dyDescent="0.35">
      <c r="B29" s="64"/>
      <c r="C29" s="187"/>
      <c r="D29" s="187"/>
      <c r="E29" s="187"/>
      <c r="F29" s="76"/>
      <c r="G29" s="76"/>
      <c r="H29" s="76"/>
      <c r="I29" s="76"/>
      <c r="J29" s="187"/>
      <c r="K29" s="74"/>
      <c r="L29" s="74"/>
      <c r="M29" s="75"/>
      <c r="N29" s="74"/>
      <c r="O29" s="13"/>
      <c r="P29" s="72"/>
      <c r="Q29" s="72"/>
      <c r="R29" s="72"/>
      <c r="S29" s="72"/>
      <c r="T29" s="72"/>
      <c r="U29" s="72"/>
      <c r="V29" s="72"/>
      <c r="W29" s="72"/>
      <c r="X29" s="72"/>
      <c r="Y29" s="72"/>
      <c r="Z29" s="65"/>
    </row>
    <row r="30" spans="2:26" ht="16.2" x14ac:dyDescent="0.35">
      <c r="B30" s="60" t="s">
        <v>82</v>
      </c>
      <c r="C30" s="191">
        <v>86</v>
      </c>
      <c r="D30" s="191">
        <v>89</v>
      </c>
      <c r="E30" s="191">
        <v>89</v>
      </c>
      <c r="F30" s="156"/>
      <c r="G30" s="156"/>
      <c r="H30" s="156"/>
      <c r="I30" s="156"/>
      <c r="J30" s="191">
        <v>92</v>
      </c>
      <c r="K30" s="155"/>
      <c r="L30" s="155"/>
      <c r="M30" s="155"/>
      <c r="N30" s="155"/>
      <c r="O30" s="191">
        <v>91</v>
      </c>
      <c r="P30" s="13"/>
      <c r="Q30" s="13"/>
      <c r="R30" s="13"/>
      <c r="S30" s="13"/>
      <c r="T30" s="13"/>
      <c r="U30" s="13"/>
      <c r="V30" s="13"/>
      <c r="W30" s="13"/>
      <c r="X30" s="13"/>
      <c r="Y30" s="13"/>
      <c r="Z30" s="65"/>
    </row>
    <row r="31" spans="2:26" ht="16.2" x14ac:dyDescent="0.35">
      <c r="B31" s="60" t="s">
        <v>94</v>
      </c>
      <c r="C31" s="192">
        <v>0.88</v>
      </c>
      <c r="D31" s="192">
        <v>0.88</v>
      </c>
      <c r="E31" s="192">
        <v>0.88</v>
      </c>
      <c r="F31" s="157"/>
      <c r="G31" s="157"/>
      <c r="H31" s="157"/>
      <c r="I31" s="157"/>
      <c r="J31" s="192">
        <v>0.88</v>
      </c>
      <c r="K31" s="155"/>
      <c r="L31" s="155"/>
      <c r="M31" s="155"/>
      <c r="N31" s="155"/>
      <c r="O31" s="192">
        <v>0.89</v>
      </c>
      <c r="P31" s="220">
        <v>0.89</v>
      </c>
      <c r="Q31" s="220">
        <v>0.89</v>
      </c>
      <c r="R31" s="220">
        <v>0.89</v>
      </c>
      <c r="S31" s="220">
        <v>0.87</v>
      </c>
      <c r="T31" s="220">
        <v>0.87</v>
      </c>
      <c r="U31" s="220">
        <v>0.87</v>
      </c>
      <c r="V31" s="220">
        <v>0.86</v>
      </c>
      <c r="W31" s="220">
        <v>0.86</v>
      </c>
      <c r="X31" s="220">
        <v>0.86</v>
      </c>
      <c r="Y31" s="220">
        <v>0.84</v>
      </c>
      <c r="Z31" s="65"/>
    </row>
    <row r="32" spans="2:26" ht="16.2" x14ac:dyDescent="0.35">
      <c r="B32" s="60" t="s">
        <v>83</v>
      </c>
      <c r="C32" s="192"/>
      <c r="D32" s="220">
        <f>E32</f>
        <v>0.91</v>
      </c>
      <c r="E32" s="192">
        <v>0.91</v>
      </c>
      <c r="F32" s="157"/>
      <c r="G32" s="157"/>
      <c r="H32" s="157"/>
      <c r="I32" s="157"/>
      <c r="J32" s="192">
        <v>0.89</v>
      </c>
      <c r="K32" s="155"/>
      <c r="L32" s="155"/>
      <c r="M32" s="155"/>
      <c r="N32" s="155"/>
      <c r="O32" s="192">
        <v>0.93</v>
      </c>
      <c r="P32" s="220">
        <v>0.92</v>
      </c>
      <c r="Q32" s="220">
        <f>P32</f>
        <v>0.92</v>
      </c>
      <c r="R32" s="220">
        <f t="shared" ref="R32" si="20">Q32</f>
        <v>0.92</v>
      </c>
      <c r="S32" s="220">
        <v>0.9</v>
      </c>
      <c r="T32" s="220">
        <v>0.9</v>
      </c>
      <c r="U32" s="220">
        <v>0.9</v>
      </c>
      <c r="V32" s="220">
        <v>0.88</v>
      </c>
      <c r="W32" s="220">
        <v>0.88</v>
      </c>
      <c r="X32" s="220">
        <v>0.88</v>
      </c>
      <c r="Y32" s="220">
        <v>0.86</v>
      </c>
      <c r="Z32" s="65"/>
    </row>
    <row r="33" spans="2:37" ht="16.2" x14ac:dyDescent="0.35">
      <c r="B33" s="60"/>
      <c r="C33" s="13"/>
      <c r="D33" s="220"/>
      <c r="E33" s="13"/>
      <c r="F33" s="74"/>
      <c r="G33" s="74"/>
      <c r="H33" s="74"/>
      <c r="I33" s="74"/>
      <c r="J33" s="187"/>
      <c r="K33" s="767"/>
      <c r="L33" s="76"/>
      <c r="M33" s="76"/>
      <c r="N33" s="768"/>
      <c r="O33" s="187"/>
      <c r="P33" s="187"/>
      <c r="Q33" s="187"/>
      <c r="R33" s="187"/>
      <c r="S33" s="187"/>
      <c r="T33" s="187"/>
      <c r="U33" s="13"/>
      <c r="V33" s="13"/>
      <c r="W33" s="13"/>
      <c r="X33" s="13"/>
      <c r="Y33" s="13"/>
      <c r="Z33" s="65"/>
    </row>
    <row r="34" spans="2:37" s="6" customFormat="1" ht="16.2" x14ac:dyDescent="0.35">
      <c r="B34" s="3"/>
      <c r="C34" s="193"/>
      <c r="D34" s="13"/>
      <c r="E34" s="193"/>
      <c r="F34" s="77"/>
      <c r="G34" s="77"/>
      <c r="H34" s="77"/>
      <c r="I34" s="77"/>
      <c r="J34" s="187"/>
      <c r="K34" s="767"/>
      <c r="L34" s="76"/>
      <c r="M34" s="76"/>
      <c r="N34" s="768"/>
      <c r="O34" s="187"/>
      <c r="P34" s="187"/>
      <c r="Q34" s="187"/>
      <c r="R34" s="187"/>
      <c r="S34" s="187"/>
      <c r="T34" s="187"/>
      <c r="U34" s="227"/>
      <c r="V34" s="227"/>
      <c r="W34" s="227"/>
      <c r="X34" s="227"/>
      <c r="Y34" s="227"/>
    </row>
    <row r="35" spans="2:37" ht="16.2" x14ac:dyDescent="0.35">
      <c r="B35" s="9" t="s">
        <v>1</v>
      </c>
      <c r="C35" s="193"/>
      <c r="D35" s="193"/>
      <c r="E35" s="193"/>
      <c r="F35" s="77"/>
      <c r="G35" s="77"/>
      <c r="H35" s="77"/>
      <c r="I35" s="77"/>
      <c r="J35" s="193"/>
      <c r="K35" s="77"/>
      <c r="L35" s="77"/>
      <c r="M35" s="78"/>
      <c r="N35" s="77"/>
      <c r="O35" s="227"/>
      <c r="P35" s="227"/>
      <c r="Q35" s="227"/>
      <c r="R35" s="227"/>
      <c r="S35" s="227"/>
      <c r="T35" s="227"/>
      <c r="U35" s="227"/>
      <c r="V35" s="227"/>
      <c r="W35" s="227"/>
      <c r="X35" s="227"/>
      <c r="Y35" s="227"/>
      <c r="AB35" s="364"/>
      <c r="AC35" s="364"/>
      <c r="AD35" s="364"/>
      <c r="AE35" s="364"/>
      <c r="AF35" s="364"/>
      <c r="AG35" s="364"/>
      <c r="AH35" s="364"/>
      <c r="AI35" s="364"/>
      <c r="AJ35" s="364"/>
      <c r="AK35" s="364"/>
    </row>
    <row r="36" spans="2:37" ht="16.2" x14ac:dyDescent="0.35">
      <c r="B36" s="103" t="s">
        <v>32</v>
      </c>
      <c r="C36" s="194">
        <f t="shared" ref="C36:Y36" si="21">SUM(C39,C45,C51,C56,C59,C64,C68,C73,C77)</f>
        <v>42711</v>
      </c>
      <c r="D36" s="194">
        <f t="shared" si="21"/>
        <v>60148</v>
      </c>
      <c r="E36" s="194">
        <f t="shared" si="21"/>
        <v>77486</v>
      </c>
      <c r="F36" s="79">
        <f t="shared" si="21"/>
        <v>20425</v>
      </c>
      <c r="G36" s="79">
        <f t="shared" si="21"/>
        <v>29924</v>
      </c>
      <c r="H36" s="79">
        <f t="shared" si="21"/>
        <v>32015</v>
      </c>
      <c r="I36" s="95">
        <f t="shared" si="21"/>
        <v>34650</v>
      </c>
      <c r="J36" s="194">
        <f t="shared" si="21"/>
        <v>117014</v>
      </c>
      <c r="K36" s="79">
        <f t="shared" si="21"/>
        <v>31228</v>
      </c>
      <c r="L36" s="79">
        <f t="shared" si="21"/>
        <v>38173</v>
      </c>
      <c r="M36" s="79">
        <f t="shared" si="21"/>
        <v>41681</v>
      </c>
      <c r="N36" s="79">
        <f t="shared" si="21"/>
        <v>40230</v>
      </c>
      <c r="O36" s="194">
        <f t="shared" si="21"/>
        <v>151312</v>
      </c>
      <c r="P36" s="194">
        <f t="shared" ca="1" si="21"/>
        <v>204564.07686898424</v>
      </c>
      <c r="Q36" s="194">
        <f t="shared" ca="1" si="21"/>
        <v>268384.54059378145</v>
      </c>
      <c r="R36" s="194">
        <f t="shared" ca="1" si="21"/>
        <v>345746.05598701164</v>
      </c>
      <c r="S36" s="194">
        <f t="shared" ca="1" si="21"/>
        <v>435592.910420948</v>
      </c>
      <c r="T36" s="194">
        <f t="shared" ca="1" si="21"/>
        <v>545553.46269504935</v>
      </c>
      <c r="U36" s="194">
        <f t="shared" ca="1" si="21"/>
        <v>680243.24202084786</v>
      </c>
      <c r="V36" s="194">
        <f t="shared" ca="1" si="21"/>
        <v>839094.4861543423</v>
      </c>
      <c r="W36" s="194">
        <f t="shared" ca="1" si="21"/>
        <v>1032174.5740991983</v>
      </c>
      <c r="X36" s="194">
        <f t="shared" ca="1" si="21"/>
        <v>1266216.5510042496</v>
      </c>
      <c r="Y36" s="194">
        <f t="shared" ca="1" si="21"/>
        <v>1534870.8535552607</v>
      </c>
    </row>
    <row r="37" spans="2:37" ht="16.2" x14ac:dyDescent="0.35">
      <c r="B37" s="64" t="s">
        <v>86</v>
      </c>
      <c r="C37" s="195"/>
      <c r="D37" s="189">
        <f>(D36/C36)-1</f>
        <v>0.40825548453559968</v>
      </c>
      <c r="E37" s="189">
        <f t="shared" ref="E37" si="22">(E36/D36)-1</f>
        <v>0.28825563609762583</v>
      </c>
      <c r="F37" s="647">
        <f t="shared" ref="F37" si="23">(F36/E36)-1</f>
        <v>-0.73640399556048841</v>
      </c>
      <c r="G37" s="647">
        <f t="shared" ref="G37" si="24">(G36/F36)-1</f>
        <v>0.46506731946144431</v>
      </c>
      <c r="H37" s="647">
        <f t="shared" ref="H37" si="25">(H36/G36)-1</f>
        <v>6.9877021788530946E-2</v>
      </c>
      <c r="I37" s="647">
        <f t="shared" ref="I37" si="26">(I36/H36)-1</f>
        <v>8.2305169451819538E-2</v>
      </c>
      <c r="J37" s="189">
        <f>(J36/E36)-1</f>
        <v>0.5101308623493277</v>
      </c>
      <c r="K37" s="647">
        <f t="shared" ref="K37" si="27">(K36/F36)-1</f>
        <v>0.52891064871481031</v>
      </c>
      <c r="L37" s="647">
        <f t="shared" ref="L37" si="28">(L36/G36)-1</f>
        <v>0.27566501804571586</v>
      </c>
      <c r="M37" s="647">
        <f t="shared" ref="M37" si="29">(M36/H36)-1</f>
        <v>0.30192097454318279</v>
      </c>
      <c r="N37" s="647">
        <f t="shared" ref="N37" si="30">(N36/I36)-1</f>
        <v>0.16103896103896109</v>
      </c>
      <c r="O37" s="189">
        <f>(O36/J36)-1</f>
        <v>0.29311022612678816</v>
      </c>
      <c r="P37" s="215">
        <f ca="1">(P36/O36)-1</f>
        <v>0.35193558256439839</v>
      </c>
      <c r="Q37" s="215">
        <f t="shared" ref="Q37:Y37" ca="1" si="31">(Q36/P36)-1</f>
        <v>0.31198275230734618</v>
      </c>
      <c r="R37" s="215">
        <f t="shared" ca="1" si="31"/>
        <v>0.28824877625988976</v>
      </c>
      <c r="S37" s="215">
        <f t="shared" ca="1" si="31"/>
        <v>0.25986371464874081</v>
      </c>
      <c r="T37" s="215">
        <f t="shared" ca="1" si="31"/>
        <v>0.25243880155863363</v>
      </c>
      <c r="U37" s="215">
        <f t="shared" ca="1" si="31"/>
        <v>0.24688648965846038</v>
      </c>
      <c r="V37" s="215">
        <f t="shared" ca="1" si="31"/>
        <v>0.23352123817001624</v>
      </c>
      <c r="W37" s="215">
        <f t="shared" ca="1" si="31"/>
        <v>0.23010529938024282</v>
      </c>
      <c r="X37" s="215">
        <f t="shared" ca="1" si="31"/>
        <v>0.22674650468822577</v>
      </c>
      <c r="Y37" s="215">
        <f t="shared" ca="1" si="31"/>
        <v>0.21217089789099552</v>
      </c>
    </row>
    <row r="38" spans="2:37" ht="16.2" x14ac:dyDescent="0.35">
      <c r="B38" s="102" t="s">
        <v>146</v>
      </c>
      <c r="C38" s="196"/>
      <c r="D38" s="196"/>
      <c r="E38" s="196"/>
      <c r="F38" s="168">
        <f>SUM(F39,F45,F51,F56,F59)</f>
        <v>18186</v>
      </c>
      <c r="G38" s="168">
        <f>SUM(G39,G45,G51,G56,G59)</f>
        <v>24734</v>
      </c>
      <c r="H38" s="168">
        <f>SUM(H39,H45,H51,H56,H59)</f>
        <v>26419</v>
      </c>
      <c r="I38" s="168">
        <f>SUM(I39,I45,I51,I56,I59)</f>
        <v>25729</v>
      </c>
      <c r="J38" s="196"/>
      <c r="K38" s="168">
        <f>SUM(K39,K45,K51,K56,K59)</f>
        <v>26700</v>
      </c>
      <c r="L38" s="168">
        <f>SUM(L39,L45,L51,L56,L59)</f>
        <v>34709</v>
      </c>
      <c r="M38" s="168">
        <f>SUM(M39,M45,M51,M56,M59)</f>
        <v>37241</v>
      </c>
      <c r="N38" s="168">
        <f>SUM(N39,N45,N51,N56,N59)</f>
        <v>34770</v>
      </c>
      <c r="O38" s="196"/>
      <c r="P38" s="196"/>
      <c r="Q38" s="196"/>
      <c r="R38" s="196"/>
      <c r="S38" s="196"/>
      <c r="T38" s="196"/>
      <c r="U38" s="196"/>
      <c r="V38" s="196"/>
      <c r="W38" s="196"/>
      <c r="X38" s="196"/>
      <c r="Y38" s="196"/>
    </row>
    <row r="39" spans="2:37" ht="16.2" x14ac:dyDescent="0.35">
      <c r="B39" s="59" t="s">
        <v>87</v>
      </c>
      <c r="C39" s="197">
        <v>15162</v>
      </c>
      <c r="D39" s="221">
        <v>18357</v>
      </c>
      <c r="E39" s="221">
        <v>22924</v>
      </c>
      <c r="F39" s="93">
        <v>5733</v>
      </c>
      <c r="G39" s="93">
        <v>7718</v>
      </c>
      <c r="H39" s="93">
        <v>7931</v>
      </c>
      <c r="I39" s="93">
        <f>J39-H39-G39-F39</f>
        <v>7509</v>
      </c>
      <c r="J39" s="221">
        <v>28891</v>
      </c>
      <c r="K39" s="93">
        <v>7757</v>
      </c>
      <c r="L39" s="93">
        <v>10310</v>
      </c>
      <c r="M39" s="93">
        <v>10969</v>
      </c>
      <c r="N39" s="93">
        <f>O39-M39-L39-K39</f>
        <v>10075</v>
      </c>
      <c r="O39" s="221">
        <v>39111</v>
      </c>
      <c r="P39" s="203">
        <f>P44</f>
        <v>52127.144726115723</v>
      </c>
      <c r="Q39" s="203">
        <f t="shared" ref="Q39:Y39" si="32">Q44</f>
        <v>65408.136992129352</v>
      </c>
      <c r="R39" s="203">
        <f t="shared" si="32"/>
        <v>78864.238485303635</v>
      </c>
      <c r="S39" s="203">
        <f t="shared" si="32"/>
        <v>90311.429546710991</v>
      </c>
      <c r="T39" s="203">
        <f t="shared" si="32"/>
        <v>101806.85609116381</v>
      </c>
      <c r="U39" s="203">
        <f t="shared" si="32"/>
        <v>113213.93268256889</v>
      </c>
      <c r="V39" s="203">
        <f t="shared" si="32"/>
        <v>122944.33271182796</v>
      </c>
      <c r="W39" s="203">
        <f t="shared" si="32"/>
        <v>132453.85341258199</v>
      </c>
      <c r="X39" s="203">
        <f t="shared" si="32"/>
        <v>141529.68825831392</v>
      </c>
      <c r="Y39" s="203">
        <f t="shared" si="32"/>
        <v>146467.05114073795</v>
      </c>
    </row>
    <row r="40" spans="2:37" ht="16.2" x14ac:dyDescent="0.35">
      <c r="B40" s="64" t="s">
        <v>86</v>
      </c>
      <c r="C40" s="195"/>
      <c r="D40" s="189">
        <f>(D39/C39)-1</f>
        <v>0.21072417886822326</v>
      </c>
      <c r="E40" s="189">
        <f t="shared" ref="E40" si="33">(E39/D39)-1</f>
        <v>0.24878792831072616</v>
      </c>
      <c r="F40" s="647">
        <f t="shared" ref="F40" si="34">(F39/E39)-1</f>
        <v>-0.74991275519106615</v>
      </c>
      <c r="G40" s="647">
        <f t="shared" ref="G40" si="35">(G39/F39)-1</f>
        <v>0.34624106052677472</v>
      </c>
      <c r="H40" s="647">
        <f t="shared" ref="H40" si="36">(H39/G39)-1</f>
        <v>2.7597823270277377E-2</v>
      </c>
      <c r="I40" s="647">
        <f t="shared" ref="I40" si="37">(I39/H39)-1</f>
        <v>-5.3208926995334749E-2</v>
      </c>
      <c r="J40" s="189">
        <f>(J39/E39)-1</f>
        <v>0.26029488745419638</v>
      </c>
      <c r="K40" s="647">
        <f t="shared" ref="K40" si="38">(K39/F39)-1</f>
        <v>0.35304378161521011</v>
      </c>
      <c r="L40" s="647">
        <f t="shared" ref="L40" si="39">(L39/G39)-1</f>
        <v>0.33583830007774029</v>
      </c>
      <c r="M40" s="647">
        <f t="shared" ref="M40" si="40">(M39/H39)-1</f>
        <v>0.38305383936451887</v>
      </c>
      <c r="N40" s="647">
        <f t="shared" ref="N40" si="41">(N39/I39)-1</f>
        <v>0.34172326541483544</v>
      </c>
      <c r="O40" s="189">
        <f>(O39/J39)-1</f>
        <v>0.35374338029144026</v>
      </c>
      <c r="P40" s="189">
        <f>(P39/O39)-1</f>
        <v>0.33280010038392582</v>
      </c>
      <c r="Q40" s="189">
        <f t="shared" ref="Q40:Y40" si="42">(Q39/P39)-1</f>
        <v>0.25478073536914536</v>
      </c>
      <c r="R40" s="189">
        <f t="shared" si="42"/>
        <v>0.20572519126776956</v>
      </c>
      <c r="S40" s="189">
        <f t="shared" si="42"/>
        <v>0.14515059399883179</v>
      </c>
      <c r="T40" s="189">
        <f t="shared" si="42"/>
        <v>0.1272865084978767</v>
      </c>
      <c r="U40" s="189">
        <f t="shared" si="42"/>
        <v>0.11204625139578539</v>
      </c>
      <c r="V40" s="189">
        <f t="shared" si="42"/>
        <v>8.5947019052339702E-2</v>
      </c>
      <c r="W40" s="189">
        <f t="shared" si="42"/>
        <v>7.7348182636800544E-2</v>
      </c>
      <c r="X40" s="189">
        <f t="shared" si="42"/>
        <v>6.8520730895321735E-2</v>
      </c>
      <c r="Y40" s="189">
        <f t="shared" si="42"/>
        <v>3.4885704499062919E-2</v>
      </c>
    </row>
    <row r="41" spans="2:37" x14ac:dyDescent="0.3">
      <c r="B41" s="64" t="s">
        <v>93</v>
      </c>
      <c r="C41" s="198">
        <f>C39/C$36</f>
        <v>0.35499051766523848</v>
      </c>
      <c r="D41" s="198">
        <f t="shared" ref="D41:O41" si="43">D39/D$36</f>
        <v>0.30519718028862142</v>
      </c>
      <c r="E41" s="198">
        <f t="shared" si="43"/>
        <v>0.2958469917146323</v>
      </c>
      <c r="F41" s="82">
        <f t="shared" si="43"/>
        <v>0.28068543451652389</v>
      </c>
      <c r="G41" s="82">
        <f t="shared" si="43"/>
        <v>0.25792006416254509</v>
      </c>
      <c r="H41" s="82">
        <f t="shared" si="43"/>
        <v>0.24772762767452758</v>
      </c>
      <c r="I41" s="82">
        <f t="shared" si="43"/>
        <v>0.21670995670995671</v>
      </c>
      <c r="J41" s="198">
        <f t="shared" si="43"/>
        <v>0.24690208009298031</v>
      </c>
      <c r="K41" s="82">
        <f t="shared" si="43"/>
        <v>0.24839887280645576</v>
      </c>
      <c r="L41" s="82">
        <f t="shared" si="43"/>
        <v>0.27008618657166061</v>
      </c>
      <c r="M41" s="82">
        <f t="shared" si="43"/>
        <v>0.26316547107794919</v>
      </c>
      <c r="N41" s="82">
        <f t="shared" si="43"/>
        <v>0.25043499875714642</v>
      </c>
      <c r="O41" s="198">
        <f t="shared" si="43"/>
        <v>0.25847916886962041</v>
      </c>
      <c r="P41" s="198">
        <f t="shared" ref="P41:Y41" ca="1" si="44">P39/P36</f>
        <v>0.25482061916228449</v>
      </c>
      <c r="Q41" s="198">
        <f t="shared" ca="1" si="44"/>
        <v>0.24371052389015613</v>
      </c>
      <c r="R41" s="198">
        <f t="shared" ca="1" si="44"/>
        <v>0.22809873639821437</v>
      </c>
      <c r="S41" s="198">
        <f t="shared" ca="1" si="44"/>
        <v>0.20732988849482395</v>
      </c>
      <c r="T41" s="198">
        <f t="shared" ca="1" si="44"/>
        <v>0.18661206105857175</v>
      </c>
      <c r="U41" s="198">
        <f t="shared" ca="1" si="44"/>
        <v>0.1664315434376622</v>
      </c>
      <c r="V41" s="198">
        <f t="shared" ca="1" si="44"/>
        <v>0.14652024860191215</v>
      </c>
      <c r="W41" s="198">
        <f t="shared" ca="1" si="44"/>
        <v>0.12832504959558552</v>
      </c>
      <c r="X41" s="198">
        <f t="shared" ca="1" si="44"/>
        <v>0.11177368369262371</v>
      </c>
      <c r="Y41" s="198">
        <f t="shared" ca="1" si="44"/>
        <v>9.5426303002283594E-2</v>
      </c>
    </row>
    <row r="42" spans="2:37" x14ac:dyDescent="0.3">
      <c r="B42" s="104" t="s">
        <v>142</v>
      </c>
      <c r="C42" s="199"/>
      <c r="D42" s="222">
        <f t="shared" ref="D42:E42" si="45">D31*(C39+C51)</f>
        <v>18415.759999999998</v>
      </c>
      <c r="E42" s="222">
        <f t="shared" si="45"/>
        <v>24379.52</v>
      </c>
      <c r="F42" s="105"/>
      <c r="G42" s="105"/>
      <c r="H42" s="105"/>
      <c r="I42" s="105"/>
      <c r="J42" s="222">
        <f t="shared" ref="J42:O42" si="46">J31*(E39+E51)</f>
        <v>30698.799999999999</v>
      </c>
      <c r="K42" s="105"/>
      <c r="L42" s="105"/>
      <c r="M42" s="105"/>
      <c r="N42" s="105"/>
      <c r="O42" s="222">
        <f t="shared" si="46"/>
        <v>41131.35</v>
      </c>
      <c r="P42" s="222">
        <f>P31*(O39+O51)</f>
        <v>54484.91</v>
      </c>
      <c r="Q42" s="222">
        <f t="shared" ref="Q42:Y42" si="47">Q31*(P39+P51)</f>
        <v>69020.696806242995</v>
      </c>
      <c r="R42" s="222">
        <f t="shared" si="47"/>
        <v>84008.635242995108</v>
      </c>
      <c r="S42" s="222">
        <f t="shared" si="47"/>
        <v>97105.652845014149</v>
      </c>
      <c r="T42" s="222">
        <f t="shared" si="47"/>
        <v>110483.96091197454</v>
      </c>
      <c r="U42" s="222">
        <f t="shared" si="47"/>
        <v>123995.41389834546</v>
      </c>
      <c r="V42" s="222">
        <f t="shared" si="47"/>
        <v>135881.8934261876</v>
      </c>
      <c r="W42" s="222">
        <f t="shared" si="47"/>
        <v>147716.64947007643</v>
      </c>
      <c r="X42" s="222">
        <f t="shared" si="47"/>
        <v>159253.59913975725</v>
      </c>
      <c r="Y42" s="222">
        <f t="shared" si="47"/>
        <v>166273.94365116642</v>
      </c>
    </row>
    <row r="43" spans="2:37" ht="16.8" thickBot="1" x14ac:dyDescent="0.4">
      <c r="B43" s="104" t="s">
        <v>95</v>
      </c>
      <c r="C43" s="199"/>
      <c r="D43" s="199">
        <f>D42/D39</f>
        <v>1.003200958762325</v>
      </c>
      <c r="E43" s="199">
        <f t="shared" ref="E43:O43" si="48">E42/E39</f>
        <v>1.0634932821497121</v>
      </c>
      <c r="F43" s="82"/>
      <c r="G43" s="82"/>
      <c r="H43" s="82"/>
      <c r="I43" s="82"/>
      <c r="J43" s="199">
        <f t="shared" si="48"/>
        <v>1.0625731196566404</v>
      </c>
      <c r="K43" s="82"/>
      <c r="L43" s="82"/>
      <c r="M43" s="82"/>
      <c r="N43" s="82"/>
      <c r="O43" s="199">
        <f t="shared" si="48"/>
        <v>1.0516568228887013</v>
      </c>
      <c r="P43" s="231">
        <f>1+$O$44</f>
        <v>1.0452310458643448</v>
      </c>
      <c r="Q43" s="231">
        <f>P43+$Z$43</f>
        <v>1.0552310458643448</v>
      </c>
      <c r="R43" s="231">
        <f t="shared" ref="R43:Y43" si="49">Q43+$Z$43</f>
        <v>1.0652310458643448</v>
      </c>
      <c r="S43" s="231">
        <f t="shared" si="49"/>
        <v>1.0752310458643448</v>
      </c>
      <c r="T43" s="231">
        <f t="shared" si="49"/>
        <v>1.0852310458643448</v>
      </c>
      <c r="U43" s="231">
        <f t="shared" si="49"/>
        <v>1.0952310458643448</v>
      </c>
      <c r="V43" s="231">
        <f t="shared" si="49"/>
        <v>1.1052310458643448</v>
      </c>
      <c r="W43" s="231">
        <f t="shared" si="49"/>
        <v>1.1152310458643448</v>
      </c>
      <c r="X43" s="231">
        <f t="shared" si="49"/>
        <v>1.1252310458643449</v>
      </c>
      <c r="Y43" s="231">
        <f t="shared" si="49"/>
        <v>1.1352310458643449</v>
      </c>
      <c r="Z43" s="141">
        <v>0.01</v>
      </c>
    </row>
    <row r="44" spans="2:37" ht="16.8" thickBot="1" x14ac:dyDescent="0.4">
      <c r="B44" s="107" t="s">
        <v>96</v>
      </c>
      <c r="C44" s="199"/>
      <c r="D44" s="199"/>
      <c r="E44" s="199"/>
      <c r="F44" s="82"/>
      <c r="G44" s="82"/>
      <c r="H44" s="82"/>
      <c r="I44" s="82"/>
      <c r="J44" s="226" t="s">
        <v>97</v>
      </c>
      <c r="K44" s="158"/>
      <c r="L44" s="158"/>
      <c r="M44" s="158"/>
      <c r="N44" s="158"/>
      <c r="O44" s="228">
        <f>ABS(1-(AVERAGE(O43,J43,E43,D43)))</f>
        <v>4.5231045864344788E-2</v>
      </c>
      <c r="P44" s="232">
        <f>P42/P43</f>
        <v>52127.144726115723</v>
      </c>
      <c r="Q44" s="232">
        <f>Q42/Q43</f>
        <v>65408.136992129352</v>
      </c>
      <c r="R44" s="232">
        <f t="shared" ref="R44:Y44" si="50">R42/R43</f>
        <v>78864.238485303635</v>
      </c>
      <c r="S44" s="232">
        <f t="shared" si="50"/>
        <v>90311.429546710991</v>
      </c>
      <c r="T44" s="232">
        <f t="shared" si="50"/>
        <v>101806.85609116381</v>
      </c>
      <c r="U44" s="232">
        <f t="shared" si="50"/>
        <v>113213.93268256889</v>
      </c>
      <c r="V44" s="232">
        <f t="shared" si="50"/>
        <v>122944.33271182796</v>
      </c>
      <c r="W44" s="232">
        <f t="shared" si="50"/>
        <v>132453.85341258199</v>
      </c>
      <c r="X44" s="232">
        <f t="shared" si="50"/>
        <v>141529.68825831392</v>
      </c>
      <c r="Y44" s="232">
        <f t="shared" si="50"/>
        <v>146467.05114073795</v>
      </c>
    </row>
    <row r="45" spans="2:37" ht="16.2" x14ac:dyDescent="0.35">
      <c r="B45" s="60" t="s">
        <v>140</v>
      </c>
      <c r="C45" s="197">
        <v>7704</v>
      </c>
      <c r="D45" s="221">
        <v>12104</v>
      </c>
      <c r="E45" s="221">
        <v>19462</v>
      </c>
      <c r="F45" s="93">
        <v>5386</v>
      </c>
      <c r="G45" s="93">
        <v>7903</v>
      </c>
      <c r="H45" s="93">
        <v>8117</v>
      </c>
      <c r="I45" s="93">
        <f t="shared" ref="I45:I59" si="51">J45-H45-G45-F45</f>
        <v>7903</v>
      </c>
      <c r="J45" s="221">
        <v>29309</v>
      </c>
      <c r="K45" s="93">
        <v>8746</v>
      </c>
      <c r="L45" s="93">
        <v>11670</v>
      </c>
      <c r="M45" s="93">
        <v>13206</v>
      </c>
      <c r="N45" s="93">
        <f>O45-M45-L45-K45</f>
        <v>12457</v>
      </c>
      <c r="O45" s="221">
        <v>46079</v>
      </c>
      <c r="P45" s="203">
        <f>P50</f>
        <v>70838.158830337285</v>
      </c>
      <c r="Q45" s="203">
        <f t="shared" ref="Q45:Y45" si="52">Q50</f>
        <v>105762.0114915931</v>
      </c>
      <c r="R45" s="203">
        <f t="shared" si="52"/>
        <v>153637.73885088679</v>
      </c>
      <c r="S45" s="203">
        <f t="shared" si="52"/>
        <v>216216.58417248944</v>
      </c>
      <c r="T45" s="203">
        <f t="shared" si="52"/>
        <v>298079.42247692862</v>
      </c>
      <c r="U45" s="203">
        <f t="shared" si="52"/>
        <v>403635.47604362108</v>
      </c>
      <c r="V45" s="203">
        <f t="shared" si="52"/>
        <v>534236.60499374603</v>
      </c>
      <c r="W45" s="203">
        <f t="shared" si="52"/>
        <v>697480.71148049459</v>
      </c>
      <c r="X45" s="203">
        <f t="shared" si="52"/>
        <v>899458.65560913773</v>
      </c>
      <c r="Y45" s="203">
        <f t="shared" si="52"/>
        <v>1138901.4071780967</v>
      </c>
    </row>
    <row r="46" spans="2:37" ht="16.2" x14ac:dyDescent="0.35">
      <c r="B46" s="64" t="s">
        <v>86</v>
      </c>
      <c r="C46" s="195"/>
      <c r="D46" s="189">
        <f>(D45/C45)-1</f>
        <v>0.57113187954309441</v>
      </c>
      <c r="E46" s="189">
        <f t="shared" ref="E46" si="53">(E45/D45)-1</f>
        <v>0.60789821546596157</v>
      </c>
      <c r="F46" s="647">
        <f t="shared" ref="F46" si="54">(F45/E45)-1</f>
        <v>-0.72325557496660164</v>
      </c>
      <c r="G46" s="647">
        <f t="shared" ref="G46" si="55">(G45/F45)-1</f>
        <v>0.46732268845154112</v>
      </c>
      <c r="H46" s="647">
        <f t="shared" ref="H46" si="56">(H45/G45)-1</f>
        <v>2.7078324686827804E-2</v>
      </c>
      <c r="I46" s="647">
        <f t="shared" ref="I46" si="57">(I45/H45)-1</f>
        <v>-2.6364420352346873E-2</v>
      </c>
      <c r="J46" s="189">
        <f>(J45/E45)-1</f>
        <v>0.50596033295653076</v>
      </c>
      <c r="K46" s="647">
        <f t="shared" ref="K46" si="58">(K45/F45)-1</f>
        <v>0.62383958410694396</v>
      </c>
      <c r="L46" s="647">
        <f t="shared" ref="L46" si="59">(L45/G45)-1</f>
        <v>0.47665443502467419</v>
      </c>
      <c r="M46" s="647">
        <f t="shared" ref="M46" si="60">(M45/H45)-1</f>
        <v>0.62695577183688544</v>
      </c>
      <c r="N46" s="647">
        <f t="shared" ref="N46" si="61">(N45/I45)-1</f>
        <v>0.57623687207389596</v>
      </c>
      <c r="O46" s="189">
        <f>(O45/J45)-1</f>
        <v>0.57217919410420004</v>
      </c>
      <c r="P46" s="189">
        <f>(P45/O45)-1</f>
        <v>0.53731979492474413</v>
      </c>
      <c r="Q46" s="189">
        <f t="shared" ref="Q46:Y46" si="62">(Q45/P45)-1</f>
        <v>0.49300903973098831</v>
      </c>
      <c r="R46" s="189">
        <f t="shared" si="62"/>
        <v>0.45267413775596799</v>
      </c>
      <c r="S46" s="189">
        <f t="shared" si="62"/>
        <v>0.40731428221772115</v>
      </c>
      <c r="T46" s="189">
        <f t="shared" si="62"/>
        <v>0.37861498283190009</v>
      </c>
      <c r="U46" s="189">
        <f t="shared" si="62"/>
        <v>0.3541205652156767</v>
      </c>
      <c r="V46" s="189">
        <f t="shared" si="62"/>
        <v>0.32356206701714907</v>
      </c>
      <c r="W46" s="189">
        <f t="shared" si="62"/>
        <v>0.30556518396686716</v>
      </c>
      <c r="X46" s="189">
        <f t="shared" si="62"/>
        <v>0.28958212148966589</v>
      </c>
      <c r="Y46" s="189">
        <f t="shared" si="62"/>
        <v>0.26620762396999997</v>
      </c>
    </row>
    <row r="47" spans="2:37" x14ac:dyDescent="0.3">
      <c r="B47" s="64" t="s">
        <v>93</v>
      </c>
      <c r="C47" s="198">
        <f>C45/C$36</f>
        <v>0.18037507901945635</v>
      </c>
      <c r="D47" s="198">
        <f t="shared" ref="D47:O47" si="63">D45/D$36</f>
        <v>0.20123694885947996</v>
      </c>
      <c r="E47" s="198">
        <f t="shared" si="63"/>
        <v>0.25116795292052757</v>
      </c>
      <c r="F47" s="82">
        <f t="shared" si="63"/>
        <v>0.26369645042839657</v>
      </c>
      <c r="G47" s="82">
        <f t="shared" si="63"/>
        <v>0.26410239272824487</v>
      </c>
      <c r="H47" s="82">
        <f t="shared" si="63"/>
        <v>0.25353740434171484</v>
      </c>
      <c r="I47" s="82">
        <f t="shared" si="63"/>
        <v>0.22808080808080808</v>
      </c>
      <c r="J47" s="198">
        <f t="shared" si="63"/>
        <v>0.25047430222024714</v>
      </c>
      <c r="K47" s="82">
        <f t="shared" si="63"/>
        <v>0.28006916869476112</v>
      </c>
      <c r="L47" s="82">
        <f t="shared" si="63"/>
        <v>0.30571346239488645</v>
      </c>
      <c r="M47" s="82">
        <f t="shared" si="63"/>
        <v>0.31683500875698761</v>
      </c>
      <c r="N47" s="82">
        <f t="shared" si="63"/>
        <v>0.30964454387273177</v>
      </c>
      <c r="O47" s="198">
        <f t="shared" si="63"/>
        <v>0.30452971343978008</v>
      </c>
      <c r="P47" s="198">
        <f t="shared" ref="P47" ca="1" si="64">P45/P$36</f>
        <v>0.34628836066709073</v>
      </c>
      <c r="Q47" s="198">
        <f t="shared" ref="Q47:Y47" ca="1" si="65">Q45/Q$36</f>
        <v>0.39406894025118688</v>
      </c>
      <c r="R47" s="198">
        <f t="shared" ca="1" si="65"/>
        <v>0.44436584652366468</v>
      </c>
      <c r="S47" s="198">
        <f t="shared" ca="1" si="65"/>
        <v>0.49637305612605631</v>
      </c>
      <c r="T47" s="198">
        <f t="shared" ca="1" si="65"/>
        <v>0.54637985616369833</v>
      </c>
      <c r="U47" s="198">
        <f t="shared" ca="1" si="65"/>
        <v>0.59336932895431926</v>
      </c>
      <c r="V47" s="198">
        <f t="shared" ca="1" si="65"/>
        <v>0.63668229717753033</v>
      </c>
      <c r="W47" s="198">
        <f t="shared" ca="1" si="65"/>
        <v>0.67573909393108378</v>
      </c>
      <c r="X47" s="198">
        <f t="shared" ca="1" si="65"/>
        <v>0.71035136517191122</v>
      </c>
      <c r="Y47" s="198">
        <f t="shared" ca="1" si="65"/>
        <v>0.74201774340820281</v>
      </c>
    </row>
    <row r="48" spans="2:37" x14ac:dyDescent="0.3">
      <c r="B48" s="104" t="s">
        <v>141</v>
      </c>
      <c r="C48" s="199"/>
      <c r="D48" s="222">
        <f>(((C45+C56)*D32)/2)+C45</f>
        <v>12739.94</v>
      </c>
      <c r="E48" s="222">
        <f>(((D45+D56)*E32)/2)+D45</f>
        <v>19828.535</v>
      </c>
      <c r="F48" s="105"/>
      <c r="G48" s="105"/>
      <c r="H48" s="105"/>
      <c r="I48" s="105"/>
      <c r="J48" s="222">
        <f>(((E45+E56)*J32)/2)+E45</f>
        <v>31303.895</v>
      </c>
      <c r="K48" s="105"/>
      <c r="L48" s="105"/>
      <c r="M48" s="105"/>
      <c r="N48" s="105"/>
      <c r="O48" s="222">
        <f>(((J45+J56)*O32)/2)+J45</f>
        <v>47877.380000000005</v>
      </c>
      <c r="P48" s="222">
        <f t="shared" ref="P48:Y48" si="66">(((O45+O56)*P32)/2)+O45</f>
        <v>73998.7</v>
      </c>
      <c r="Q48" s="222">
        <f t="shared" si="66"/>
        <v>111538.34814325743</v>
      </c>
      <c r="R48" s="222">
        <f t="shared" si="66"/>
        <v>163565.25110424033</v>
      </c>
      <c r="S48" s="222">
        <f t="shared" si="66"/>
        <v>232349.87979525019</v>
      </c>
      <c r="T48" s="222">
        <f t="shared" si="66"/>
        <v>323301.8197696922</v>
      </c>
      <c r="U48" s="222">
        <f t="shared" si="66"/>
        <v>441825.99768222868</v>
      </c>
      <c r="V48" s="222">
        <f t="shared" si="66"/>
        <v>590126.49680414214</v>
      </c>
      <c r="W48" s="222">
        <f t="shared" si="66"/>
        <v>777423.41547862755</v>
      </c>
      <c r="X48" s="222">
        <f t="shared" si="66"/>
        <v>1011545.9239847618</v>
      </c>
      <c r="Y48" s="222">
        <f t="shared" si="66"/>
        <v>1292216.1750170644</v>
      </c>
    </row>
    <row r="49" spans="2:27" ht="16.8" thickBot="1" x14ac:dyDescent="0.4">
      <c r="B49" s="104" t="s">
        <v>95</v>
      </c>
      <c r="C49" s="199"/>
      <c r="D49" s="199">
        <f>D48/D45</f>
        <v>1.0525396563119631</v>
      </c>
      <c r="E49" s="199">
        <f>E48/E45</f>
        <v>1.0188333675881205</v>
      </c>
      <c r="F49" s="82"/>
      <c r="G49" s="82"/>
      <c r="H49" s="82"/>
      <c r="I49" s="82"/>
      <c r="J49" s="199">
        <f>J48/J45</f>
        <v>1.0680642464771912</v>
      </c>
      <c r="K49" s="82"/>
      <c r="L49" s="82"/>
      <c r="M49" s="82"/>
      <c r="N49" s="82"/>
      <c r="O49" s="199">
        <f>O48/O45</f>
        <v>1.0390281907159444</v>
      </c>
      <c r="P49" s="231">
        <f>1+$O$50</f>
        <v>1.0446163652733049</v>
      </c>
      <c r="Q49" s="231">
        <f>P49+$Z$49</f>
        <v>1.0546163652733049</v>
      </c>
      <c r="R49" s="231">
        <f t="shared" ref="R49:Y49" si="67">Q49+$Z$49</f>
        <v>1.0646163652733049</v>
      </c>
      <c r="S49" s="231">
        <f t="shared" si="67"/>
        <v>1.074616365273305</v>
      </c>
      <c r="T49" s="231">
        <f t="shared" si="67"/>
        <v>1.084616365273305</v>
      </c>
      <c r="U49" s="231">
        <f t="shared" si="67"/>
        <v>1.094616365273305</v>
      </c>
      <c r="V49" s="231">
        <f t="shared" si="67"/>
        <v>1.104616365273305</v>
      </c>
      <c r="W49" s="231">
        <f t="shared" si="67"/>
        <v>1.114616365273305</v>
      </c>
      <c r="X49" s="231">
        <f t="shared" si="67"/>
        <v>1.124616365273305</v>
      </c>
      <c r="Y49" s="231">
        <f t="shared" si="67"/>
        <v>1.134616365273305</v>
      </c>
      <c r="Z49" s="141">
        <v>0.01</v>
      </c>
    </row>
    <row r="50" spans="2:27" ht="16.8" thickBot="1" x14ac:dyDescent="0.4">
      <c r="B50" s="107" t="s">
        <v>96</v>
      </c>
      <c r="C50" s="199"/>
      <c r="D50" s="199"/>
      <c r="E50" s="199"/>
      <c r="F50" s="82"/>
      <c r="G50" s="82"/>
      <c r="H50" s="82"/>
      <c r="I50" s="82"/>
      <c r="J50" s="226" t="s">
        <v>97</v>
      </c>
      <c r="K50" s="158"/>
      <c r="L50" s="158"/>
      <c r="M50" s="158"/>
      <c r="N50" s="158"/>
      <c r="O50" s="228">
        <f>ABS(1-(AVERAGE(O49,J49,E49,D49)))</f>
        <v>4.4616365273304925E-2</v>
      </c>
      <c r="P50" s="232">
        <f>P48/P49</f>
        <v>70838.158830337285</v>
      </c>
      <c r="Q50" s="232">
        <f>Q48/Q49</f>
        <v>105762.0114915931</v>
      </c>
      <c r="R50" s="232">
        <f t="shared" ref="R50:Y50" si="68">R48/R49</f>
        <v>153637.73885088679</v>
      </c>
      <c r="S50" s="232">
        <f t="shared" si="68"/>
        <v>216216.58417248944</v>
      </c>
      <c r="T50" s="232">
        <f t="shared" si="68"/>
        <v>298079.42247692862</v>
      </c>
      <c r="U50" s="232">
        <f t="shared" si="68"/>
        <v>403635.47604362108</v>
      </c>
      <c r="V50" s="232">
        <f t="shared" si="68"/>
        <v>534236.60499374603</v>
      </c>
      <c r="W50" s="232">
        <f t="shared" si="68"/>
        <v>697480.71148049459</v>
      </c>
      <c r="X50" s="232">
        <f t="shared" si="68"/>
        <v>899458.65560913773</v>
      </c>
      <c r="Y50" s="232">
        <f t="shared" si="68"/>
        <v>1138901.4071780967</v>
      </c>
    </row>
    <row r="51" spans="2:27" ht="16.2" x14ac:dyDescent="0.35">
      <c r="B51" s="60" t="s">
        <v>88</v>
      </c>
      <c r="C51" s="197">
        <v>5765</v>
      </c>
      <c r="D51" s="221">
        <v>9347</v>
      </c>
      <c r="E51" s="221">
        <v>11961</v>
      </c>
      <c r="F51" s="93">
        <v>3333</v>
      </c>
      <c r="G51" s="93">
        <v>4329</v>
      </c>
      <c r="H51" s="93">
        <v>4790</v>
      </c>
      <c r="I51" s="93">
        <f t="shared" si="51"/>
        <v>4872</v>
      </c>
      <c r="J51" s="221">
        <v>17324</v>
      </c>
      <c r="K51" s="93">
        <v>4616</v>
      </c>
      <c r="L51" s="93">
        <v>5944</v>
      </c>
      <c r="M51" s="93">
        <v>6013</v>
      </c>
      <c r="N51" s="93">
        <f>O51-M51-L51-K51</f>
        <v>5535</v>
      </c>
      <c r="O51" s="221">
        <v>22108</v>
      </c>
      <c r="P51" s="203">
        <f>O51*(1+P52)</f>
        <v>25424.199999999997</v>
      </c>
      <c r="Q51" s="203">
        <f t="shared" ref="Q51:Y51" si="69">P51*(1+Q52)</f>
        <v>28983.587999999992</v>
      </c>
      <c r="R51" s="203">
        <f t="shared" si="69"/>
        <v>32751.454439999987</v>
      </c>
      <c r="S51" s="203">
        <f t="shared" si="69"/>
        <v>36681.628972799983</v>
      </c>
      <c r="T51" s="203">
        <f t="shared" si="69"/>
        <v>40716.608159807976</v>
      </c>
      <c r="U51" s="203">
        <f t="shared" si="69"/>
        <v>44788.268975788778</v>
      </c>
      <c r="V51" s="203">
        <f t="shared" si="69"/>
        <v>48819.213183609769</v>
      </c>
      <c r="W51" s="203">
        <f t="shared" si="69"/>
        <v>52724.750238298555</v>
      </c>
      <c r="X51" s="203">
        <f t="shared" si="69"/>
        <v>56415.482754979457</v>
      </c>
      <c r="Y51" s="203">
        <f t="shared" si="69"/>
        <v>59800.411720278229</v>
      </c>
    </row>
    <row r="52" spans="2:27" ht="16.2" x14ac:dyDescent="0.35">
      <c r="B52" s="64" t="s">
        <v>485</v>
      </c>
      <c r="C52" s="195"/>
      <c r="D52" s="189">
        <f t="shared" ref="D52:I52" si="70">(D51/C51)-1</f>
        <v>0.62133564614050307</v>
      </c>
      <c r="E52" s="189">
        <f t="shared" si="70"/>
        <v>0.27966192361185405</v>
      </c>
      <c r="F52" s="647">
        <f t="shared" si="70"/>
        <v>-0.72134436919989975</v>
      </c>
      <c r="G52" s="647">
        <f t="shared" si="70"/>
        <v>0.29882988298829893</v>
      </c>
      <c r="H52" s="647">
        <f t="shared" si="70"/>
        <v>0.10649110649110649</v>
      </c>
      <c r="I52" s="647">
        <f t="shared" si="70"/>
        <v>1.7118997912317413E-2</v>
      </c>
      <c r="J52" s="189">
        <f t="shared" ref="J52:O52" si="71">(J51/E51)-1</f>
        <v>0.44837388178245963</v>
      </c>
      <c r="K52" s="647">
        <f t="shared" si="71"/>
        <v>0.38493849384938494</v>
      </c>
      <c r="L52" s="647">
        <f t="shared" si="71"/>
        <v>0.37306537306537302</v>
      </c>
      <c r="M52" s="647">
        <f t="shared" si="71"/>
        <v>0.2553235908141962</v>
      </c>
      <c r="N52" s="647">
        <f t="shared" si="71"/>
        <v>0.13608374384236455</v>
      </c>
      <c r="O52" s="189">
        <f t="shared" si="71"/>
        <v>0.27614869545139697</v>
      </c>
      <c r="P52" s="240">
        <f>CHOOSE($B$1,P53,P54)</f>
        <v>0.15</v>
      </c>
      <c r="Q52" s="240">
        <f t="shared" ref="Q52:Y52" si="72">CHOOSE($B$1,Q53,Q53,Q53,Q54)</f>
        <v>0.13999999999999999</v>
      </c>
      <c r="R52" s="240">
        <f t="shared" si="72"/>
        <v>0.12999999999999998</v>
      </c>
      <c r="S52" s="240">
        <f t="shared" si="72"/>
        <v>0.11999999999999998</v>
      </c>
      <c r="T52" s="240">
        <f t="shared" si="72"/>
        <v>0.10999999999999999</v>
      </c>
      <c r="U52" s="240">
        <f t="shared" si="72"/>
        <v>9.9999999999999992E-2</v>
      </c>
      <c r="V52" s="240">
        <f t="shared" si="72"/>
        <v>0.09</v>
      </c>
      <c r="W52" s="240">
        <f t="shared" si="72"/>
        <v>0.08</v>
      </c>
      <c r="X52" s="240">
        <f t="shared" si="72"/>
        <v>7.0000000000000007E-2</v>
      </c>
      <c r="Y52" s="240">
        <f t="shared" si="72"/>
        <v>6.0000000000000005E-2</v>
      </c>
      <c r="Z52" s="141"/>
    </row>
    <row r="53" spans="2:27" ht="16.2" x14ac:dyDescent="0.35">
      <c r="B53" s="64" t="s">
        <v>479</v>
      </c>
      <c r="C53" s="195"/>
      <c r="D53" s="189"/>
      <c r="E53" s="189"/>
      <c r="F53" s="647"/>
      <c r="G53" s="647"/>
      <c r="H53" s="647"/>
      <c r="I53" s="647"/>
      <c r="J53" s="189"/>
      <c r="K53" s="647"/>
      <c r="L53" s="647"/>
      <c r="M53" s="647"/>
      <c r="N53" s="647"/>
      <c r="O53" s="189"/>
      <c r="P53" s="233">
        <v>0.15</v>
      </c>
      <c r="Q53" s="244">
        <f>P53+$Z$53</f>
        <v>0.13999999999999999</v>
      </c>
      <c r="R53" s="244">
        <f t="shared" ref="R53:Y54" si="73">Q53+$Z$53</f>
        <v>0.12999999999999998</v>
      </c>
      <c r="S53" s="244">
        <f t="shared" si="73"/>
        <v>0.11999999999999998</v>
      </c>
      <c r="T53" s="244">
        <f t="shared" si="73"/>
        <v>0.10999999999999999</v>
      </c>
      <c r="U53" s="244">
        <f t="shared" si="73"/>
        <v>9.9999999999999992E-2</v>
      </c>
      <c r="V53" s="244">
        <f t="shared" si="73"/>
        <v>0.09</v>
      </c>
      <c r="W53" s="244">
        <f t="shared" si="73"/>
        <v>0.08</v>
      </c>
      <c r="X53" s="244">
        <f t="shared" si="73"/>
        <v>7.0000000000000007E-2</v>
      </c>
      <c r="Y53" s="244">
        <f t="shared" si="73"/>
        <v>6.0000000000000005E-2</v>
      </c>
      <c r="Z53" s="141">
        <v>-0.01</v>
      </c>
    </row>
    <row r="54" spans="2:27" ht="16.2" x14ac:dyDescent="0.35">
      <c r="B54" s="746" t="s">
        <v>483</v>
      </c>
      <c r="C54" s="747"/>
      <c r="D54" s="748"/>
      <c r="E54" s="748"/>
      <c r="F54" s="749"/>
      <c r="G54" s="749"/>
      <c r="H54" s="749"/>
      <c r="I54" s="749"/>
      <c r="J54" s="748"/>
      <c r="K54" s="749"/>
      <c r="L54" s="749"/>
      <c r="M54" s="749"/>
      <c r="N54" s="749"/>
      <c r="O54" s="748"/>
      <c r="P54" s="750">
        <v>0.15</v>
      </c>
      <c r="Q54" s="751">
        <f>P54+$Z$54</f>
        <v>0.13999999999999999</v>
      </c>
      <c r="R54" s="751">
        <f t="shared" si="73"/>
        <v>0.12999999999999998</v>
      </c>
      <c r="S54" s="751">
        <f t="shared" si="73"/>
        <v>0.11999999999999998</v>
      </c>
      <c r="T54" s="751">
        <f t="shared" si="73"/>
        <v>0.10999999999999999</v>
      </c>
      <c r="U54" s="751">
        <f t="shared" si="73"/>
        <v>9.9999999999999992E-2</v>
      </c>
      <c r="V54" s="751">
        <f t="shared" si="73"/>
        <v>0.09</v>
      </c>
      <c r="W54" s="751">
        <f t="shared" si="73"/>
        <v>0.08</v>
      </c>
      <c r="X54" s="751">
        <f t="shared" si="73"/>
        <v>7.0000000000000007E-2</v>
      </c>
      <c r="Y54" s="751">
        <f t="shared" si="73"/>
        <v>6.0000000000000005E-2</v>
      </c>
      <c r="Z54" s="752">
        <v>-0.01</v>
      </c>
    </row>
    <row r="55" spans="2:27" x14ac:dyDescent="0.3">
      <c r="B55" s="64" t="s">
        <v>93</v>
      </c>
      <c r="C55" s="198">
        <f t="shared" ref="C55:Y55" si="74">C51/C$36</f>
        <v>0.13497693802533306</v>
      </c>
      <c r="D55" s="198">
        <f t="shared" si="74"/>
        <v>0.15540001330052536</v>
      </c>
      <c r="E55" s="198">
        <f t="shared" si="74"/>
        <v>0.15436336886663396</v>
      </c>
      <c r="F55" s="82">
        <f t="shared" si="74"/>
        <v>0.16318237454100368</v>
      </c>
      <c r="G55" s="82">
        <f t="shared" si="74"/>
        <v>0.14466648843737467</v>
      </c>
      <c r="H55" s="82">
        <f t="shared" si="74"/>
        <v>0.1496173668592847</v>
      </c>
      <c r="I55" s="82">
        <f t="shared" si="74"/>
        <v>0.1406060606060606</v>
      </c>
      <c r="J55" s="198">
        <f t="shared" si="74"/>
        <v>0.14805066060471397</v>
      </c>
      <c r="K55" s="82">
        <f t="shared" si="74"/>
        <v>0.14781606250800564</v>
      </c>
      <c r="L55" s="82">
        <f t="shared" si="74"/>
        <v>0.15571215256856941</v>
      </c>
      <c r="M55" s="82">
        <f t="shared" si="74"/>
        <v>0.14426237374343226</v>
      </c>
      <c r="N55" s="82">
        <f t="shared" si="74"/>
        <v>0.13758389261744966</v>
      </c>
      <c r="O55" s="198">
        <f t="shared" si="74"/>
        <v>0.14610870254837685</v>
      </c>
      <c r="P55" s="198">
        <f t="shared" ca="1" si="74"/>
        <v>0.12428477369603491</v>
      </c>
      <c r="Q55" s="198">
        <f t="shared" ca="1" si="74"/>
        <v>0.10799276268251477</v>
      </c>
      <c r="R55" s="198">
        <f t="shared" ca="1" si="74"/>
        <v>9.4726906852208123E-2</v>
      </c>
      <c r="S55" s="198">
        <f t="shared" ca="1" si="74"/>
        <v>8.4210803470955511E-2</v>
      </c>
      <c r="T55" s="198">
        <f t="shared" ca="1" si="74"/>
        <v>7.4633580288660975E-2</v>
      </c>
      <c r="U55" s="198">
        <f t="shared" ca="1" si="74"/>
        <v>6.5841549329814772E-2</v>
      </c>
      <c r="V55" s="198">
        <f t="shared" ca="1" si="74"/>
        <v>5.8180829440738338E-2</v>
      </c>
      <c r="W55" s="198">
        <f t="shared" ca="1" si="74"/>
        <v>5.1081233312022453E-2</v>
      </c>
      <c r="X55" s="198">
        <f t="shared" ca="1" si="74"/>
        <v>4.4554371612214157E-2</v>
      </c>
      <c r="Y55" s="198">
        <f t="shared" ca="1" si="74"/>
        <v>3.8961200925642051E-2</v>
      </c>
    </row>
    <row r="56" spans="2:27" ht="16.2" x14ac:dyDescent="0.35">
      <c r="B56" s="60" t="s">
        <v>89</v>
      </c>
      <c r="C56" s="197">
        <v>3364</v>
      </c>
      <c r="D56" s="221">
        <v>4873</v>
      </c>
      <c r="E56" s="221">
        <v>7149</v>
      </c>
      <c r="F56" s="93">
        <v>2048</v>
      </c>
      <c r="G56" s="93">
        <v>2599</v>
      </c>
      <c r="H56" s="93">
        <v>3090</v>
      </c>
      <c r="I56" s="93">
        <f t="shared" si="51"/>
        <v>2886</v>
      </c>
      <c r="J56" s="221">
        <v>10623</v>
      </c>
      <c r="K56" s="93">
        <v>3157</v>
      </c>
      <c r="L56" s="93">
        <v>3680</v>
      </c>
      <c r="M56" s="93">
        <v>4003</v>
      </c>
      <c r="N56" s="93">
        <f>O56-M56-L56-K56</f>
        <v>3776</v>
      </c>
      <c r="O56" s="221">
        <v>14616</v>
      </c>
      <c r="P56" s="234">
        <f>'Franchise Revenue'!G42</f>
        <v>17640.513589054346</v>
      </c>
      <c r="Q56" s="234">
        <f>'Franchise Revenue'!H42</f>
        <v>19897.205057640011</v>
      </c>
      <c r="R56" s="234">
        <f>'Franchise Revenue'!I42</f>
        <v>21278.129914365178</v>
      </c>
      <c r="S56" s="234">
        <f>'Franchise Revenue'!J42</f>
        <v>21750.60604351668</v>
      </c>
      <c r="T56" s="234">
        <f>'Franchise Revenue'!K42</f>
        <v>21357.411312627111</v>
      </c>
      <c r="U56" s="234">
        <f>'Franchise Revenue'!L42</f>
        <v>20207.752957563254</v>
      </c>
      <c r="V56" s="234">
        <f>'Franchise Revenue'!M42</f>
        <v>18460.691562802756</v>
      </c>
      <c r="W56" s="234">
        <f>'Franchise Revenue'!N42</f>
        <v>16303.86239283987</v>
      </c>
      <c r="X56" s="234">
        <f>'Franchise Revenue'!O42</f>
        <v>13930.924409296236</v>
      </c>
      <c r="Y56" s="234">
        <f>'Franchise Revenue'!P42</f>
        <v>11521.08692081815</v>
      </c>
    </row>
    <row r="57" spans="2:27" ht="16.2" x14ac:dyDescent="0.35">
      <c r="B57" s="64" t="s">
        <v>86</v>
      </c>
      <c r="C57" s="195"/>
      <c r="D57" s="189">
        <f>(D56/C56)-1</f>
        <v>0.44857312722948861</v>
      </c>
      <c r="E57" s="189">
        <f t="shared" ref="E57" si="75">(E56/D56)-1</f>
        <v>0.46706341063000201</v>
      </c>
      <c r="F57" s="647">
        <f t="shared" ref="F57" si="76">(F56/E56)-1</f>
        <v>-0.71352636732410124</v>
      </c>
      <c r="G57" s="647">
        <f t="shared" ref="G57" si="77">(G56/F56)-1</f>
        <v>0.26904296875</v>
      </c>
      <c r="H57" s="647">
        <f t="shared" ref="H57" si="78">(H56/G56)-1</f>
        <v>0.18891881492881879</v>
      </c>
      <c r="I57" s="647">
        <f t="shared" ref="I57" si="79">(I56/H56)-1</f>
        <v>-6.6019417475728148E-2</v>
      </c>
      <c r="J57" s="189">
        <f>(J56/E56)-1</f>
        <v>0.48594208980276954</v>
      </c>
      <c r="K57" s="647">
        <f t="shared" ref="K57" si="80">(K56/F56)-1</f>
        <v>0.54150390625</v>
      </c>
      <c r="L57" s="647">
        <f t="shared" ref="L57" si="81">(L56/G56)-1</f>
        <v>0.41592920353982299</v>
      </c>
      <c r="M57" s="647">
        <f t="shared" ref="M57" si="82">(M56/H56)-1</f>
        <v>0.29546925566343041</v>
      </c>
      <c r="N57" s="647">
        <f t="shared" ref="N57" si="83">(N56/I56)-1</f>
        <v>0.30838530838530831</v>
      </c>
      <c r="O57" s="189">
        <f>(O56/J56)-1</f>
        <v>0.37588251906241177</v>
      </c>
      <c r="P57" s="189">
        <f>(P56/O56)-1</f>
        <v>0.20693169054832694</v>
      </c>
      <c r="Q57" s="189">
        <f t="shared" ref="Q57:Y57" si="84">(Q56/P56)-1</f>
        <v>0.12792663077484923</v>
      </c>
      <c r="R57" s="189">
        <f t="shared" si="84"/>
        <v>6.940295648181638E-2</v>
      </c>
      <c r="S57" s="189">
        <f t="shared" si="84"/>
        <v>2.2204776973023588E-2</v>
      </c>
      <c r="T57" s="189">
        <f t="shared" si="84"/>
        <v>-1.8077414951238602E-2</v>
      </c>
      <c r="U57" s="189">
        <f t="shared" si="84"/>
        <v>-5.382948046630287E-2</v>
      </c>
      <c r="V57" s="189">
        <f t="shared" si="84"/>
        <v>-8.6455005582726896E-2</v>
      </c>
      <c r="W57" s="189">
        <f t="shared" si="84"/>
        <v>-0.11683360629396866</v>
      </c>
      <c r="X57" s="189">
        <f t="shared" si="84"/>
        <v>-0.14554452965609865</v>
      </c>
      <c r="Y57" s="189">
        <f t="shared" si="84"/>
        <v>-0.17298475088056464</v>
      </c>
      <c r="AA57" s="8"/>
    </row>
    <row r="58" spans="2:27" x14ac:dyDescent="0.3">
      <c r="B58" s="64" t="s">
        <v>93</v>
      </c>
      <c r="C58" s="198">
        <f>C56/C$36</f>
        <v>7.8761911451382546E-2</v>
      </c>
      <c r="D58" s="198">
        <f t="shared" ref="D58:O58" si="85">D56/D$36</f>
        <v>8.1016825164594006E-2</v>
      </c>
      <c r="E58" s="198">
        <f t="shared" si="85"/>
        <v>9.2261827943112301E-2</v>
      </c>
      <c r="F58" s="82">
        <f t="shared" si="85"/>
        <v>0.10026927784577723</v>
      </c>
      <c r="G58" s="82">
        <f t="shared" si="85"/>
        <v>8.6853361850020044E-2</v>
      </c>
      <c r="H58" s="82">
        <f t="shared" si="85"/>
        <v>9.6517257535530226E-2</v>
      </c>
      <c r="I58" s="82">
        <f t="shared" si="85"/>
        <v>8.3290043290043289E-2</v>
      </c>
      <c r="J58" s="198">
        <f t="shared" si="85"/>
        <v>9.0784008751089607E-2</v>
      </c>
      <c r="K58" s="82">
        <f t="shared" si="85"/>
        <v>0.10109517100038427</v>
      </c>
      <c r="L58" s="82">
        <f t="shared" si="85"/>
        <v>9.6403216933434621E-2</v>
      </c>
      <c r="M58" s="82">
        <f t="shared" si="85"/>
        <v>9.6038962596866673E-2</v>
      </c>
      <c r="N58" s="82">
        <f t="shared" si="85"/>
        <v>9.3860303256276409E-2</v>
      </c>
      <c r="O58" s="198">
        <f t="shared" si="85"/>
        <v>9.6595114729829762E-2</v>
      </c>
      <c r="P58" s="198">
        <f t="shared" ref="P58:Y58" ca="1" si="86">P56/P$36</f>
        <v>8.6234659863336838E-2</v>
      </c>
      <c r="Q58" s="198">
        <f t="shared" ca="1" si="86"/>
        <v>7.413692686478468E-2</v>
      </c>
      <c r="R58" s="198">
        <f t="shared" ca="1" si="86"/>
        <v>6.1542654054640947E-2</v>
      </c>
      <c r="S58" s="198">
        <f t="shared" ca="1" si="86"/>
        <v>4.9933333447730689E-2</v>
      </c>
      <c r="T58" s="198">
        <f t="shared" ca="1" si="86"/>
        <v>3.9148154622868497E-2</v>
      </c>
      <c r="U58" s="198">
        <f t="shared" ca="1" si="86"/>
        <v>2.970665742673256E-2</v>
      </c>
      <c r="V58" s="198">
        <f t="shared" ca="1" si="86"/>
        <v>2.2000730391412811E-2</v>
      </c>
      <c r="W58" s="198">
        <f t="shared" ca="1" si="86"/>
        <v>1.5795644265960158E-2</v>
      </c>
      <c r="X58" s="198">
        <f t="shared" ca="1" si="86"/>
        <v>1.1002007830530626E-2</v>
      </c>
      <c r="Y58" s="198">
        <f t="shared" ca="1" si="86"/>
        <v>7.5062256177003831E-3</v>
      </c>
    </row>
    <row r="59" spans="2:27" ht="16.2" x14ac:dyDescent="0.35">
      <c r="B59" s="60" t="s">
        <v>90</v>
      </c>
      <c r="C59" s="197">
        <v>3444</v>
      </c>
      <c r="D59" s="221">
        <v>5169</v>
      </c>
      <c r="E59" s="221">
        <v>6058</v>
      </c>
      <c r="F59" s="93">
        <v>1686</v>
      </c>
      <c r="G59" s="93">
        <v>2185</v>
      </c>
      <c r="H59" s="93">
        <v>2491</v>
      </c>
      <c r="I59" s="93">
        <f t="shared" si="51"/>
        <v>2559</v>
      </c>
      <c r="J59" s="221">
        <v>8921</v>
      </c>
      <c r="K59" s="93">
        <v>2424</v>
      </c>
      <c r="L59" s="93">
        <v>3105</v>
      </c>
      <c r="M59" s="93">
        <v>3050</v>
      </c>
      <c r="N59" s="93">
        <f>O59-M59-L59-K59</f>
        <v>2927</v>
      </c>
      <c r="O59" s="221">
        <v>11506</v>
      </c>
      <c r="P59" s="203">
        <f t="shared" ref="P59:Y59" si="87">P61*(P39+P51)</f>
        <v>14653.929075764283</v>
      </c>
      <c r="Q59" s="203">
        <f t="shared" si="87"/>
        <v>17836.049758501595</v>
      </c>
      <c r="R59" s="203">
        <f t="shared" si="87"/>
        <v>21090.652311008693</v>
      </c>
      <c r="S59" s="203">
        <f t="shared" si="87"/>
        <v>23996.325005472347</v>
      </c>
      <c r="T59" s="203">
        <f t="shared" si="87"/>
        <v>26930.915822825784</v>
      </c>
      <c r="U59" s="203">
        <f t="shared" si="87"/>
        <v>29855.743508938467</v>
      </c>
      <c r="V59" s="203">
        <f t="shared" si="87"/>
        <v>32456.0564132412</v>
      </c>
      <c r="W59" s="203">
        <f t="shared" si="87"/>
        <v>34990.935796568527</v>
      </c>
      <c r="X59" s="203">
        <f t="shared" si="87"/>
        <v>37403.277882066424</v>
      </c>
      <c r="Y59" s="203">
        <f t="shared" si="87"/>
        <v>38975.839581867265</v>
      </c>
    </row>
    <row r="60" spans="2:27" ht="16.2" x14ac:dyDescent="0.35">
      <c r="B60" s="64" t="s">
        <v>86</v>
      </c>
      <c r="C60" s="195"/>
      <c r="D60" s="189">
        <f>(D59/C59)-1</f>
        <v>0.50087108013937276</v>
      </c>
      <c r="E60" s="189">
        <f t="shared" ref="E60" si="88">(E59/D59)-1</f>
        <v>0.17198684465080283</v>
      </c>
      <c r="F60" s="647">
        <f t="shared" ref="F60" si="89">(F59/E59)-1</f>
        <v>-0.72169032684054146</v>
      </c>
      <c r="G60" s="647">
        <f t="shared" ref="G60" si="90">(G59/F59)-1</f>
        <v>0.2959667852906287</v>
      </c>
      <c r="H60" s="647">
        <f t="shared" ref="H60" si="91">(H59/G59)-1</f>
        <v>0.14004576659038892</v>
      </c>
      <c r="I60" s="647">
        <f t="shared" ref="I60" si="92">(I59/H59)-1</f>
        <v>2.7298273785628213E-2</v>
      </c>
      <c r="J60" s="189">
        <f>(J59/E59)-1</f>
        <v>0.47259821723341044</v>
      </c>
      <c r="K60" s="647">
        <f t="shared" ref="K60" si="93">(K59/F59)-1</f>
        <v>0.43772241992882566</v>
      </c>
      <c r="L60" s="647">
        <f t="shared" ref="L60" si="94">(L59/G59)-1</f>
        <v>0.42105263157894735</v>
      </c>
      <c r="M60" s="647">
        <f t="shared" ref="M60" si="95">(M59/H59)-1</f>
        <v>0.22440786832597359</v>
      </c>
      <c r="N60" s="647">
        <f t="shared" ref="N60" si="96">(N59/I59)-1</f>
        <v>0.14380617428683085</v>
      </c>
      <c r="O60" s="189">
        <f>(O59/J59)-1</f>
        <v>0.28976572133168932</v>
      </c>
      <c r="P60" s="189">
        <f>(P59/O59)-1</f>
        <v>0.27359022038625791</v>
      </c>
      <c r="Q60" s="189">
        <f>(Q59/P59)-1</f>
        <v>0.21715136372538679</v>
      </c>
      <c r="R60" s="189">
        <f t="shared" ref="R60:Y60" si="97">(R59/Q59)-1</f>
        <v>0.18247328284985209</v>
      </c>
      <c r="S60" s="189">
        <f t="shared" si="97"/>
        <v>0.13777064130666927</v>
      </c>
      <c r="T60" s="189">
        <f t="shared" si="97"/>
        <v>0.12229334353006993</v>
      </c>
      <c r="U60" s="189">
        <f t="shared" si="97"/>
        <v>0.10860483562291967</v>
      </c>
      <c r="V60" s="189">
        <f t="shared" si="97"/>
        <v>8.7095901782658025E-2</v>
      </c>
      <c r="W60" s="189">
        <f t="shared" si="97"/>
        <v>7.8101891093989018E-2</v>
      </c>
      <c r="X60" s="189">
        <f t="shared" si="97"/>
        <v>6.8941913972317082E-2</v>
      </c>
      <c r="Y60" s="189">
        <f t="shared" si="97"/>
        <v>4.2043419423270167E-2</v>
      </c>
    </row>
    <row r="61" spans="2:27" x14ac:dyDescent="0.3">
      <c r="B61" s="64" t="s">
        <v>139</v>
      </c>
      <c r="C61" s="198">
        <f t="shared" ref="C61:O61" si="98">C59/(C39+C51)</f>
        <v>0.16457208391073733</v>
      </c>
      <c r="D61" s="198">
        <f t="shared" si="98"/>
        <v>0.18657955529887382</v>
      </c>
      <c r="E61" s="198">
        <f t="shared" si="98"/>
        <v>0.17365629926902681</v>
      </c>
      <c r="F61" s="82">
        <f t="shared" si="98"/>
        <v>0.18596955658504302</v>
      </c>
      <c r="G61" s="82">
        <f t="shared" si="98"/>
        <v>0.18137295592263633</v>
      </c>
      <c r="H61" s="82">
        <f t="shared" si="98"/>
        <v>0.19581793884128607</v>
      </c>
      <c r="I61" s="82">
        <f t="shared" si="98"/>
        <v>0.20668766658589774</v>
      </c>
      <c r="J61" s="198">
        <f t="shared" si="98"/>
        <v>0.19303256518446391</v>
      </c>
      <c r="K61" s="82">
        <f t="shared" si="98"/>
        <v>0.19591045017376546</v>
      </c>
      <c r="L61" s="82">
        <f t="shared" si="98"/>
        <v>0.19102990033222592</v>
      </c>
      <c r="M61" s="82">
        <f t="shared" si="98"/>
        <v>0.17960193145683664</v>
      </c>
      <c r="N61" s="82">
        <f t="shared" si="98"/>
        <v>0.18750800768737988</v>
      </c>
      <c r="O61" s="198">
        <f t="shared" si="98"/>
        <v>0.18794818602067986</v>
      </c>
      <c r="P61" s="235">
        <f>AVERAGE(E61:O61)</f>
        <v>0.18895776891447652</v>
      </c>
      <c r="Q61" s="235">
        <f>P61</f>
        <v>0.18895776891447652</v>
      </c>
      <c r="R61" s="235">
        <f t="shared" ref="R61:Y61" si="99">Q61</f>
        <v>0.18895776891447652</v>
      </c>
      <c r="S61" s="235">
        <f t="shared" si="99"/>
        <v>0.18895776891447652</v>
      </c>
      <c r="T61" s="235">
        <f t="shared" si="99"/>
        <v>0.18895776891447652</v>
      </c>
      <c r="U61" s="235">
        <f t="shared" si="99"/>
        <v>0.18895776891447652</v>
      </c>
      <c r="V61" s="235">
        <f t="shared" si="99"/>
        <v>0.18895776891447652</v>
      </c>
      <c r="W61" s="235">
        <f t="shared" si="99"/>
        <v>0.18895776891447652</v>
      </c>
      <c r="X61" s="235">
        <f t="shared" si="99"/>
        <v>0.18895776891447652</v>
      </c>
      <c r="Y61" s="235">
        <f t="shared" si="99"/>
        <v>0.18895776891447652</v>
      </c>
    </row>
    <row r="62" spans="2:27" x14ac:dyDescent="0.3">
      <c r="B62" s="6"/>
      <c r="C62" s="200"/>
      <c r="D62" s="200"/>
      <c r="E62" s="200"/>
      <c r="F62" s="83"/>
      <c r="G62" s="83"/>
      <c r="H62" s="83"/>
      <c r="I62" s="83"/>
      <c r="J62" s="200"/>
      <c r="K62" s="83"/>
      <c r="L62" s="83"/>
      <c r="M62" s="83"/>
      <c r="N62" s="83"/>
      <c r="O62" s="200"/>
      <c r="P62" s="200"/>
      <c r="Q62" s="200"/>
      <c r="R62" s="200"/>
      <c r="S62" s="200"/>
      <c r="T62" s="200"/>
      <c r="U62" s="200"/>
      <c r="V62" s="200"/>
      <c r="W62" s="200"/>
      <c r="X62" s="200"/>
      <c r="Y62" s="200"/>
    </row>
    <row r="63" spans="2:27" ht="16.2" x14ac:dyDescent="0.35">
      <c r="B63" s="102" t="s">
        <v>42</v>
      </c>
      <c r="C63" s="196"/>
      <c r="D63" s="196"/>
      <c r="E63" s="196"/>
      <c r="F63" s="168"/>
      <c r="G63" s="168"/>
      <c r="H63" s="168"/>
      <c r="I63" s="648"/>
      <c r="J63" s="196"/>
      <c r="K63" s="168"/>
      <c r="L63" s="168"/>
      <c r="M63" s="168"/>
      <c r="N63" s="648"/>
      <c r="O63" s="196"/>
      <c r="P63" s="236"/>
      <c r="Q63" s="236"/>
      <c r="R63" s="236"/>
      <c r="S63" s="236"/>
      <c r="T63" s="236"/>
      <c r="U63" s="236"/>
      <c r="V63" s="236"/>
      <c r="W63" s="236"/>
      <c r="X63" s="236"/>
      <c r="Y63" s="236"/>
    </row>
    <row r="64" spans="2:27" ht="16.2" x14ac:dyDescent="0.35">
      <c r="B64" s="59" t="s">
        <v>143</v>
      </c>
      <c r="C64" s="197">
        <v>4370</v>
      </c>
      <c r="D64" s="221">
        <v>6045</v>
      </c>
      <c r="E64" s="221">
        <v>3784</v>
      </c>
      <c r="F64" s="93">
        <v>978</v>
      </c>
      <c r="G64" s="93">
        <v>901</v>
      </c>
      <c r="H64" s="93">
        <v>1152</v>
      </c>
      <c r="I64" s="93">
        <f>J64-H64-G64-F64</f>
        <v>1205</v>
      </c>
      <c r="J64" s="221">
        <v>4236</v>
      </c>
      <c r="K64" s="93">
        <v>1432</v>
      </c>
      <c r="L64" s="93">
        <v>1458</v>
      </c>
      <c r="M64" s="93">
        <v>1680</v>
      </c>
      <c r="N64" s="93">
        <f>O64-M64-L64-K64</f>
        <v>1946</v>
      </c>
      <c r="O64" s="221">
        <v>6516</v>
      </c>
      <c r="P64" s="203">
        <f>P67*'Franchise Revenue'!G36</f>
        <v>8557.4982426778242</v>
      </c>
      <c r="Q64" s="203">
        <f>Q67*'Franchise Revenue'!H36</f>
        <v>10382.167246112134</v>
      </c>
      <c r="R64" s="203">
        <f>R67*'Franchise Revenue'!I36</f>
        <v>12199.839383142828</v>
      </c>
      <c r="S64" s="203">
        <f>S67*'Franchise Revenue'!J36</f>
        <v>14004.562004649108</v>
      </c>
      <c r="T64" s="203">
        <f>T67*'Franchise Revenue'!K36</f>
        <v>15789.633287349894</v>
      </c>
      <c r="U64" s="203">
        <f>U67*'Franchise Revenue'!L36</f>
        <v>17547.533140472875</v>
      </c>
      <c r="V64" s="203">
        <f>V67*'Franchise Revenue'!M36</f>
        <v>19269.848866411652</v>
      </c>
      <c r="W64" s="203">
        <f>W67*'Franchise Revenue'!N36</f>
        <v>20947.195259342945</v>
      </c>
      <c r="X64" s="203">
        <f>X67*'Franchise Revenue'!O36</f>
        <v>22569.128815276606</v>
      </c>
      <c r="Y64" s="203">
        <f>Y67*'Franchise Revenue'!P36</f>
        <v>24124.055717374285</v>
      </c>
    </row>
    <row r="65" spans="2:26" ht="16.2" x14ac:dyDescent="0.35">
      <c r="B65" s="64" t="s">
        <v>86</v>
      </c>
      <c r="C65" s="195"/>
      <c r="D65" s="189">
        <f>(D64/C64)-1</f>
        <v>0.3832951945080092</v>
      </c>
      <c r="E65" s="189">
        <f t="shared" ref="E65" si="100">(E64/D64)-1</f>
        <v>-0.37402812241521921</v>
      </c>
      <c r="F65" s="647">
        <f t="shared" ref="F65" si="101">(F64/E64)-1</f>
        <v>-0.7415433403805497</v>
      </c>
      <c r="G65" s="647">
        <f t="shared" ref="G65" si="102">(G64/F64)-1</f>
        <v>-7.8732106339468255E-2</v>
      </c>
      <c r="H65" s="647">
        <f t="shared" ref="H65" si="103">(H64/G64)-1</f>
        <v>0.27857935627081032</v>
      </c>
      <c r="I65" s="647">
        <f t="shared" ref="I65" si="104">(I64/H64)-1</f>
        <v>4.600694444444442E-2</v>
      </c>
      <c r="J65" s="189">
        <f>(J64/E64)-1</f>
        <v>0.11945031712473564</v>
      </c>
      <c r="K65" s="647">
        <f t="shared" ref="K65" si="105">(K64/F64)-1</f>
        <v>0.46421267893660523</v>
      </c>
      <c r="L65" s="647">
        <f t="shared" ref="L65" si="106">(L64/G64)-1</f>
        <v>0.61820199778024421</v>
      </c>
      <c r="M65" s="647">
        <f t="shared" ref="M65" si="107">(M64/H64)-1</f>
        <v>0.45833333333333326</v>
      </c>
      <c r="N65" s="647">
        <f t="shared" ref="N65" si="108">(N64/I64)-1</f>
        <v>0.61493775933609962</v>
      </c>
      <c r="O65" s="189">
        <f>(O64/J64)-1</f>
        <v>0.5382436260623229</v>
      </c>
      <c r="P65" s="189">
        <f>(P64/O64)-1</f>
        <v>0.31330543933054389</v>
      </c>
      <c r="Q65" s="189">
        <f>(Q64/P64)-1</f>
        <v>0.213224584065276</v>
      </c>
      <c r="R65" s="189">
        <f t="shared" ref="R65:Y65" si="109">(R64/Q64)-1</f>
        <v>0.17507636834798301</v>
      </c>
      <c r="S65" s="189">
        <f t="shared" si="109"/>
        <v>0.14793003127565441</v>
      </c>
      <c r="T65" s="189">
        <f t="shared" si="109"/>
        <v>0.1274635566687623</v>
      </c>
      <c r="U65" s="189">
        <f t="shared" si="109"/>
        <v>0.11133253199308624</v>
      </c>
      <c r="V65" s="189">
        <f t="shared" si="109"/>
        <v>9.8151444545006017E-2</v>
      </c>
      <c r="W65" s="189">
        <f t="shared" si="109"/>
        <v>8.7045124461510248E-2</v>
      </c>
      <c r="X65" s="189">
        <f t="shared" si="109"/>
        <v>7.7429628924198912E-2</v>
      </c>
      <c r="Y65" s="189">
        <f t="shared" si="109"/>
        <v>6.8896186238486035E-2</v>
      </c>
    </row>
    <row r="66" spans="2:26" x14ac:dyDescent="0.3">
      <c r="B66" s="64" t="s">
        <v>93</v>
      </c>
      <c r="C66" s="198">
        <f>C64/C$36</f>
        <v>0.10231556273559504</v>
      </c>
      <c r="D66" s="198">
        <f t="shared" ref="D66:O66" si="110">D64/D$36</f>
        <v>0.1005020948327459</v>
      </c>
      <c r="E66" s="198">
        <f t="shared" si="110"/>
        <v>4.8834628190899003E-2</v>
      </c>
      <c r="F66" s="82">
        <f t="shared" si="110"/>
        <v>4.7882496940024478E-2</v>
      </c>
      <c r="G66" s="82">
        <f t="shared" si="110"/>
        <v>3.0109611014570246E-2</v>
      </c>
      <c r="H66" s="82">
        <f t="shared" si="110"/>
        <v>3.5983132906450103E-2</v>
      </c>
      <c r="I66" s="82">
        <f t="shared" si="110"/>
        <v>3.4776334776334773E-2</v>
      </c>
      <c r="J66" s="198">
        <f t="shared" si="110"/>
        <v>3.6200796485890578E-2</v>
      </c>
      <c r="K66" s="82">
        <f t="shared" si="110"/>
        <v>4.5856282823107469E-2</v>
      </c>
      <c r="L66" s="82">
        <f t="shared" si="110"/>
        <v>3.8194535404605351E-2</v>
      </c>
      <c r="M66" s="82">
        <f t="shared" si="110"/>
        <v>4.0306134689666755E-2</v>
      </c>
      <c r="N66" s="82">
        <f t="shared" si="110"/>
        <v>4.8371861794680587E-2</v>
      </c>
      <c r="O66" s="198">
        <f t="shared" si="110"/>
        <v>4.3063339325367454E-2</v>
      </c>
      <c r="P66" s="198">
        <f t="shared" ref="P66:Y66" ca="1" si="111">P64/P$36</f>
        <v>4.1832849509342671E-2</v>
      </c>
      <c r="Q66" s="198">
        <f t="shared" ca="1" si="111"/>
        <v>3.8683924279477269E-2</v>
      </c>
      <c r="R66" s="198">
        <f t="shared" ca="1" si="111"/>
        <v>3.5285548950994047E-2</v>
      </c>
      <c r="S66" s="198">
        <f t="shared" ca="1" si="111"/>
        <v>3.2150573780265125E-2</v>
      </c>
      <c r="T66" s="198">
        <f t="shared" ca="1" si="111"/>
        <v>2.8942412370271953E-2</v>
      </c>
      <c r="U66" s="198">
        <f t="shared" ca="1" si="111"/>
        <v>2.5795968348532428E-2</v>
      </c>
      <c r="V66" s="198">
        <f t="shared" ca="1" si="111"/>
        <v>2.2965052427799143E-2</v>
      </c>
      <c r="W66" s="198">
        <f t="shared" ca="1" si="111"/>
        <v>2.0294236832586219E-2</v>
      </c>
      <c r="X66" s="198">
        <f t="shared" ca="1" si="111"/>
        <v>1.7824067137155012E-2</v>
      </c>
      <c r="Y66" s="198">
        <f t="shared" ca="1" si="111"/>
        <v>1.5717319578709255E-2</v>
      </c>
    </row>
    <row r="67" spans="2:26" ht="16.2" x14ac:dyDescent="0.35">
      <c r="B67" s="64" t="s">
        <v>144</v>
      </c>
      <c r="C67" s="201">
        <f>C64/'Franchise Revenue'!C36</f>
        <v>6.7647058823529411</v>
      </c>
      <c r="D67" s="201">
        <f>D64/'Franchise Revenue'!D36</f>
        <v>6.3765822784810124</v>
      </c>
      <c r="E67" s="201">
        <f>E64/'Franchise Revenue'!E36</f>
        <v>2.5776566757493189</v>
      </c>
      <c r="F67" s="82"/>
      <c r="G67" s="82"/>
      <c r="H67" s="82"/>
      <c r="I67" s="82"/>
      <c r="J67" s="201">
        <f>J64/'Franchise Revenue'!E36</f>
        <v>2.8855585831062669</v>
      </c>
      <c r="K67" s="82"/>
      <c r="L67" s="82"/>
      <c r="M67" s="82"/>
      <c r="N67" s="82"/>
      <c r="O67" s="201">
        <f>O64/'Franchise Revenue'!F36</f>
        <v>3.0292887029288704</v>
      </c>
      <c r="P67" s="237">
        <f>O67</f>
        <v>3.0292887029288704</v>
      </c>
      <c r="Q67" s="237">
        <f>P67+$Z$67</f>
        <v>2.9292887029288703</v>
      </c>
      <c r="R67" s="237">
        <f t="shared" ref="R67:Y67" si="112">Q67+$Z$67</f>
        <v>2.8292887029288702</v>
      </c>
      <c r="S67" s="237">
        <f t="shared" si="112"/>
        <v>2.7292887029288702</v>
      </c>
      <c r="T67" s="237">
        <f t="shared" si="112"/>
        <v>2.6292887029288701</v>
      </c>
      <c r="U67" s="237">
        <f t="shared" si="112"/>
        <v>2.52928870292887</v>
      </c>
      <c r="V67" s="237">
        <f t="shared" si="112"/>
        <v>2.4292887029288699</v>
      </c>
      <c r="W67" s="237">
        <f t="shared" si="112"/>
        <v>2.3292887029288698</v>
      </c>
      <c r="X67" s="237">
        <f t="shared" si="112"/>
        <v>2.2292887029288697</v>
      </c>
      <c r="Y67" s="237">
        <f t="shared" si="112"/>
        <v>2.1292887029288696</v>
      </c>
      <c r="Z67" s="160">
        <v>-0.1</v>
      </c>
    </row>
    <row r="68" spans="2:26" ht="16.2" x14ac:dyDescent="0.35">
      <c r="B68" s="60" t="s">
        <v>33</v>
      </c>
      <c r="C68" s="197">
        <v>243</v>
      </c>
      <c r="D68" s="221">
        <v>422</v>
      </c>
      <c r="E68" s="221">
        <v>617</v>
      </c>
      <c r="F68" s="93">
        <v>169</v>
      </c>
      <c r="G68" s="93">
        <v>192</v>
      </c>
      <c r="H68" s="93">
        <v>212</v>
      </c>
      <c r="I68" s="93">
        <f>J68-H68-G68-F68</f>
        <v>240</v>
      </c>
      <c r="J68" s="221">
        <v>813</v>
      </c>
      <c r="K68" s="93">
        <v>261</v>
      </c>
      <c r="L68" s="93">
        <v>279</v>
      </c>
      <c r="M68" s="93">
        <v>301</v>
      </c>
      <c r="N68" s="93">
        <f>O68-M68-L68-K68</f>
        <v>312</v>
      </c>
      <c r="O68" s="221">
        <v>1153</v>
      </c>
      <c r="P68" s="203">
        <f t="shared" ref="P68:Y68" ca="1" si="113">P70*P36</f>
        <v>1558.7817266967513</v>
      </c>
      <c r="Q68" s="203">
        <f t="shared" ca="1" si="113"/>
        <v>2045.094740038001</v>
      </c>
      <c r="R68" s="203">
        <f t="shared" ca="1" si="113"/>
        <v>2634.5907961894923</v>
      </c>
      <c r="S68" s="203">
        <f t="shared" ca="1" si="113"/>
        <v>3319.2253470666769</v>
      </c>
      <c r="T68" s="203">
        <f t="shared" ca="1" si="113"/>
        <v>4157.1266157832288</v>
      </c>
      <c r="U68" s="203">
        <f t="shared" ca="1" si="113"/>
        <v>5183.4650130197051</v>
      </c>
      <c r="V68" s="203">
        <f t="shared" ca="1" si="113"/>
        <v>6393.9141808710256</v>
      </c>
      <c r="W68" s="203">
        <f t="shared" ca="1" si="113"/>
        <v>7865.1877176719336</v>
      </c>
      <c r="X68" s="203">
        <f t="shared" ca="1" si="113"/>
        <v>9648.591541370808</v>
      </c>
      <c r="Y68" s="203">
        <f t="shared" ca="1" si="113"/>
        <v>11695.741872086917</v>
      </c>
    </row>
    <row r="69" spans="2:26" ht="16.2" x14ac:dyDescent="0.35">
      <c r="B69" s="64" t="s">
        <v>86</v>
      </c>
      <c r="C69" s="195"/>
      <c r="D69" s="189">
        <f>(D68/C68)-1</f>
        <v>0.73662551440329227</v>
      </c>
      <c r="E69" s="189">
        <f t="shared" ref="E69" si="114">(E68/D68)-1</f>
        <v>0.46208530805687209</v>
      </c>
      <c r="F69" s="647">
        <f t="shared" ref="F69" si="115">(F68/E68)-1</f>
        <v>-0.72609400324149109</v>
      </c>
      <c r="G69" s="647">
        <f t="shared" ref="G69" si="116">(G68/F68)-1</f>
        <v>0.13609467455621305</v>
      </c>
      <c r="H69" s="647">
        <f t="shared" ref="H69" si="117">(H68/G68)-1</f>
        <v>0.10416666666666674</v>
      </c>
      <c r="I69" s="647">
        <f t="shared" ref="I69" si="118">(I68/H68)-1</f>
        <v>0.13207547169811318</v>
      </c>
      <c r="J69" s="189">
        <f>(J68/E68)-1</f>
        <v>0.31766612641815239</v>
      </c>
      <c r="K69" s="647">
        <f t="shared" ref="K69" si="119">(K68/F68)-1</f>
        <v>0.54437869822485196</v>
      </c>
      <c r="L69" s="647">
        <f t="shared" ref="L69" si="120">(L68/G68)-1</f>
        <v>0.453125</v>
      </c>
      <c r="M69" s="647">
        <f t="shared" ref="M69" si="121">(M68/H68)-1</f>
        <v>0.41981132075471694</v>
      </c>
      <c r="N69" s="647">
        <f t="shared" ref="N69" si="122">(N68/I68)-1</f>
        <v>0.30000000000000004</v>
      </c>
      <c r="O69" s="189">
        <f>(O68/J68)-1</f>
        <v>0.41820418204182053</v>
      </c>
      <c r="P69" s="215">
        <f ca="1">(P68/O68)-1</f>
        <v>0.35193558256439839</v>
      </c>
      <c r="Q69" s="215">
        <f ca="1">(Q68/P68)-1</f>
        <v>0.31198275230734596</v>
      </c>
      <c r="R69" s="215">
        <f t="shared" ref="R69:Y69" ca="1" si="123">(R68/Q68)-1</f>
        <v>0.28824877625988976</v>
      </c>
      <c r="S69" s="215">
        <f t="shared" ca="1" si="123"/>
        <v>0.25986371464874058</v>
      </c>
      <c r="T69" s="215">
        <f t="shared" ca="1" si="123"/>
        <v>0.25243880155863363</v>
      </c>
      <c r="U69" s="215">
        <f t="shared" ca="1" si="123"/>
        <v>0.24688648965846038</v>
      </c>
      <c r="V69" s="215">
        <f t="shared" ca="1" si="123"/>
        <v>0.23352123817001624</v>
      </c>
      <c r="W69" s="215">
        <f t="shared" ca="1" si="123"/>
        <v>0.23010529938024282</v>
      </c>
      <c r="X69" s="215">
        <f t="shared" ca="1" si="123"/>
        <v>0.22674650468822577</v>
      </c>
      <c r="Y69" s="215">
        <f t="shared" ca="1" si="123"/>
        <v>0.21217089789099552</v>
      </c>
    </row>
    <row r="70" spans="2:26" x14ac:dyDescent="0.3">
      <c r="B70" s="64" t="s">
        <v>93</v>
      </c>
      <c r="C70" s="198">
        <f>C68/C$36</f>
        <v>5.6894008569221043E-3</v>
      </c>
      <c r="D70" s="198">
        <f t="shared" ref="D70:O70" si="124">D68/D$36</f>
        <v>7.0160271330717561E-3</v>
      </c>
      <c r="E70" s="198">
        <f t="shared" si="124"/>
        <v>7.962728751000181E-3</v>
      </c>
      <c r="F70" s="82">
        <f t="shared" si="124"/>
        <v>8.2741738066095475E-3</v>
      </c>
      <c r="G70" s="82">
        <f t="shared" si="124"/>
        <v>6.4162545114289536E-3</v>
      </c>
      <c r="H70" s="82">
        <f t="shared" si="124"/>
        <v>6.621895986256442E-3</v>
      </c>
      <c r="I70" s="82">
        <f t="shared" si="124"/>
        <v>6.9264069264069264E-3</v>
      </c>
      <c r="J70" s="198">
        <f t="shared" si="124"/>
        <v>6.9478865776744659E-3</v>
      </c>
      <c r="K70" s="82">
        <f t="shared" si="124"/>
        <v>8.3578839503010115E-3</v>
      </c>
      <c r="L70" s="82">
        <f t="shared" si="124"/>
        <v>7.3088308490294185E-3</v>
      </c>
      <c r="M70" s="82">
        <f t="shared" si="124"/>
        <v>7.2215157985652933E-3</v>
      </c>
      <c r="N70" s="82">
        <f t="shared" si="124"/>
        <v>7.755406413124534E-3</v>
      </c>
      <c r="O70" s="198">
        <f t="shared" si="124"/>
        <v>7.6200169186845723E-3</v>
      </c>
      <c r="P70" s="233">
        <f>O70</f>
        <v>7.6200169186845723E-3</v>
      </c>
      <c r="Q70" s="233">
        <f>P70</f>
        <v>7.6200169186845723E-3</v>
      </c>
      <c r="R70" s="233">
        <f t="shared" ref="R70:Y70" si="125">Q70</f>
        <v>7.6200169186845723E-3</v>
      </c>
      <c r="S70" s="233">
        <f t="shared" si="125"/>
        <v>7.6200169186845723E-3</v>
      </c>
      <c r="T70" s="233">
        <f t="shared" si="125"/>
        <v>7.6200169186845723E-3</v>
      </c>
      <c r="U70" s="233">
        <f t="shared" si="125"/>
        <v>7.6200169186845723E-3</v>
      </c>
      <c r="V70" s="233">
        <f t="shared" si="125"/>
        <v>7.6200169186845723E-3</v>
      </c>
      <c r="W70" s="233">
        <f t="shared" si="125"/>
        <v>7.6200169186845723E-3</v>
      </c>
      <c r="X70" s="233">
        <f t="shared" si="125"/>
        <v>7.6200169186845723E-3</v>
      </c>
      <c r="Y70" s="233">
        <f t="shared" si="125"/>
        <v>7.6200169186845723E-3</v>
      </c>
    </row>
    <row r="71" spans="2:26" ht="16.2" x14ac:dyDescent="0.35">
      <c r="B71" s="6"/>
      <c r="C71" s="195"/>
      <c r="D71" s="203"/>
      <c r="E71" s="203"/>
      <c r="F71" s="79"/>
      <c r="G71" s="79"/>
      <c r="H71" s="79"/>
      <c r="I71" s="93"/>
      <c r="J71" s="203"/>
      <c r="K71" s="79"/>
      <c r="L71" s="79"/>
      <c r="M71" s="79"/>
      <c r="N71" s="93"/>
      <c r="O71" s="203"/>
      <c r="P71" s="200"/>
      <c r="Q71" s="200"/>
      <c r="R71" s="200"/>
      <c r="S71" s="200"/>
      <c r="T71" s="200"/>
      <c r="U71" s="200"/>
      <c r="V71" s="200"/>
      <c r="W71" s="200"/>
      <c r="X71" s="200"/>
      <c r="Y71" s="200"/>
    </row>
    <row r="72" spans="2:26" ht="16.2" x14ac:dyDescent="0.35">
      <c r="B72" s="102" t="s">
        <v>43</v>
      </c>
      <c r="C72" s="196"/>
      <c r="D72" s="196"/>
      <c r="E72" s="196"/>
      <c r="F72" s="168"/>
      <c r="G72" s="168"/>
      <c r="H72" s="168"/>
      <c r="I72" s="648"/>
      <c r="J72" s="196"/>
      <c r="K72" s="168"/>
      <c r="L72" s="168"/>
      <c r="M72" s="168"/>
      <c r="N72" s="648"/>
      <c r="O72" s="196"/>
      <c r="P72" s="236"/>
      <c r="Q72" s="236"/>
      <c r="R72" s="236"/>
      <c r="S72" s="236"/>
      <c r="T72" s="236"/>
      <c r="U72" s="236"/>
      <c r="V72" s="236"/>
      <c r="W72" s="236"/>
      <c r="X72" s="236"/>
      <c r="Y72" s="236"/>
    </row>
    <row r="73" spans="2:26" ht="16.2" x14ac:dyDescent="0.35">
      <c r="B73" s="59" t="s">
        <v>91</v>
      </c>
      <c r="C73" s="197">
        <f>1509+1150</f>
        <v>2659</v>
      </c>
      <c r="D73" s="221">
        <f>2417+1414</f>
        <v>3831</v>
      </c>
      <c r="E73" s="221">
        <v>5423</v>
      </c>
      <c r="F73" s="93">
        <v>1059</v>
      </c>
      <c r="G73" s="93">
        <v>4016</v>
      </c>
      <c r="H73" s="93">
        <v>4173</v>
      </c>
      <c r="I73" s="93">
        <f>J73-H73-G73-F73</f>
        <v>7427</v>
      </c>
      <c r="J73" s="221">
        <v>16675</v>
      </c>
      <c r="K73" s="93">
        <v>2737</v>
      </c>
      <c r="L73" s="93">
        <v>1694</v>
      </c>
      <c r="M73" s="93">
        <v>2388</v>
      </c>
      <c r="N73" s="93">
        <f>O73-M73-L73-K73</f>
        <v>3107</v>
      </c>
      <c r="O73" s="221">
        <v>9926</v>
      </c>
      <c r="P73" s="203">
        <f t="shared" ref="P73:Y73" ca="1" si="126">P75*P36</f>
        <v>13375.161761126717</v>
      </c>
      <c r="Q73" s="203">
        <f t="shared" ca="1" si="126"/>
        <v>17547.981539919001</v>
      </c>
      <c r="R73" s="203">
        <f t="shared" ca="1" si="126"/>
        <v>22606.165744631788</v>
      </c>
      <c r="S73" s="203">
        <f t="shared" ca="1" si="126"/>
        <v>28480.687948996921</v>
      </c>
      <c r="T73" s="203">
        <f t="shared" ca="1" si="126"/>
        <v>35670.318682407124</v>
      </c>
      <c r="U73" s="203">
        <f t="shared" ca="1" si="126"/>
        <v>44476.838446905211</v>
      </c>
      <c r="V73" s="203">
        <f t="shared" ca="1" si="126"/>
        <v>54863.124830914305</v>
      </c>
      <c r="W73" s="203">
        <f t="shared" ca="1" si="126"/>
        <v>67487.42059506748</v>
      </c>
      <c r="X73" s="203">
        <f t="shared" ca="1" si="126"/>
        <v>82789.957325423209</v>
      </c>
      <c r="Y73" s="203">
        <f t="shared" ca="1" si="126"/>
        <v>100355.57690751544</v>
      </c>
    </row>
    <row r="74" spans="2:26" ht="16.2" x14ac:dyDescent="0.35">
      <c r="B74" s="64" t="s">
        <v>86</v>
      </c>
      <c r="C74" s="195"/>
      <c r="D74" s="189">
        <f>(D73/C73)-1</f>
        <v>0.44076720571643468</v>
      </c>
      <c r="E74" s="189">
        <f t="shared" ref="E74" si="127">(E73/D73)-1</f>
        <v>0.41555729574523625</v>
      </c>
      <c r="F74" s="647">
        <f t="shared" ref="F74" si="128">(F73/E73)-1</f>
        <v>-0.80472063433523877</v>
      </c>
      <c r="G74" s="647">
        <f t="shared" ref="G74" si="129">(G73/F73)-1</f>
        <v>2.7922568460812087</v>
      </c>
      <c r="H74" s="647">
        <f t="shared" ref="H74" si="130">(H73/G73)-1</f>
        <v>3.9093625498007878E-2</v>
      </c>
      <c r="I74" s="647">
        <f t="shared" ref="I74" si="131">(I73/H73)-1</f>
        <v>0.77977474239156486</v>
      </c>
      <c r="J74" s="189">
        <f>(J73/E73)-1</f>
        <v>2.0748663101604277</v>
      </c>
      <c r="K74" s="647">
        <f t="shared" ref="K74" si="132">(K73/F73)-1</f>
        <v>1.5845136921624174</v>
      </c>
      <c r="L74" s="647">
        <f t="shared" ref="L74" si="133">(L73/G73)-1</f>
        <v>-0.57818725099601598</v>
      </c>
      <c r="M74" s="647">
        <f t="shared" ref="M74" si="134">(M73/H73)-1</f>
        <v>-0.42774982027318476</v>
      </c>
      <c r="N74" s="647">
        <f t="shared" ref="N74" si="135">(N73/I73)-1</f>
        <v>-0.58166150531843275</v>
      </c>
      <c r="O74" s="189">
        <f>(O73/J73)-1</f>
        <v>-0.40473763118440775</v>
      </c>
      <c r="P74" s="189">
        <f ca="1">(P73/O73)-1</f>
        <v>0.34748758423601833</v>
      </c>
      <c r="Q74" s="189">
        <f t="shared" ref="Q74:Y74" ca="1" si="136">(Q73/P73)-1</f>
        <v>0.31198275230734618</v>
      </c>
      <c r="R74" s="189">
        <f t="shared" ca="1" si="136"/>
        <v>0.28824877625988976</v>
      </c>
      <c r="S74" s="189">
        <f t="shared" ca="1" si="136"/>
        <v>0.25986371464874081</v>
      </c>
      <c r="T74" s="189">
        <f t="shared" ca="1" si="136"/>
        <v>0.25243880155863363</v>
      </c>
      <c r="U74" s="189">
        <f t="shared" ca="1" si="136"/>
        <v>0.24688648965846016</v>
      </c>
      <c r="V74" s="189">
        <f t="shared" ca="1" si="136"/>
        <v>0.23352123817001647</v>
      </c>
      <c r="W74" s="189">
        <f t="shared" ca="1" si="136"/>
        <v>0.23010529938024282</v>
      </c>
      <c r="X74" s="189">
        <f t="shared" ca="1" si="136"/>
        <v>0.22674650468822577</v>
      </c>
      <c r="Y74" s="189">
        <f t="shared" ca="1" si="136"/>
        <v>0.2121708978909953</v>
      </c>
    </row>
    <row r="75" spans="2:26" x14ac:dyDescent="0.3">
      <c r="B75" s="64" t="s">
        <v>93</v>
      </c>
      <c r="C75" s="198">
        <f>C73/C$36</f>
        <v>6.2255625014633234E-2</v>
      </c>
      <c r="D75" s="198">
        <f t="shared" ref="D75:O75" si="137">D73/D$36</f>
        <v>6.3692890869189334E-2</v>
      </c>
      <c r="E75" s="198">
        <f t="shared" si="137"/>
        <v>6.9986836331724436E-2</v>
      </c>
      <c r="F75" s="82">
        <f t="shared" si="137"/>
        <v>5.1848225214198289E-2</v>
      </c>
      <c r="G75" s="82">
        <f t="shared" si="137"/>
        <v>0.13420665686405561</v>
      </c>
      <c r="H75" s="82">
        <f t="shared" si="137"/>
        <v>0.1303451507106044</v>
      </c>
      <c r="I75" s="82">
        <f t="shared" si="137"/>
        <v>0.21434343434343434</v>
      </c>
      <c r="J75" s="198">
        <f t="shared" si="137"/>
        <v>0.14250431572290495</v>
      </c>
      <c r="K75" s="82">
        <f t="shared" si="137"/>
        <v>8.764570257461253E-2</v>
      </c>
      <c r="L75" s="82">
        <f t="shared" si="137"/>
        <v>4.4376915620988659E-2</v>
      </c>
      <c r="M75" s="82">
        <f t="shared" si="137"/>
        <v>5.7292291451740598E-2</v>
      </c>
      <c r="N75" s="82">
        <f t="shared" si="137"/>
        <v>7.7230922197365146E-2</v>
      </c>
      <c r="O75" s="198">
        <f t="shared" si="137"/>
        <v>6.5599555884529981E-2</v>
      </c>
      <c r="P75" s="233">
        <f>AVERAGE(O75,E75,D75,C75)</f>
        <v>6.5383727025019239E-2</v>
      </c>
      <c r="Q75" s="233">
        <f>P75</f>
        <v>6.5383727025019239E-2</v>
      </c>
      <c r="R75" s="233">
        <f t="shared" ref="R75:Y75" si="138">Q75</f>
        <v>6.5383727025019239E-2</v>
      </c>
      <c r="S75" s="233">
        <f t="shared" si="138"/>
        <v>6.5383727025019239E-2</v>
      </c>
      <c r="T75" s="233">
        <f t="shared" si="138"/>
        <v>6.5383727025019239E-2</v>
      </c>
      <c r="U75" s="233">
        <f t="shared" si="138"/>
        <v>6.5383727025019239E-2</v>
      </c>
      <c r="V75" s="233">
        <f t="shared" si="138"/>
        <v>6.5383727025019239E-2</v>
      </c>
      <c r="W75" s="233">
        <f t="shared" si="138"/>
        <v>6.5383727025019239E-2</v>
      </c>
      <c r="X75" s="233">
        <f t="shared" si="138"/>
        <v>6.5383727025019239E-2</v>
      </c>
      <c r="Y75" s="233">
        <f t="shared" si="138"/>
        <v>6.5383727025019239E-2</v>
      </c>
    </row>
    <row r="76" spans="2:26" x14ac:dyDescent="0.3">
      <c r="B76" s="64" t="s">
        <v>145</v>
      </c>
      <c r="C76" s="202">
        <f>C73/C8</f>
        <v>7.7673589811001077E-3</v>
      </c>
      <c r="D76" s="202">
        <f>D73/D8</f>
        <v>7.5263451549275849E-3</v>
      </c>
      <c r="E76" s="202">
        <f>E73/E8</f>
        <v>7.338205624018111E-3</v>
      </c>
      <c r="F76" s="649"/>
      <c r="G76" s="649"/>
      <c r="H76" s="649"/>
      <c r="I76" s="649"/>
      <c r="J76" s="202">
        <f>J73/J8</f>
        <v>1.5524972162118882E-2</v>
      </c>
      <c r="K76" s="649"/>
      <c r="L76" s="649"/>
      <c r="M76" s="649"/>
      <c r="N76" s="649"/>
      <c r="O76" s="202">
        <f>O73/O8</f>
        <v>6.3633997453614371E-3</v>
      </c>
      <c r="P76" s="238" t="s">
        <v>147</v>
      </c>
      <c r="Q76" s="238"/>
      <c r="R76" s="238"/>
      <c r="S76" s="238"/>
      <c r="T76" s="238"/>
      <c r="U76" s="238"/>
      <c r="V76" s="238"/>
      <c r="W76" s="238"/>
      <c r="X76" s="238"/>
      <c r="Y76" s="238"/>
    </row>
    <row r="77" spans="2:26" ht="16.2" x14ac:dyDescent="0.35">
      <c r="B77" s="60" t="s">
        <v>34</v>
      </c>
      <c r="C77" s="197">
        <v>0</v>
      </c>
      <c r="D77" s="221">
        <v>0</v>
      </c>
      <c r="E77" s="221">
        <v>108</v>
      </c>
      <c r="F77" s="93">
        <v>33</v>
      </c>
      <c r="G77" s="93">
        <v>81</v>
      </c>
      <c r="H77" s="93">
        <v>59</v>
      </c>
      <c r="I77" s="93">
        <f>J77-H77-G77-F77</f>
        <v>49</v>
      </c>
      <c r="J77" s="221">
        <v>222</v>
      </c>
      <c r="K77" s="93">
        <v>98</v>
      </c>
      <c r="L77" s="93">
        <v>33</v>
      </c>
      <c r="M77" s="93">
        <v>71</v>
      </c>
      <c r="N77" s="93">
        <f>O77-M77-L77-K77</f>
        <v>95</v>
      </c>
      <c r="O77" s="221">
        <v>297</v>
      </c>
      <c r="P77" s="203">
        <f t="shared" ref="P77:Y77" ca="1" si="139">P79*P36</f>
        <v>388.68891721130205</v>
      </c>
      <c r="Q77" s="203">
        <f t="shared" ca="1" si="139"/>
        <v>522.30576784828497</v>
      </c>
      <c r="R77" s="203">
        <f t="shared" ca="1" si="139"/>
        <v>683.24606148322528</v>
      </c>
      <c r="S77" s="203">
        <f t="shared" ca="1" si="139"/>
        <v>831.86137924588195</v>
      </c>
      <c r="T77" s="203">
        <f t="shared" ca="1" si="139"/>
        <v>1045.1702461558395</v>
      </c>
      <c r="U77" s="203">
        <f t="shared" ca="1" si="139"/>
        <v>1334.231251969562</v>
      </c>
      <c r="V77" s="203">
        <f t="shared" ca="1" si="139"/>
        <v>1650.6994109177197</v>
      </c>
      <c r="W77" s="203">
        <f t="shared" ca="1" si="139"/>
        <v>1920.6572063324932</v>
      </c>
      <c r="X77" s="203">
        <f t="shared" ca="1" si="139"/>
        <v>2470.8444083853547</v>
      </c>
      <c r="Y77" s="203">
        <f t="shared" ca="1" si="139"/>
        <v>3029.6825164858578</v>
      </c>
    </row>
    <row r="78" spans="2:26" s="11" customFormat="1" ht="16.2" x14ac:dyDescent="0.35">
      <c r="B78" s="64" t="s">
        <v>86</v>
      </c>
      <c r="C78" s="195"/>
      <c r="D78" s="189"/>
      <c r="E78" s="189"/>
      <c r="F78" s="647">
        <f t="shared" ref="F78" si="140">(F77/E77)-1</f>
        <v>-0.69444444444444442</v>
      </c>
      <c r="G78" s="647">
        <f t="shared" ref="G78" si="141">(G77/F77)-1</f>
        <v>1.4545454545454546</v>
      </c>
      <c r="H78" s="647">
        <f t="shared" ref="H78" si="142">(H77/G77)-1</f>
        <v>-0.27160493827160492</v>
      </c>
      <c r="I78" s="647">
        <f t="shared" ref="I78" si="143">(I77/H77)-1</f>
        <v>-0.16949152542372881</v>
      </c>
      <c r="J78" s="189">
        <f>(J77/E77)-1</f>
        <v>1.0555555555555554</v>
      </c>
      <c r="K78" s="647">
        <f t="shared" ref="K78" si="144">(K77/F77)-1</f>
        <v>1.9696969696969697</v>
      </c>
      <c r="L78" s="647">
        <f t="shared" ref="L78" si="145">(L77/G77)-1</f>
        <v>-0.59259259259259256</v>
      </c>
      <c r="M78" s="647">
        <f t="shared" ref="M78" si="146">(M77/H77)-1</f>
        <v>0.20338983050847448</v>
      </c>
      <c r="N78" s="647">
        <f t="shared" ref="N78" si="147">(N77/I77)-1</f>
        <v>0.93877551020408156</v>
      </c>
      <c r="O78" s="189">
        <f>(O77/J77)-1</f>
        <v>0.33783783783783794</v>
      </c>
      <c r="P78" s="215">
        <f ca="1">(P77/O77)-1</f>
        <v>0.30871689296734695</v>
      </c>
      <c r="Q78" s="215">
        <f t="shared" ref="Q78:Y78" ca="1" si="148">(Q77/P77)-1</f>
        <v>0.34376295469300744</v>
      </c>
      <c r="R78" s="215">
        <f t="shared" ca="1" si="148"/>
        <v>0.30813424538265655</v>
      </c>
      <c r="S78" s="215">
        <f t="shared" ca="1" si="148"/>
        <v>0.2175136106017721</v>
      </c>
      <c r="T78" s="215">
        <f t="shared" ca="1" si="148"/>
        <v>0.25642357276320626</v>
      </c>
      <c r="U78" s="215">
        <f t="shared" ca="1" si="148"/>
        <v>0.2765683455656105</v>
      </c>
      <c r="V78" s="215">
        <f t="shared" ca="1" si="148"/>
        <v>0.23719138528721651</v>
      </c>
      <c r="W78" s="215">
        <f t="shared" ca="1" si="148"/>
        <v>0.16354146226095057</v>
      </c>
      <c r="X78" s="215">
        <f t="shared" ca="1" si="148"/>
        <v>0.28645778134633781</v>
      </c>
      <c r="Y78" s="215">
        <f t="shared" ca="1" si="148"/>
        <v>0.22617292541932743</v>
      </c>
    </row>
    <row r="79" spans="2:26" s="11" customFormat="1" ht="16.2" x14ac:dyDescent="0.35">
      <c r="B79" s="64" t="s">
        <v>93</v>
      </c>
      <c r="C79" s="198">
        <f>C77/C$36</f>
        <v>0</v>
      </c>
      <c r="D79" s="198">
        <f t="shared" ref="D79:O79" si="149">D77/D$36</f>
        <v>0</v>
      </c>
      <c r="E79" s="198">
        <f t="shared" si="149"/>
        <v>1.3938001703533542E-3</v>
      </c>
      <c r="F79" s="82">
        <f t="shared" si="149"/>
        <v>1.6156670746634027E-3</v>
      </c>
      <c r="G79" s="82">
        <f t="shared" si="149"/>
        <v>2.7068573720090898E-3</v>
      </c>
      <c r="H79" s="82">
        <f t="shared" si="149"/>
        <v>1.8428861471185382E-3</v>
      </c>
      <c r="I79" s="82">
        <f t="shared" si="149"/>
        <v>1.4141414141414141E-3</v>
      </c>
      <c r="J79" s="198">
        <f t="shared" si="149"/>
        <v>1.8972088809885996E-3</v>
      </c>
      <c r="K79" s="82">
        <f t="shared" si="149"/>
        <v>3.13820929934674E-3</v>
      </c>
      <c r="L79" s="82">
        <f t="shared" si="149"/>
        <v>8.6448536924003873E-4</v>
      </c>
      <c r="M79" s="82">
        <f t="shared" si="149"/>
        <v>1.7034140255752022E-3</v>
      </c>
      <c r="N79" s="82">
        <f t="shared" si="149"/>
        <v>2.3614218245090728E-3</v>
      </c>
      <c r="O79" s="198">
        <f t="shared" si="149"/>
        <v>1.9628317648302846E-3</v>
      </c>
      <c r="P79" s="233">
        <f>AVERAGE(E79:O79)</f>
        <v>1.9000839402523396E-3</v>
      </c>
      <c r="Q79" s="233">
        <f t="shared" ref="Q79:Y79" si="150">AVERAGE(F79:P79)</f>
        <v>1.9461097375158833E-3</v>
      </c>
      <c r="R79" s="233">
        <f t="shared" si="150"/>
        <v>1.9761499795933816E-3</v>
      </c>
      <c r="S79" s="233">
        <f t="shared" si="150"/>
        <v>1.9097220348283177E-3</v>
      </c>
      <c r="T79" s="233">
        <f t="shared" si="150"/>
        <v>1.9157980246201156E-3</v>
      </c>
      <c r="U79" s="233">
        <f t="shared" si="150"/>
        <v>1.9614031710272705E-3</v>
      </c>
      <c r="V79" s="233">
        <f t="shared" si="150"/>
        <v>1.9672390155762404E-3</v>
      </c>
      <c r="W79" s="233">
        <f t="shared" si="150"/>
        <v>1.8607871715971044E-3</v>
      </c>
      <c r="X79" s="233">
        <f t="shared" si="150"/>
        <v>1.9513600627204739E-3</v>
      </c>
      <c r="Y79" s="233">
        <f t="shared" si="150"/>
        <v>1.9739006115518623E-3</v>
      </c>
    </row>
    <row r="80" spans="2:26" s="11" customFormat="1" ht="16.2" x14ac:dyDescent="0.35">
      <c r="C80" s="203"/>
      <c r="D80" s="203"/>
      <c r="E80" s="203"/>
      <c r="F80" s="79"/>
      <c r="G80" s="79"/>
      <c r="H80" s="79"/>
      <c r="I80" s="93"/>
      <c r="J80" s="203"/>
      <c r="K80" s="79"/>
      <c r="L80" s="79"/>
      <c r="M80" s="79"/>
      <c r="N80" s="93"/>
      <c r="O80" s="203"/>
      <c r="P80" s="239"/>
      <c r="Q80" s="239"/>
      <c r="R80" s="239"/>
      <c r="S80" s="239"/>
      <c r="T80" s="239"/>
      <c r="U80" s="239"/>
      <c r="V80" s="239"/>
      <c r="W80" s="239"/>
      <c r="X80" s="239"/>
      <c r="Y80" s="239"/>
    </row>
    <row r="81" spans="2:27" s="11" customFormat="1" ht="16.2" x14ac:dyDescent="0.35">
      <c r="B81" s="66" t="s">
        <v>0</v>
      </c>
      <c r="C81" s="195"/>
      <c r="D81" s="203"/>
      <c r="E81" s="203"/>
      <c r="F81" s="79"/>
      <c r="G81" s="79"/>
      <c r="H81" s="79"/>
      <c r="I81" s="93"/>
      <c r="J81" s="203"/>
      <c r="K81" s="79"/>
      <c r="L81" s="79"/>
      <c r="M81" s="79"/>
      <c r="N81" s="93"/>
      <c r="O81" s="203"/>
      <c r="P81" s="239"/>
      <c r="Q81" s="239"/>
      <c r="R81" s="239"/>
      <c r="S81" s="239"/>
      <c r="T81" s="239"/>
      <c r="U81" s="239"/>
      <c r="V81" s="239"/>
      <c r="W81" s="239"/>
      <c r="X81" s="239"/>
      <c r="Y81" s="239"/>
    </row>
    <row r="82" spans="2:27" ht="16.2" x14ac:dyDescent="0.35">
      <c r="B82" s="59" t="s">
        <v>44</v>
      </c>
      <c r="C82" s="197">
        <v>24544</v>
      </c>
      <c r="D82" s="221">
        <v>58256</v>
      </c>
      <c r="E82" s="221">
        <v>41715</v>
      </c>
      <c r="F82" s="93">
        <v>13503</v>
      </c>
      <c r="G82" s="93">
        <v>15904</v>
      </c>
      <c r="H82" s="93">
        <v>17901</v>
      </c>
      <c r="I82" s="93">
        <f>J82-H82-G82-F82</f>
        <v>19511</v>
      </c>
      <c r="J82" s="221">
        <v>66819</v>
      </c>
      <c r="K82" s="93">
        <v>21309</v>
      </c>
      <c r="L82" s="93">
        <v>22475</v>
      </c>
      <c r="M82" s="93">
        <v>26078</v>
      </c>
      <c r="N82" s="93">
        <f>O82-M82-L82-K82</f>
        <v>23176</v>
      </c>
      <c r="O82" s="221">
        <v>93038</v>
      </c>
      <c r="P82" s="203">
        <f>P87*P89</f>
        <v>108714.10666780343</v>
      </c>
      <c r="Q82" s="203">
        <f t="shared" ref="Q82:Y82" si="151">Q84</f>
        <v>140177.46741944828</v>
      </c>
      <c r="R82" s="203">
        <f t="shared" si="151"/>
        <v>175045.55424759505</v>
      </c>
      <c r="S82" s="203">
        <f t="shared" si="151"/>
        <v>209730.94936091642</v>
      </c>
      <c r="T82" s="203">
        <f t="shared" si="151"/>
        <v>247241.45500516452</v>
      </c>
      <c r="U82" s="203">
        <f t="shared" si="151"/>
        <v>287243.12874688266</v>
      </c>
      <c r="V82" s="203">
        <f t="shared" si="151"/>
        <v>326556.20023757208</v>
      </c>
      <c r="W82" s="203">
        <f t="shared" si="151"/>
        <v>367472.72478591523</v>
      </c>
      <c r="X82" s="203">
        <f>X84</f>
        <v>409281.38918795402</v>
      </c>
      <c r="Y82" s="203">
        <f t="shared" si="151"/>
        <v>443656.00946672366</v>
      </c>
      <c r="AA82" s="8">
        <f>(Y82/P82)^(1/10)-1</f>
        <v>0.15100191635273452</v>
      </c>
    </row>
    <row r="83" spans="2:27" x14ac:dyDescent="0.3">
      <c r="B83" s="64" t="s">
        <v>93</v>
      </c>
      <c r="C83" s="198">
        <f>C82/C36</f>
        <v>0.57465289972138323</v>
      </c>
      <c r="D83" s="198">
        <f>D84/D36</f>
        <v>0.52031655250382391</v>
      </c>
      <c r="E83" s="198">
        <f t="shared" ref="E83:O83" si="152">E82/E36</f>
        <v>0.53835531579898299</v>
      </c>
      <c r="F83" s="82">
        <f t="shared" si="152"/>
        <v>0.66110159118727052</v>
      </c>
      <c r="G83" s="82">
        <f t="shared" si="152"/>
        <v>0.53147974869669834</v>
      </c>
      <c r="H83" s="82">
        <f t="shared" si="152"/>
        <v>0.55914415117913474</v>
      </c>
      <c r="I83" s="82">
        <f t="shared" si="152"/>
        <v>0.56308802308802308</v>
      </c>
      <c r="J83" s="198">
        <f t="shared" si="152"/>
        <v>0.5710342352197173</v>
      </c>
      <c r="K83" s="82">
        <f t="shared" si="152"/>
        <v>0.68236838734469063</v>
      </c>
      <c r="L83" s="82">
        <f t="shared" si="152"/>
        <v>0.58876692950514764</v>
      </c>
      <c r="M83" s="82">
        <f t="shared" si="152"/>
        <v>0.62565677406971998</v>
      </c>
      <c r="N83" s="82">
        <f t="shared" si="152"/>
        <v>0.57608749689286598</v>
      </c>
      <c r="O83" s="198">
        <f t="shared" si="152"/>
        <v>0.61487522470127942</v>
      </c>
      <c r="P83" s="215">
        <f>(P82/O82)-1</f>
        <v>0.16849144078552225</v>
      </c>
      <c r="Q83" s="215">
        <f t="shared" ref="Q83:Y83" si="153">(Q82/P82)-1</f>
        <v>0.28941378185433764</v>
      </c>
      <c r="R83" s="215">
        <f t="shared" si="153"/>
        <v>0.24874245105179549</v>
      </c>
      <c r="S83" s="215">
        <f t="shared" si="153"/>
        <v>0.19815067719035162</v>
      </c>
      <c r="T83" s="215">
        <f t="shared" si="153"/>
        <v>0.17885059767549127</v>
      </c>
      <c r="U83" s="215">
        <f t="shared" si="153"/>
        <v>0.16179193631133804</v>
      </c>
      <c r="V83" s="215">
        <f t="shared" si="153"/>
        <v>0.13686340091822324</v>
      </c>
      <c r="W83" s="215">
        <f t="shared" si="153"/>
        <v>0.12529703774901857</v>
      </c>
      <c r="X83" s="215">
        <f t="shared" si="153"/>
        <v>0.11377351727640739</v>
      </c>
      <c r="Y83" s="215">
        <f t="shared" si="153"/>
        <v>8.3987743363976408E-2</v>
      </c>
    </row>
    <row r="84" spans="2:27" ht="16.2" x14ac:dyDescent="0.35">
      <c r="B84" s="6" t="s">
        <v>149</v>
      </c>
      <c r="C84" s="204">
        <f>C82</f>
        <v>24544</v>
      </c>
      <c r="D84" s="213">
        <f>58256-26960</f>
        <v>31296</v>
      </c>
      <c r="E84" s="213">
        <f>E82-1526</f>
        <v>40189</v>
      </c>
      <c r="F84" s="79"/>
      <c r="G84" s="79"/>
      <c r="H84" s="79"/>
      <c r="I84" s="93"/>
      <c r="J84" s="213">
        <f>J82-4745</f>
        <v>62074</v>
      </c>
      <c r="K84" s="79"/>
      <c r="L84" s="79"/>
      <c r="M84" s="79"/>
      <c r="N84" s="93"/>
      <c r="O84" s="213">
        <f>O82-7292</f>
        <v>85746</v>
      </c>
      <c r="P84" s="213">
        <f t="shared" ref="P84:Y84" si="154">P86*(P39+P51+P59)</f>
        <v>108714.10666780343</v>
      </c>
      <c r="Q84" s="213">
        <f t="shared" si="154"/>
        <v>140177.46741944828</v>
      </c>
      <c r="R84" s="213">
        <f t="shared" si="154"/>
        <v>175045.55424759505</v>
      </c>
      <c r="S84" s="213">
        <f t="shared" si="154"/>
        <v>209730.94936091642</v>
      </c>
      <c r="T84" s="213">
        <f t="shared" si="154"/>
        <v>247241.45500516452</v>
      </c>
      <c r="U84" s="213">
        <f t="shared" si="154"/>
        <v>287243.12874688266</v>
      </c>
      <c r="V84" s="213">
        <f t="shared" si="154"/>
        <v>326556.20023757208</v>
      </c>
      <c r="W84" s="213">
        <f t="shared" si="154"/>
        <v>367472.72478591523</v>
      </c>
      <c r="X84" s="213">
        <f t="shared" si="154"/>
        <v>409281.38918795402</v>
      </c>
      <c r="Y84" s="213">
        <f t="shared" si="154"/>
        <v>443656.00946672366</v>
      </c>
    </row>
    <row r="85" spans="2:27" ht="16.2" x14ac:dyDescent="0.35">
      <c r="B85" s="64" t="s">
        <v>86</v>
      </c>
      <c r="C85" s="195"/>
      <c r="D85" s="215">
        <f>(D84/C82)-1</f>
        <v>0.27509778357235981</v>
      </c>
      <c r="E85" s="215">
        <f>(E84/D84)-1</f>
        <v>0.28415771983640092</v>
      </c>
      <c r="F85" s="79"/>
      <c r="G85" s="79"/>
      <c r="H85" s="79"/>
      <c r="I85" s="93"/>
      <c r="J85" s="215">
        <f>(J84/E84)-1</f>
        <v>0.54455199183856284</v>
      </c>
      <c r="K85" s="79"/>
      <c r="L85" s="79"/>
      <c r="M85" s="79"/>
      <c r="N85" s="93"/>
      <c r="O85" s="215">
        <f>(O84/J84)-1</f>
        <v>0.38135129039533466</v>
      </c>
      <c r="P85" s="215">
        <f>(P84/O84)-1</f>
        <v>0.26786213546758364</v>
      </c>
      <c r="Q85" s="215">
        <f t="shared" ref="Q85:Y85" si="155">(Q84/P84)-1</f>
        <v>0.28941378185433764</v>
      </c>
      <c r="R85" s="215">
        <f t="shared" si="155"/>
        <v>0.24874245105179549</v>
      </c>
      <c r="S85" s="215">
        <f t="shared" si="155"/>
        <v>0.19815067719035162</v>
      </c>
      <c r="T85" s="215">
        <f t="shared" si="155"/>
        <v>0.17885059767549127</v>
      </c>
      <c r="U85" s="215">
        <f t="shared" si="155"/>
        <v>0.16179193631133804</v>
      </c>
      <c r="V85" s="215">
        <f t="shared" si="155"/>
        <v>0.13686340091822324</v>
      </c>
      <c r="W85" s="215">
        <f t="shared" si="155"/>
        <v>0.12529703774901857</v>
      </c>
      <c r="X85" s="215">
        <f t="shared" si="155"/>
        <v>0.11377351727640739</v>
      </c>
      <c r="Y85" s="215">
        <f t="shared" si="155"/>
        <v>8.3987743363976408E-2</v>
      </c>
    </row>
    <row r="86" spans="2:27" ht="16.2" x14ac:dyDescent="0.35">
      <c r="B86" s="64" t="s">
        <v>139</v>
      </c>
      <c r="C86" s="198">
        <f t="shared" ref="C86:O86" si="156">C84/(C59+C51+C39)</f>
        <v>1.0070986007960281</v>
      </c>
      <c r="D86" s="198">
        <f t="shared" si="156"/>
        <v>0.95202749977184919</v>
      </c>
      <c r="E86" s="198">
        <f t="shared" si="156"/>
        <v>0.98158415357936646</v>
      </c>
      <c r="F86" s="82">
        <f t="shared" si="156"/>
        <v>0</v>
      </c>
      <c r="G86" s="82">
        <f t="shared" si="156"/>
        <v>0</v>
      </c>
      <c r="H86" s="82">
        <f t="shared" si="156"/>
        <v>0</v>
      </c>
      <c r="I86" s="82">
        <f t="shared" si="156"/>
        <v>0</v>
      </c>
      <c r="J86" s="198">
        <f t="shared" si="156"/>
        <v>1.1258343006384213</v>
      </c>
      <c r="K86" s="82">
        <f t="shared" si="156"/>
        <v>0</v>
      </c>
      <c r="L86" s="82">
        <f t="shared" si="156"/>
        <v>0</v>
      </c>
      <c r="M86" s="82">
        <f t="shared" si="156"/>
        <v>0</v>
      </c>
      <c r="N86" s="82">
        <f t="shared" si="156"/>
        <v>0</v>
      </c>
      <c r="O86" s="198">
        <f t="shared" si="156"/>
        <v>1.1790443451357855</v>
      </c>
      <c r="P86" s="233">
        <f>O86</f>
        <v>1.1790443451357855</v>
      </c>
      <c r="Q86" s="233">
        <f t="shared" ref="Q86:Y86" si="157">P86+$Z$86</f>
        <v>1.2490443451357855</v>
      </c>
      <c r="R86" s="233">
        <f t="shared" si="157"/>
        <v>1.3190443451357856</v>
      </c>
      <c r="S86" s="233">
        <f t="shared" si="157"/>
        <v>1.3890443451357857</v>
      </c>
      <c r="T86" s="233">
        <f t="shared" si="157"/>
        <v>1.4590443451357857</v>
      </c>
      <c r="U86" s="233">
        <f t="shared" si="157"/>
        <v>1.5290443451357858</v>
      </c>
      <c r="V86" s="233">
        <f t="shared" si="157"/>
        <v>1.5990443451357859</v>
      </c>
      <c r="W86" s="233">
        <f t="shared" si="157"/>
        <v>1.6690443451357859</v>
      </c>
      <c r="X86" s="233">
        <f t="shared" si="157"/>
        <v>1.739044345135786</v>
      </c>
      <c r="Y86" s="233">
        <f t="shared" si="157"/>
        <v>1.809044345135786</v>
      </c>
      <c r="Z86" s="141">
        <v>7.0000000000000007E-2</v>
      </c>
    </row>
    <row r="87" spans="2:27" ht="16.2" x14ac:dyDescent="0.35">
      <c r="B87" s="167" t="s">
        <v>150</v>
      </c>
      <c r="C87" s="205">
        <v>282</v>
      </c>
      <c r="D87" s="223">
        <f>403-'Franchise Revenue'!C38</f>
        <v>372</v>
      </c>
      <c r="E87" s="223">
        <f>595-'Franchise Revenue'!D38</f>
        <v>534</v>
      </c>
      <c r="F87" s="165"/>
      <c r="G87" s="165"/>
      <c r="H87" s="165"/>
      <c r="I87" s="166"/>
      <c r="J87" s="223">
        <f>949-'Franchise Revenue'!E38</f>
        <v>851</v>
      </c>
      <c r="K87" s="79"/>
      <c r="L87" s="79"/>
      <c r="M87" s="79"/>
      <c r="N87" s="93"/>
      <c r="O87" s="223">
        <f>1290-'Franchise Revenue'!F38</f>
        <v>1186</v>
      </c>
      <c r="P87" s="223">
        <f>P84/P89</f>
        <v>1496.2034752881136</v>
      </c>
      <c r="Q87" s="223">
        <f>Q84/Q89</f>
        <v>1917.7190670922957</v>
      </c>
      <c r="R87" s="223">
        <f t="shared" ref="R87:Y87" si="158">R84/R89</f>
        <v>2378.0905742498471</v>
      </c>
      <c r="S87" s="223">
        <f t="shared" si="158"/>
        <v>2826.6972539260378</v>
      </c>
      <c r="T87" s="223">
        <f t="shared" si="158"/>
        <v>3302.5309685216848</v>
      </c>
      <c r="U87" s="223">
        <f t="shared" si="158"/>
        <v>3798.8651966801654</v>
      </c>
      <c r="V87" s="223">
        <f t="shared" si="158"/>
        <v>4271.8009961698199</v>
      </c>
      <c r="W87" s="223">
        <f t="shared" si="158"/>
        <v>4750.0444731652224</v>
      </c>
      <c r="X87" s="223">
        <f t="shared" si="158"/>
        <v>5222.5801975287159</v>
      </c>
      <c r="Y87" s="223">
        <f t="shared" si="158"/>
        <v>5583.0502197796286</v>
      </c>
    </row>
    <row r="88" spans="2:27" ht="16.2" x14ac:dyDescent="0.35">
      <c r="B88" s="101" t="s">
        <v>86</v>
      </c>
      <c r="C88" s="205"/>
      <c r="D88" s="215">
        <f>(D87/C87)-1</f>
        <v>0.31914893617021267</v>
      </c>
      <c r="E88" s="215">
        <f t="shared" ref="E88" si="159">(E87/D87)-1</f>
        <v>0.43548387096774199</v>
      </c>
      <c r="F88" s="165"/>
      <c r="G88" s="165"/>
      <c r="H88" s="165"/>
      <c r="I88" s="166"/>
      <c r="J88" s="215">
        <f>(J87/E87)-1</f>
        <v>0.59363295880149813</v>
      </c>
      <c r="K88" s="79"/>
      <c r="L88" s="79"/>
      <c r="M88" s="79"/>
      <c r="N88" s="93"/>
      <c r="O88" s="215">
        <f>(O87/J87)-1</f>
        <v>0.39365452408930679</v>
      </c>
      <c r="P88" s="215">
        <f>(P87/O87)-1</f>
        <v>0.26155436364933693</v>
      </c>
      <c r="Q88" s="215">
        <f t="shared" ref="Q88:Y88" si="160">(Q87/P87)-1</f>
        <v>0.28172344120709503</v>
      </c>
      <c r="R88" s="215">
        <f t="shared" si="160"/>
        <v>0.24006201693326257</v>
      </c>
      <c r="S88" s="215">
        <f t="shared" si="160"/>
        <v>0.18864154483169782</v>
      </c>
      <c r="T88" s="215">
        <f t="shared" si="160"/>
        <v>0.16833557747818784</v>
      </c>
      <c r="U88" s="215">
        <f t="shared" si="160"/>
        <v>0.15028904585281011</v>
      </c>
      <c r="V88" s="215">
        <f t="shared" si="160"/>
        <v>0.12449396727816353</v>
      </c>
      <c r="W88" s="215">
        <f t="shared" si="160"/>
        <v>0.11195359461365473</v>
      </c>
      <c r="X88" s="215">
        <f t="shared" si="160"/>
        <v>9.9480273718072443E-2</v>
      </c>
      <c r="Y88" s="215">
        <f t="shared" si="160"/>
        <v>6.9021443159740237E-2</v>
      </c>
    </row>
    <row r="89" spans="2:27" x14ac:dyDescent="0.3">
      <c r="B89" s="110" t="s">
        <v>490</v>
      </c>
      <c r="C89" s="206">
        <f>(C39+C51+C59)/C87</f>
        <v>86.421985815602838</v>
      </c>
      <c r="D89" s="206">
        <f t="shared" ref="D89:O89" si="161">D84/D87</f>
        <v>84.129032258064512</v>
      </c>
      <c r="E89" s="206">
        <f t="shared" si="161"/>
        <v>75.260299625468164</v>
      </c>
      <c r="F89" s="650"/>
      <c r="G89" s="650"/>
      <c r="H89" s="650"/>
      <c r="I89" s="650"/>
      <c r="J89" s="206">
        <f>J84/J87</f>
        <v>72.942420681551113</v>
      </c>
      <c r="K89" s="650"/>
      <c r="L89" s="650"/>
      <c r="M89" s="650"/>
      <c r="N89" s="650"/>
      <c r="O89" s="206">
        <f t="shared" si="161"/>
        <v>72.298482293423277</v>
      </c>
      <c r="P89" s="206">
        <f>O89*(1+P90)</f>
        <v>72.659974704890388</v>
      </c>
      <c r="Q89" s="206">
        <f t="shared" ref="Q89:Y89" si="162">P89*(1+Q90)</f>
        <v>73.095934553119733</v>
      </c>
      <c r="R89" s="206">
        <f t="shared" si="162"/>
        <v>73.607606094991567</v>
      </c>
      <c r="S89" s="206">
        <f t="shared" si="162"/>
        <v>74.196466943751503</v>
      </c>
      <c r="T89" s="206">
        <f t="shared" si="162"/>
        <v>74.864235146245264</v>
      </c>
      <c r="U89" s="206">
        <f t="shared" si="162"/>
        <v>75.612877497707714</v>
      </c>
      <c r="V89" s="206">
        <f t="shared" si="162"/>
        <v>76.44461915018249</v>
      </c>
      <c r="W89" s="206">
        <f t="shared" si="162"/>
        <v>77.361954579984683</v>
      </c>
      <c r="X89" s="206">
        <f t="shared" si="162"/>
        <v>78.367659989524483</v>
      </c>
      <c r="Y89" s="206">
        <f t="shared" si="162"/>
        <v>79.464807229377826</v>
      </c>
    </row>
    <row r="90" spans="2:27" ht="16.2" x14ac:dyDescent="0.35">
      <c r="B90" s="101" t="s">
        <v>86</v>
      </c>
      <c r="C90" s="200"/>
      <c r="D90" s="215">
        <f>(D89/C89)-1</f>
        <v>-2.6532062829830894E-2</v>
      </c>
      <c r="E90" s="215">
        <f>(E89/D89)-1</f>
        <v>-0.10541821764205783</v>
      </c>
      <c r="F90" s="651"/>
      <c r="G90" s="651"/>
      <c r="H90" s="651"/>
      <c r="I90" s="651"/>
      <c r="J90" s="215">
        <f>(J89/E89)-1</f>
        <v>-3.0798162583087541E-2</v>
      </c>
      <c r="K90" s="651"/>
      <c r="L90" s="651"/>
      <c r="M90" s="651"/>
      <c r="N90" s="651"/>
      <c r="O90" s="215">
        <f>(O89/J89)-1</f>
        <v>-8.8280369928921409E-3</v>
      </c>
      <c r="P90" s="240">
        <v>5.0000000000000001E-3</v>
      </c>
      <c r="Q90" s="240">
        <f>P90+$Z$90</f>
        <v>6.0000000000000001E-3</v>
      </c>
      <c r="R90" s="240">
        <f t="shared" ref="R90:Y90" si="163">Q90+$Z$90</f>
        <v>7.0000000000000001E-3</v>
      </c>
      <c r="S90" s="240">
        <f t="shared" si="163"/>
        <v>8.0000000000000002E-3</v>
      </c>
      <c r="T90" s="240">
        <f t="shared" si="163"/>
        <v>9.0000000000000011E-3</v>
      </c>
      <c r="U90" s="240">
        <f t="shared" si="163"/>
        <v>1.0000000000000002E-2</v>
      </c>
      <c r="V90" s="240">
        <f t="shared" si="163"/>
        <v>1.1000000000000003E-2</v>
      </c>
      <c r="W90" s="240">
        <f t="shared" si="163"/>
        <v>1.2000000000000004E-2</v>
      </c>
      <c r="X90" s="240">
        <f t="shared" si="163"/>
        <v>1.3000000000000005E-2</v>
      </c>
      <c r="Y90" s="240">
        <f t="shared" si="163"/>
        <v>1.4000000000000005E-2</v>
      </c>
      <c r="Z90" s="141">
        <v>1E-3</v>
      </c>
    </row>
    <row r="91" spans="2:27" ht="16.2" x14ac:dyDescent="0.35">
      <c r="B91" s="60" t="s">
        <v>45</v>
      </c>
      <c r="C91" s="197">
        <v>8597</v>
      </c>
      <c r="D91" s="221">
        <v>13060</v>
      </c>
      <c r="E91" s="221">
        <v>19042</v>
      </c>
      <c r="F91" s="93">
        <v>5872</v>
      </c>
      <c r="G91" s="93">
        <v>5364</v>
      </c>
      <c r="H91" s="93">
        <v>5872</v>
      </c>
      <c r="I91" s="93">
        <f>J91-H91-G91-F91</f>
        <v>8424</v>
      </c>
      <c r="J91" s="221">
        <v>25532</v>
      </c>
      <c r="K91" s="93">
        <v>9274</v>
      </c>
      <c r="L91" s="93">
        <v>10134</v>
      </c>
      <c r="M91" s="93">
        <v>10141</v>
      </c>
      <c r="N91" s="93">
        <f>O91-M91-L91-K91</f>
        <v>12180</v>
      </c>
      <c r="O91" s="221">
        <v>41729</v>
      </c>
      <c r="P91" s="203">
        <f>P94*P96</f>
        <v>54634.247988614399</v>
      </c>
      <c r="Q91" s="203">
        <f t="shared" ref="Q91:Y91" si="164">Q94*Q96</f>
        <v>73065.52436743048</v>
      </c>
      <c r="R91" s="203">
        <f t="shared" si="164"/>
        <v>95304.623308833601</v>
      </c>
      <c r="S91" s="203">
        <f t="shared" si="164"/>
        <v>120070.66590501597</v>
      </c>
      <c r="T91" s="203">
        <f t="shared" si="164"/>
        <v>149561.63389499547</v>
      </c>
      <c r="U91" s="203">
        <f t="shared" si="164"/>
        <v>184442.26390890701</v>
      </c>
      <c r="V91" s="203">
        <f t="shared" si="164"/>
        <v>223627.53981353479</v>
      </c>
      <c r="W91" s="203">
        <f t="shared" si="164"/>
        <v>269489.30470461049</v>
      </c>
      <c r="X91" s="203">
        <f t="shared" si="164"/>
        <v>322742.14813046658</v>
      </c>
      <c r="Y91" s="203">
        <f t="shared" si="164"/>
        <v>377943.54671629489</v>
      </c>
      <c r="AA91" s="8">
        <f>(Y91/P91)^(1/10)-1</f>
        <v>0.21337822369938397</v>
      </c>
    </row>
    <row r="92" spans="2:27" ht="16.2" x14ac:dyDescent="0.35">
      <c r="B92" s="64" t="s">
        <v>86</v>
      </c>
      <c r="C92" s="195"/>
      <c r="D92" s="215">
        <f>(D91/C91)-1</f>
        <v>0.51913458183087124</v>
      </c>
      <c r="E92" s="215">
        <f>(E91/D91)-1</f>
        <v>0.4580398162327719</v>
      </c>
      <c r="F92" s="79"/>
      <c r="G92" s="79"/>
      <c r="H92" s="79"/>
      <c r="I92" s="93"/>
      <c r="J92" s="215">
        <f>(J91/E91)-1</f>
        <v>0.34082554353534289</v>
      </c>
      <c r="K92" s="79"/>
      <c r="L92" s="79"/>
      <c r="M92" s="79"/>
      <c r="N92" s="93"/>
      <c r="O92" s="215">
        <f>(O91/J91)-1</f>
        <v>0.63438038539871533</v>
      </c>
      <c r="P92" s="215">
        <f>(P91/O91)-1</f>
        <v>0.30926329383916218</v>
      </c>
      <c r="Q92" s="215">
        <f t="shared" ref="Q92:Y92" si="165">(Q91/P91)-1</f>
        <v>0.3373575560636819</v>
      </c>
      <c r="R92" s="215">
        <f t="shared" si="165"/>
        <v>0.30437198848485059</v>
      </c>
      <c r="S92" s="215">
        <f t="shared" si="165"/>
        <v>0.25986192208040393</v>
      </c>
      <c r="T92" s="215">
        <f t="shared" si="165"/>
        <v>0.24561342912272055</v>
      </c>
      <c r="U92" s="215">
        <f t="shared" si="165"/>
        <v>0.23321910242302257</v>
      </c>
      <c r="V92" s="215">
        <f t="shared" si="165"/>
        <v>0.21245280270459443</v>
      </c>
      <c r="W92" s="215">
        <f t="shared" si="165"/>
        <v>0.20508102414092733</v>
      </c>
      <c r="X92" s="215">
        <f t="shared" si="165"/>
        <v>0.19760651905732218</v>
      </c>
      <c r="Y92" s="215">
        <f t="shared" si="165"/>
        <v>0.17103870351483641</v>
      </c>
    </row>
    <row r="93" spans="2:27" x14ac:dyDescent="0.3">
      <c r="B93" s="64" t="s">
        <v>93</v>
      </c>
      <c r="C93" s="198">
        <f t="shared" ref="C93:Y93" si="166">C91/C36</f>
        <v>0.20128304183933882</v>
      </c>
      <c r="D93" s="198">
        <f t="shared" si="166"/>
        <v>0.21713107667752876</v>
      </c>
      <c r="E93" s="198">
        <f t="shared" si="166"/>
        <v>0.24574761892470898</v>
      </c>
      <c r="F93" s="82">
        <f t="shared" si="166"/>
        <v>0.2874908200734394</v>
      </c>
      <c r="G93" s="82">
        <f t="shared" si="166"/>
        <v>0.1792541104130464</v>
      </c>
      <c r="H93" s="82">
        <f t="shared" si="166"/>
        <v>0.18341402467593315</v>
      </c>
      <c r="I93" s="82">
        <f t="shared" si="166"/>
        <v>0.24311688311688312</v>
      </c>
      <c r="J93" s="198">
        <f t="shared" si="166"/>
        <v>0.21819611328558977</v>
      </c>
      <c r="K93" s="82">
        <f t="shared" si="166"/>
        <v>0.29697707185858846</v>
      </c>
      <c r="L93" s="82">
        <f t="shared" si="166"/>
        <v>0.26547559793571374</v>
      </c>
      <c r="M93" s="82">
        <f t="shared" si="166"/>
        <v>0.24330030469518485</v>
      </c>
      <c r="N93" s="82">
        <f t="shared" si="166"/>
        <v>0.30275913497390006</v>
      </c>
      <c r="O93" s="198">
        <f t="shared" si="166"/>
        <v>0.27578116738923547</v>
      </c>
      <c r="P93" s="198">
        <f t="shared" ca="1" si="166"/>
        <v>0.267076452644252</v>
      </c>
      <c r="Q93" s="198">
        <f t="shared" ca="1" si="166"/>
        <v>0.27224192647526668</v>
      </c>
      <c r="R93" s="198">
        <f t="shared" ca="1" si="166"/>
        <v>0.27564919876458066</v>
      </c>
      <c r="S93" s="198">
        <f t="shared" ca="1" si="166"/>
        <v>0.27564880656340834</v>
      </c>
      <c r="T93" s="198">
        <f t="shared" ca="1" si="166"/>
        <v>0.27414661279236835</v>
      </c>
      <c r="U93" s="198">
        <f t="shared" ca="1" si="166"/>
        <v>0.27114163363236221</v>
      </c>
      <c r="V93" s="198">
        <f t="shared" ca="1" si="166"/>
        <v>0.26651055811180835</v>
      </c>
      <c r="W93" s="198">
        <f t="shared" ca="1" si="166"/>
        <v>0.26108888115152401</v>
      </c>
      <c r="X93" s="198">
        <f t="shared" ca="1" si="166"/>
        <v>0.25488700797229069</v>
      </c>
      <c r="Y93" s="198">
        <f t="shared" ca="1" si="166"/>
        <v>0.24623801138763862</v>
      </c>
    </row>
    <row r="94" spans="2:27" x14ac:dyDescent="0.3">
      <c r="B94" s="167" t="s">
        <v>148</v>
      </c>
      <c r="C94" s="205">
        <f>C87</f>
        <v>282</v>
      </c>
      <c r="D94" s="205">
        <f>D87+'Franchise Revenue'!C38</f>
        <v>403</v>
      </c>
      <c r="E94" s="205">
        <f>E87+'Franchise Revenue'!D38</f>
        <v>595</v>
      </c>
      <c r="F94" s="165"/>
      <c r="G94" s="165"/>
      <c r="H94" s="165"/>
      <c r="I94" s="165"/>
      <c r="J94" s="205">
        <f>J87+'Franchise Revenue'!E38</f>
        <v>949</v>
      </c>
      <c r="K94" s="165"/>
      <c r="L94" s="165"/>
      <c r="M94" s="165"/>
      <c r="N94" s="165"/>
      <c r="O94" s="205">
        <f>O87+'Franchise Revenue'!F38</f>
        <v>1290</v>
      </c>
      <c r="P94" s="205">
        <f>P87+'Franchise Revenue'!G38</f>
        <v>1608.5234752881136</v>
      </c>
      <c r="Q94" s="205">
        <f>Q87+'Franchise Revenue'!H38</f>
        <v>2039.0246670922957</v>
      </c>
      <c r="R94" s="205">
        <f>R87+'Franchise Revenue'!I38</f>
        <v>2509.1006222498472</v>
      </c>
      <c r="S94" s="205">
        <f>S87+'Franchise Revenue'!J38</f>
        <v>2968.188105766038</v>
      </c>
      <c r="T94" s="205">
        <f>T87+'Franchise Revenue'!K38</f>
        <v>3455.3410885088847</v>
      </c>
      <c r="U94" s="205">
        <f>U87+'Franchise Revenue'!L38</f>
        <v>3963.9001262663414</v>
      </c>
      <c r="V94" s="205">
        <f>V87+'Franchise Revenue'!M38</f>
        <v>4450.0387201228896</v>
      </c>
      <c r="W94" s="205">
        <f>W87+'Franchise Revenue'!N38</f>
        <v>4942.5412150345383</v>
      </c>
      <c r="X94" s="205">
        <f>X87+'Franchise Revenue'!O38</f>
        <v>5430.4766787475774</v>
      </c>
      <c r="Y94" s="205">
        <f>Y87+'Franchise Revenue'!P38</f>
        <v>5807.5784194959988</v>
      </c>
      <c r="AA94" s="8">
        <f>(Y94/P94)^(1/10)-1</f>
        <v>0.13699032177404846</v>
      </c>
    </row>
    <row r="95" spans="2:27" x14ac:dyDescent="0.3">
      <c r="B95" s="101" t="s">
        <v>86</v>
      </c>
      <c r="C95" s="198"/>
      <c r="D95" s="198">
        <f>D88</f>
        <v>0.31914893617021267</v>
      </c>
      <c r="E95" s="198">
        <f t="shared" ref="E95:Y95" si="167">E88</f>
        <v>0.43548387096774199</v>
      </c>
      <c r="F95" s="82"/>
      <c r="G95" s="82"/>
      <c r="H95" s="82"/>
      <c r="I95" s="82"/>
      <c r="J95" s="198">
        <f t="shared" si="167"/>
        <v>0.59363295880149813</v>
      </c>
      <c r="K95" s="82"/>
      <c r="L95" s="82"/>
      <c r="M95" s="82"/>
      <c r="N95" s="82"/>
      <c r="O95" s="198">
        <f t="shared" si="167"/>
        <v>0.39365452408930679</v>
      </c>
      <c r="P95" s="198">
        <f t="shared" si="167"/>
        <v>0.26155436364933693</v>
      </c>
      <c r="Q95" s="198">
        <f t="shared" si="167"/>
        <v>0.28172344120709503</v>
      </c>
      <c r="R95" s="198">
        <f t="shared" si="167"/>
        <v>0.24006201693326257</v>
      </c>
      <c r="S95" s="198">
        <f t="shared" si="167"/>
        <v>0.18864154483169782</v>
      </c>
      <c r="T95" s="198">
        <f t="shared" si="167"/>
        <v>0.16833557747818784</v>
      </c>
      <c r="U95" s="198">
        <f t="shared" si="167"/>
        <v>0.15028904585281011</v>
      </c>
      <c r="V95" s="198">
        <f t="shared" si="167"/>
        <v>0.12449396727816353</v>
      </c>
      <c r="W95" s="198">
        <f t="shared" si="167"/>
        <v>0.11195359461365473</v>
      </c>
      <c r="X95" s="198">
        <f t="shared" si="167"/>
        <v>9.9480273718072443E-2</v>
      </c>
      <c r="Y95" s="198">
        <f t="shared" si="167"/>
        <v>6.9021443159740237E-2</v>
      </c>
    </row>
    <row r="96" spans="2:27" x14ac:dyDescent="0.3">
      <c r="B96" s="110" t="s">
        <v>151</v>
      </c>
      <c r="C96" s="207">
        <f t="shared" ref="C96:O96" si="168">C91/C94</f>
        <v>30.48581560283688</v>
      </c>
      <c r="D96" s="207">
        <f t="shared" si="168"/>
        <v>32.406947890818856</v>
      </c>
      <c r="E96" s="207">
        <f t="shared" si="168"/>
        <v>32.003361344537815</v>
      </c>
      <c r="F96" s="85"/>
      <c r="G96" s="85"/>
      <c r="H96" s="85"/>
      <c r="I96" s="85"/>
      <c r="J96" s="207">
        <f t="shared" si="168"/>
        <v>26.904109589041095</v>
      </c>
      <c r="K96" s="85"/>
      <c r="L96" s="85"/>
      <c r="M96" s="85"/>
      <c r="N96" s="85"/>
      <c r="O96" s="207">
        <f t="shared" si="168"/>
        <v>32.348062015503878</v>
      </c>
      <c r="P96" s="207">
        <f>O96*(1+P97)</f>
        <v>33.96546511627907</v>
      </c>
      <c r="Q96" s="207">
        <f t="shared" ref="Q96:Y96" si="169">P96*(1+Q97)</f>
        <v>35.833565697674416</v>
      </c>
      <c r="R96" s="207">
        <f t="shared" si="169"/>
        <v>37.983579639534881</v>
      </c>
      <c r="S96" s="207">
        <f t="shared" si="169"/>
        <v>40.452512316104645</v>
      </c>
      <c r="T96" s="207">
        <f t="shared" si="169"/>
        <v>43.284188178231972</v>
      </c>
      <c r="U96" s="207">
        <f t="shared" si="169"/>
        <v>46.530502291599369</v>
      </c>
      <c r="V96" s="207">
        <f t="shared" si="169"/>
        <v>50.252942474927323</v>
      </c>
      <c r="W96" s="207">
        <f t="shared" si="169"/>
        <v>54.524442585296143</v>
      </c>
      <c r="X96" s="207">
        <f t="shared" si="169"/>
        <v>59.431642417972803</v>
      </c>
      <c r="Y96" s="207">
        <f t="shared" si="169"/>
        <v>65.077648447680218</v>
      </c>
    </row>
    <row r="97" spans="2:27" ht="16.2" x14ac:dyDescent="0.35">
      <c r="B97" s="101" t="s">
        <v>86</v>
      </c>
      <c r="C97" s="198"/>
      <c r="D97" s="198">
        <f>(D96/C96)-1</f>
        <v>6.3017250809691339E-2</v>
      </c>
      <c r="E97" s="198">
        <f t="shared" ref="E97" si="170">(E96/D96)-1</f>
        <v>-1.2453704299483892E-2</v>
      </c>
      <c r="F97" s="82"/>
      <c r="G97" s="82"/>
      <c r="H97" s="82"/>
      <c r="I97" s="82"/>
      <c r="J97" s="198">
        <f>(J96/E96)-1</f>
        <v>-0.15933488050207689</v>
      </c>
      <c r="K97" s="82"/>
      <c r="L97" s="82"/>
      <c r="M97" s="82"/>
      <c r="N97" s="82"/>
      <c r="O97" s="198">
        <f>(O96/J96)-1</f>
        <v>0.20234650057626435</v>
      </c>
      <c r="P97" s="235">
        <v>0.05</v>
      </c>
      <c r="Q97" s="235">
        <f>P97+$Z$97</f>
        <v>5.5E-2</v>
      </c>
      <c r="R97" s="235">
        <f t="shared" ref="R97:Y97" si="171">Q97+$Z$97</f>
        <v>0.06</v>
      </c>
      <c r="S97" s="235">
        <f t="shared" si="171"/>
        <v>6.5000000000000002E-2</v>
      </c>
      <c r="T97" s="235">
        <f t="shared" si="171"/>
        <v>7.0000000000000007E-2</v>
      </c>
      <c r="U97" s="235">
        <f t="shared" si="171"/>
        <v>7.5000000000000011E-2</v>
      </c>
      <c r="V97" s="235">
        <f t="shared" si="171"/>
        <v>8.0000000000000016E-2</v>
      </c>
      <c r="W97" s="235">
        <f t="shared" si="171"/>
        <v>8.500000000000002E-2</v>
      </c>
      <c r="X97" s="235">
        <f t="shared" si="171"/>
        <v>9.0000000000000024E-2</v>
      </c>
      <c r="Y97" s="235">
        <f t="shared" si="171"/>
        <v>9.5000000000000029E-2</v>
      </c>
      <c r="Z97" s="141">
        <v>5.0000000000000001E-3</v>
      </c>
    </row>
    <row r="98" spans="2:27" ht="16.2" x14ac:dyDescent="0.35">
      <c r="B98" s="60" t="s">
        <v>46</v>
      </c>
      <c r="C98" s="197">
        <v>1083</v>
      </c>
      <c r="D98" s="221">
        <v>1298</v>
      </c>
      <c r="E98" s="221">
        <v>725</v>
      </c>
      <c r="F98" s="93">
        <v>309</v>
      </c>
      <c r="G98" s="93">
        <v>319</v>
      </c>
      <c r="H98" s="93">
        <v>376</v>
      </c>
      <c r="I98" s="93">
        <f>J98-H98-G98-F98</f>
        <v>572</v>
      </c>
      <c r="J98" s="221">
        <v>1576</v>
      </c>
      <c r="K98" s="93">
        <v>447</v>
      </c>
      <c r="L98" s="93">
        <v>646</v>
      </c>
      <c r="M98" s="93">
        <v>732</v>
      </c>
      <c r="N98" s="93">
        <f>O98-M98-L98-K98</f>
        <v>1174</v>
      </c>
      <c r="O98" s="221">
        <v>2999</v>
      </c>
      <c r="P98" s="203">
        <f>O98*(1+P99)</f>
        <v>3043.9849999999997</v>
      </c>
      <c r="Q98" s="203">
        <f t="shared" ref="Q98:Y98" si="172">P98*(1+Q99)</f>
        <v>3089.6447749999993</v>
      </c>
      <c r="R98" s="203">
        <f t="shared" si="172"/>
        <v>3135.9894466249989</v>
      </c>
      <c r="S98" s="203">
        <f t="shared" si="172"/>
        <v>3183.0292883243737</v>
      </c>
      <c r="T98" s="203">
        <f t="shared" si="172"/>
        <v>3230.7747276492391</v>
      </c>
      <c r="U98" s="203">
        <f t="shared" si="172"/>
        <v>3279.2363485639776</v>
      </c>
      <c r="V98" s="203">
        <f t="shared" si="172"/>
        <v>3328.4248937924367</v>
      </c>
      <c r="W98" s="203">
        <f t="shared" si="172"/>
        <v>3378.351267199323</v>
      </c>
      <c r="X98" s="203">
        <f t="shared" si="172"/>
        <v>3429.0265362073123</v>
      </c>
      <c r="Y98" s="203">
        <f t="shared" si="172"/>
        <v>3480.4619342504216</v>
      </c>
    </row>
    <row r="99" spans="2:27" x14ac:dyDescent="0.3">
      <c r="B99" s="64" t="s">
        <v>93</v>
      </c>
      <c r="C99" s="198">
        <f t="shared" ref="C99:O99" si="173">C98/C36</f>
        <v>2.5356465547517033E-2</v>
      </c>
      <c r="D99" s="198">
        <f t="shared" si="173"/>
        <v>2.1580102414045354E-2</v>
      </c>
      <c r="E99" s="198">
        <f t="shared" si="173"/>
        <v>9.3565289213535345E-3</v>
      </c>
      <c r="F99" s="82">
        <f t="shared" si="173"/>
        <v>1.5128518971848226E-2</v>
      </c>
      <c r="G99" s="82">
        <f t="shared" si="173"/>
        <v>1.0660339526801229E-2</v>
      </c>
      <c r="H99" s="82">
        <f t="shared" si="173"/>
        <v>1.1744494768077464E-2</v>
      </c>
      <c r="I99" s="82">
        <f t="shared" si="173"/>
        <v>1.650793650793651E-2</v>
      </c>
      <c r="J99" s="198">
        <f t="shared" si="173"/>
        <v>1.3468473857828978E-2</v>
      </c>
      <c r="K99" s="82">
        <f t="shared" si="173"/>
        <v>1.4314077110285641E-2</v>
      </c>
      <c r="L99" s="82">
        <f t="shared" si="173"/>
        <v>1.6922956016032276E-2</v>
      </c>
      <c r="M99" s="82">
        <f t="shared" si="173"/>
        <v>1.7561958686211944E-2</v>
      </c>
      <c r="N99" s="82">
        <f t="shared" si="173"/>
        <v>2.9182202336564753E-2</v>
      </c>
      <c r="O99" s="198">
        <f t="shared" si="173"/>
        <v>1.981997462197314E-2</v>
      </c>
      <c r="P99" s="235">
        <v>1.4999999999999999E-2</v>
      </c>
      <c r="Q99" s="235">
        <v>1.4999999999999999E-2</v>
      </c>
      <c r="R99" s="235">
        <v>1.4999999999999999E-2</v>
      </c>
      <c r="S99" s="235">
        <v>1.4999999999999999E-2</v>
      </c>
      <c r="T99" s="235">
        <v>1.4999999999999999E-2</v>
      </c>
      <c r="U99" s="235">
        <v>1.4999999999999999E-2</v>
      </c>
      <c r="V99" s="235">
        <v>1.4999999999999999E-2</v>
      </c>
      <c r="W99" s="235">
        <v>1.4999999999999999E-2</v>
      </c>
      <c r="X99" s="235">
        <v>1.4999999999999999E-2</v>
      </c>
      <c r="Y99" s="235">
        <v>1.4999999999999999E-2</v>
      </c>
    </row>
    <row r="100" spans="2:27" ht="16.2" x14ac:dyDescent="0.35">
      <c r="B100" s="6"/>
      <c r="C100" s="195"/>
      <c r="D100" s="203"/>
      <c r="E100" s="200"/>
      <c r="F100" s="80"/>
      <c r="G100" s="80"/>
      <c r="H100" s="80"/>
      <c r="I100" s="80"/>
      <c r="J100" s="200"/>
      <c r="K100" s="80"/>
      <c r="L100" s="80"/>
      <c r="M100" s="80"/>
      <c r="N100" s="80"/>
      <c r="O100" s="200"/>
      <c r="P100" s="200"/>
      <c r="Q100" s="200"/>
      <c r="R100" s="200"/>
      <c r="S100" s="200"/>
      <c r="T100" s="200"/>
      <c r="U100" s="200"/>
      <c r="V100" s="200"/>
      <c r="W100" s="200"/>
      <c r="X100" s="200"/>
      <c r="Y100" s="200"/>
    </row>
    <row r="101" spans="2:27" ht="16.2" x14ac:dyDescent="0.35">
      <c r="B101" s="71" t="s">
        <v>307</v>
      </c>
      <c r="C101" s="195">
        <f t="shared" ref="C101:Y101" si="174">C36-C105</f>
        <v>8487</v>
      </c>
      <c r="D101" s="195">
        <f t="shared" si="174"/>
        <v>14494</v>
      </c>
      <c r="E101" s="195">
        <f t="shared" si="174"/>
        <v>17530</v>
      </c>
      <c r="F101" s="699">
        <f t="shared" si="174"/>
        <v>14244</v>
      </c>
      <c r="G101" s="79">
        <f t="shared" si="174"/>
        <v>24241</v>
      </c>
      <c r="H101" s="79">
        <f t="shared" si="174"/>
        <v>25767</v>
      </c>
      <c r="I101" s="700">
        <f t="shared" si="174"/>
        <v>25654</v>
      </c>
      <c r="J101" s="195">
        <f t="shared" si="174"/>
        <v>27832</v>
      </c>
      <c r="K101" s="699">
        <f t="shared" si="174"/>
        <v>21507</v>
      </c>
      <c r="L101" s="79">
        <f t="shared" si="174"/>
        <v>27393</v>
      </c>
      <c r="M101" s="79">
        <f t="shared" si="174"/>
        <v>30808</v>
      </c>
      <c r="N101" s="700">
        <f t="shared" si="174"/>
        <v>26876</v>
      </c>
      <c r="O101" s="195">
        <f t="shared" si="174"/>
        <v>20838</v>
      </c>
      <c r="P101" s="195">
        <f t="shared" ca="1" si="174"/>
        <v>38171.737212566426</v>
      </c>
      <c r="Q101" s="195">
        <f t="shared" ca="1" si="174"/>
        <v>52051.904031902697</v>
      </c>
      <c r="R101" s="195">
        <f t="shared" ca="1" si="174"/>
        <v>72259.888983957993</v>
      </c>
      <c r="S101" s="195">
        <f t="shared" ca="1" si="174"/>
        <v>102608.26586669125</v>
      </c>
      <c r="T101" s="195">
        <f t="shared" ca="1" si="174"/>
        <v>145519.59906724014</v>
      </c>
      <c r="U101" s="195">
        <f t="shared" ca="1" si="174"/>
        <v>205278.6130164942</v>
      </c>
      <c r="V101" s="195">
        <f t="shared" ca="1" si="174"/>
        <v>285582.32120944292</v>
      </c>
      <c r="W101" s="195">
        <f t="shared" ca="1" si="174"/>
        <v>391834.19334147323</v>
      </c>
      <c r="X101" s="195">
        <f t="shared" ca="1" si="174"/>
        <v>530763.98714962171</v>
      </c>
      <c r="Y101" s="195">
        <f t="shared" ca="1" si="174"/>
        <v>709790.83543799177</v>
      </c>
      <c r="AA101" s="1" t="s">
        <v>496</v>
      </c>
    </row>
    <row r="102" spans="2:27" ht="16.2" x14ac:dyDescent="0.35">
      <c r="B102" s="64" t="s">
        <v>152</v>
      </c>
      <c r="C102" s="208">
        <f t="shared" ref="C102:Y102" si="175">C101/C36</f>
        <v>0.1987075928917609</v>
      </c>
      <c r="D102" s="208">
        <f t="shared" si="175"/>
        <v>0.24097226840460198</v>
      </c>
      <c r="E102" s="208">
        <f t="shared" si="175"/>
        <v>0.22623441653976203</v>
      </c>
      <c r="F102" s="652">
        <f t="shared" si="175"/>
        <v>0.69738066095471241</v>
      </c>
      <c r="G102" s="652">
        <f t="shared" si="175"/>
        <v>0.81008555006015237</v>
      </c>
      <c r="H102" s="652">
        <f t="shared" si="175"/>
        <v>0.80484148055598936</v>
      </c>
      <c r="I102" s="652">
        <f t="shared" si="175"/>
        <v>0.74037518037518035</v>
      </c>
      <c r="J102" s="208">
        <f t="shared" si="175"/>
        <v>0.2378518809715077</v>
      </c>
      <c r="K102" s="652">
        <f t="shared" si="175"/>
        <v>0.68870885103112589</v>
      </c>
      <c r="L102" s="652">
        <f t="shared" si="175"/>
        <v>0.71760144604825404</v>
      </c>
      <c r="M102" s="652">
        <f t="shared" si="175"/>
        <v>0.73913773661860316</v>
      </c>
      <c r="N102" s="652">
        <f t="shared" si="175"/>
        <v>0.66805866268953518</v>
      </c>
      <c r="O102" s="208">
        <f t="shared" si="175"/>
        <v>0.13771544887385007</v>
      </c>
      <c r="P102" s="208">
        <f t="shared" ca="1" si="175"/>
        <v>0.18660039336727738</v>
      </c>
      <c r="Q102" s="208">
        <f t="shared" ca="1" si="175"/>
        <v>0.19394523960561072</v>
      </c>
      <c r="R102" s="208">
        <f t="shared" ca="1" si="175"/>
        <v>0.20899700150642506</v>
      </c>
      <c r="S102" s="208">
        <f t="shared" ca="1" si="175"/>
        <v>0.23555999974272476</v>
      </c>
      <c r="T102" s="208">
        <f t="shared" ca="1" si="175"/>
        <v>0.26673755922722814</v>
      </c>
      <c r="U102" s="208">
        <f t="shared" ca="1" si="175"/>
        <v>0.30177236661206386</v>
      </c>
      <c r="V102" s="208">
        <f t="shared" ca="1" si="175"/>
        <v>0.34034584414717889</v>
      </c>
      <c r="W102" s="208">
        <f t="shared" ca="1" si="175"/>
        <v>0.37962007898076316</v>
      </c>
      <c r="X102" s="208">
        <f t="shared" ca="1" si="175"/>
        <v>0.41917315543590644</v>
      </c>
      <c r="Y102" s="208">
        <f t="shared" ca="1" si="175"/>
        <v>0.46244336049113516</v>
      </c>
      <c r="AA102" s="736">
        <f ca="1">(Y102/P102)^(1/10)-1</f>
        <v>9.5001210684898307E-2</v>
      </c>
    </row>
    <row r="103" spans="2:27" ht="16.2" x14ac:dyDescent="0.35">
      <c r="B103" s="64" t="s">
        <v>86</v>
      </c>
      <c r="C103" s="195"/>
      <c r="D103" s="215">
        <f>(D102/C102)-1</f>
        <v>0.21269783855649282</v>
      </c>
      <c r="E103" s="215">
        <f t="shared" ref="E103" si="176">(E102/D102)-1</f>
        <v>-6.1159949907989009E-2</v>
      </c>
      <c r="F103" s="80"/>
      <c r="G103" s="80"/>
      <c r="H103" s="80"/>
      <c r="I103" s="80"/>
      <c r="J103" s="215">
        <f>(J102/E102)-1</f>
        <v>5.1351446032986026E-2</v>
      </c>
      <c r="K103" s="80"/>
      <c r="L103" s="80"/>
      <c r="M103" s="80"/>
      <c r="N103" s="80"/>
      <c r="O103" s="215">
        <f>(O102/J102)-1</f>
        <v>-0.42100332227203607</v>
      </c>
      <c r="P103" s="215">
        <f ca="1">(P102/O102)-1</f>
        <v>0.35497066518809262</v>
      </c>
      <c r="Q103" s="215">
        <f t="shared" ref="Q103:Y103" ca="1" si="177">(Q102/P102)-1</f>
        <v>3.9361365245767832E-2</v>
      </c>
      <c r="R103" s="215">
        <f t="shared" ca="1" si="177"/>
        <v>7.7608308053459973E-2</v>
      </c>
      <c r="S103" s="215">
        <f t="shared" ca="1" si="177"/>
        <v>0.12709750879121162</v>
      </c>
      <c r="T103" s="215">
        <f t="shared" ca="1" si="177"/>
        <v>0.13235506672845587</v>
      </c>
      <c r="U103" s="215">
        <f t="shared" ca="1" si="177"/>
        <v>0.13134560984338273</v>
      </c>
      <c r="V103" s="215">
        <f t="shared" ca="1" si="177"/>
        <v>0.12782309383782064</v>
      </c>
      <c r="W103" s="215">
        <f t="shared" ca="1" si="177"/>
        <v>0.11539507682838201</v>
      </c>
      <c r="X103" s="215">
        <f t="shared" ca="1" si="177"/>
        <v>0.10419121286033861</v>
      </c>
      <c r="Y103" s="215">
        <f t="shared" ca="1" si="177"/>
        <v>0.1032275194489285</v>
      </c>
    </row>
    <row r="104" spans="2:27" ht="16.2" x14ac:dyDescent="0.35">
      <c r="B104" s="64"/>
      <c r="C104" s="195"/>
      <c r="D104" s="215"/>
      <c r="E104" s="215"/>
      <c r="F104" s="80"/>
      <c r="G104" s="80"/>
      <c r="H104" s="80"/>
      <c r="I104" s="80"/>
      <c r="J104" s="215"/>
      <c r="K104" s="80"/>
      <c r="L104" s="80"/>
      <c r="M104" s="80"/>
      <c r="N104" s="80"/>
      <c r="O104" s="215"/>
      <c r="P104" s="215"/>
      <c r="Q104" s="215"/>
      <c r="R104" s="215"/>
      <c r="S104" s="215"/>
      <c r="T104" s="215"/>
      <c r="U104" s="215"/>
      <c r="V104" s="215"/>
      <c r="W104" s="215"/>
      <c r="X104" s="215"/>
      <c r="Y104" s="215"/>
    </row>
    <row r="105" spans="2:27" ht="16.2" x14ac:dyDescent="0.35">
      <c r="B105" s="183" t="s">
        <v>180</v>
      </c>
      <c r="C105" s="209">
        <f>C84+C91+C98</f>
        <v>34224</v>
      </c>
      <c r="D105" s="209">
        <f t="shared" ref="D105:Y105" si="178">D84+D91+D98</f>
        <v>45654</v>
      </c>
      <c r="E105" s="209">
        <f t="shared" si="178"/>
        <v>59956</v>
      </c>
      <c r="F105" s="701">
        <f t="shared" si="178"/>
        <v>6181</v>
      </c>
      <c r="G105" s="168">
        <f t="shared" si="178"/>
        <v>5683</v>
      </c>
      <c r="H105" s="168">
        <f t="shared" si="178"/>
        <v>6248</v>
      </c>
      <c r="I105" s="703">
        <f t="shared" si="178"/>
        <v>8996</v>
      </c>
      <c r="J105" s="209">
        <f t="shared" si="178"/>
        <v>89182</v>
      </c>
      <c r="K105" s="701">
        <f t="shared" si="178"/>
        <v>9721</v>
      </c>
      <c r="L105" s="168">
        <f t="shared" si="178"/>
        <v>10780</v>
      </c>
      <c r="M105" s="168">
        <f t="shared" si="178"/>
        <v>10873</v>
      </c>
      <c r="N105" s="703">
        <f t="shared" si="178"/>
        <v>13354</v>
      </c>
      <c r="O105" s="209">
        <f t="shared" si="178"/>
        <v>130474</v>
      </c>
      <c r="P105" s="209">
        <f t="shared" si="178"/>
        <v>166392.33965641781</v>
      </c>
      <c r="Q105" s="209">
        <f t="shared" si="178"/>
        <v>216332.63656187875</v>
      </c>
      <c r="R105" s="209">
        <f t="shared" si="178"/>
        <v>273486.16700305365</v>
      </c>
      <c r="S105" s="209">
        <f t="shared" si="178"/>
        <v>332984.64455425675</v>
      </c>
      <c r="T105" s="209">
        <f t="shared" si="178"/>
        <v>400033.86362780922</v>
      </c>
      <c r="U105" s="209">
        <f t="shared" si="178"/>
        <v>474964.62900435366</v>
      </c>
      <c r="V105" s="209">
        <f t="shared" si="178"/>
        <v>553512.16494489938</v>
      </c>
      <c r="W105" s="209">
        <f t="shared" si="178"/>
        <v>640340.3807577251</v>
      </c>
      <c r="X105" s="209">
        <f t="shared" si="178"/>
        <v>735452.56385462789</v>
      </c>
      <c r="Y105" s="209">
        <f t="shared" si="178"/>
        <v>825080.01811726892</v>
      </c>
    </row>
    <row r="106" spans="2:27" ht="16.2" x14ac:dyDescent="0.35">
      <c r="B106" s="184" t="s">
        <v>86</v>
      </c>
      <c r="C106" s="195"/>
      <c r="D106" s="198">
        <f>(D105/C105)-1</f>
        <v>0.33397615708274886</v>
      </c>
      <c r="E106" s="198">
        <f t="shared" ref="E106" si="179">(E105/D105)-1</f>
        <v>0.31326937398694521</v>
      </c>
      <c r="F106" s="79"/>
      <c r="G106" s="79"/>
      <c r="H106" s="79"/>
      <c r="I106" s="79"/>
      <c r="J106" s="198">
        <f>(J105/E105)-1</f>
        <v>0.48745746881046093</v>
      </c>
      <c r="K106" s="79"/>
      <c r="L106" s="79"/>
      <c r="M106" s="79"/>
      <c r="N106" s="79"/>
      <c r="O106" s="198">
        <f>(O105/J105)-1</f>
        <v>0.46300823036038663</v>
      </c>
      <c r="P106" s="198">
        <f>(P105/O105)-1</f>
        <v>0.27529116648847896</v>
      </c>
      <c r="Q106" s="198">
        <f t="shared" ref="Q106:Y106" si="180">(Q105/P105)-1</f>
        <v>0.30013579356226527</v>
      </c>
      <c r="R106" s="198">
        <f t="shared" si="180"/>
        <v>0.26419282522277654</v>
      </c>
      <c r="S106" s="198">
        <f t="shared" si="180"/>
        <v>0.21755571114695083</v>
      </c>
      <c r="T106" s="198">
        <f t="shared" si="180"/>
        <v>0.20135829135096173</v>
      </c>
      <c r="U106" s="198">
        <f t="shared" si="180"/>
        <v>0.18731105586166041</v>
      </c>
      <c r="V106" s="198">
        <f t="shared" si="180"/>
        <v>0.16537554829125134</v>
      </c>
      <c r="W106" s="198">
        <f t="shared" si="180"/>
        <v>0.15686776427302052</v>
      </c>
      <c r="X106" s="198">
        <f t="shared" si="180"/>
        <v>0.14853378914563375</v>
      </c>
      <c r="Y106" s="198">
        <f t="shared" si="180"/>
        <v>0.12186707704557964</v>
      </c>
    </row>
    <row r="107" spans="2:27" x14ac:dyDescent="0.3">
      <c r="B107" s="184" t="s">
        <v>284</v>
      </c>
      <c r="C107" s="198">
        <f t="shared" ref="C107:Y107" si="181">C105/C36</f>
        <v>0.80129240710823912</v>
      </c>
      <c r="D107" s="198">
        <f t="shared" si="181"/>
        <v>0.75902773159539805</v>
      </c>
      <c r="E107" s="198">
        <f t="shared" si="181"/>
        <v>0.77376558346023794</v>
      </c>
      <c r="F107" s="702">
        <f t="shared" si="181"/>
        <v>0.30261933904528765</v>
      </c>
      <c r="G107" s="82">
        <f t="shared" si="181"/>
        <v>0.1899144499398476</v>
      </c>
      <c r="H107" s="82">
        <f t="shared" si="181"/>
        <v>0.19515851944401061</v>
      </c>
      <c r="I107" s="704">
        <f t="shared" si="181"/>
        <v>0.25962481962481965</v>
      </c>
      <c r="J107" s="198">
        <f t="shared" si="181"/>
        <v>0.76214811902849233</v>
      </c>
      <c r="K107" s="702">
        <f t="shared" si="181"/>
        <v>0.31129114896887411</v>
      </c>
      <c r="L107" s="82">
        <f t="shared" si="181"/>
        <v>0.28239855395174601</v>
      </c>
      <c r="M107" s="82">
        <f t="shared" si="181"/>
        <v>0.26086226338139679</v>
      </c>
      <c r="N107" s="704">
        <f t="shared" si="181"/>
        <v>0.33194133731046482</v>
      </c>
      <c r="O107" s="198">
        <f t="shared" si="181"/>
        <v>0.86228455112614999</v>
      </c>
      <c r="P107" s="198">
        <f t="shared" ca="1" si="181"/>
        <v>0.81339960663272259</v>
      </c>
      <c r="Q107" s="198">
        <f t="shared" ca="1" si="181"/>
        <v>0.80605476039438928</v>
      </c>
      <c r="R107" s="198">
        <f t="shared" ca="1" si="181"/>
        <v>0.79100299849357492</v>
      </c>
      <c r="S107" s="198">
        <f t="shared" ca="1" si="181"/>
        <v>0.76444000025727521</v>
      </c>
      <c r="T107" s="198">
        <f t="shared" ca="1" si="181"/>
        <v>0.73326244077277181</v>
      </c>
      <c r="U107" s="198">
        <f t="shared" ca="1" si="181"/>
        <v>0.69822763338793614</v>
      </c>
      <c r="V107" s="198">
        <f t="shared" ca="1" si="181"/>
        <v>0.65965415585282117</v>
      </c>
      <c r="W107" s="198">
        <f t="shared" ca="1" si="181"/>
        <v>0.62037992101923689</v>
      </c>
      <c r="X107" s="198">
        <f t="shared" ca="1" si="181"/>
        <v>0.5808268445640935</v>
      </c>
      <c r="Y107" s="198">
        <f t="shared" ca="1" si="181"/>
        <v>0.53755663950886479</v>
      </c>
    </row>
    <row r="108" spans="2:27" x14ac:dyDescent="0.3">
      <c r="B108" s="64"/>
      <c r="C108" s="198"/>
      <c r="D108" s="198"/>
      <c r="E108" s="198"/>
      <c r="F108" s="82"/>
      <c r="G108" s="82"/>
      <c r="H108" s="82"/>
      <c r="I108" s="82"/>
      <c r="J108" s="198"/>
      <c r="K108" s="82"/>
      <c r="L108" s="82"/>
      <c r="M108" s="82"/>
      <c r="N108" s="82"/>
      <c r="O108" s="198"/>
      <c r="P108" s="198"/>
      <c r="Q108" s="198"/>
      <c r="R108" s="198"/>
      <c r="S108" s="198"/>
      <c r="T108" s="198"/>
      <c r="U108" s="198"/>
      <c r="V108" s="198"/>
      <c r="W108" s="198"/>
      <c r="X108" s="198"/>
      <c r="Y108" s="198"/>
    </row>
    <row r="109" spans="2:27" ht="16.2" x14ac:dyDescent="0.35">
      <c r="B109" s="71" t="s">
        <v>308</v>
      </c>
      <c r="C109" s="195">
        <f t="shared" ref="C109:Y109" si="182">C101-C123</f>
        <v>7611</v>
      </c>
      <c r="D109" s="195">
        <f t="shared" si="182"/>
        <v>13030</v>
      </c>
      <c r="E109" s="195">
        <f t="shared" si="182"/>
        <v>15599</v>
      </c>
      <c r="F109" s="79">
        <f t="shared" si="182"/>
        <v>13704</v>
      </c>
      <c r="G109" s="79">
        <f t="shared" si="182"/>
        <v>23529</v>
      </c>
      <c r="H109" s="79">
        <f t="shared" si="182"/>
        <v>24867</v>
      </c>
      <c r="I109" s="79">
        <f t="shared" si="182"/>
        <v>24659</v>
      </c>
      <c r="J109" s="195">
        <f t="shared" si="182"/>
        <v>24685</v>
      </c>
      <c r="K109" s="79">
        <f t="shared" si="182"/>
        <v>20507</v>
      </c>
      <c r="L109" s="79">
        <f t="shared" si="182"/>
        <v>26261</v>
      </c>
      <c r="M109" s="79">
        <f t="shared" si="182"/>
        <v>29620</v>
      </c>
      <c r="N109" s="79">
        <f t="shared" si="182"/>
        <v>25323</v>
      </c>
      <c r="O109" s="195">
        <f t="shared" si="182"/>
        <v>15965</v>
      </c>
      <c r="P109" s="195">
        <f t="shared" ca="1" si="182"/>
        <v>31962.786710350607</v>
      </c>
      <c r="Q109" s="195">
        <f t="shared" ca="1" si="182"/>
        <v>44181.205577529501</v>
      </c>
      <c r="R109" s="195">
        <f t="shared" ca="1" si="182"/>
        <v>62574.682763490629</v>
      </c>
      <c r="S109" s="195">
        <f t="shared" ca="1" si="182"/>
        <v>91150.967721467678</v>
      </c>
      <c r="T109" s="195">
        <f t="shared" ca="1" si="182"/>
        <v>132181.87529980714</v>
      </c>
      <c r="U109" s="195">
        <f t="shared" ca="1" si="182"/>
        <v>189977.83559059657</v>
      </c>
      <c r="V109" s="195">
        <f t="shared" ca="1" si="182"/>
        <v>268405.03373389778</v>
      </c>
      <c r="W109" s="195">
        <f t="shared" ca="1" si="182"/>
        <v>372755.83096083446</v>
      </c>
      <c r="X109" s="195">
        <f t="shared" ca="1" si="182"/>
        <v>509802.17874596029</v>
      </c>
      <c r="Y109" s="195">
        <f t="shared" ca="1" si="182"/>
        <v>687373.40261940716</v>
      </c>
    </row>
    <row r="110" spans="2:27" ht="16.2" x14ac:dyDescent="0.35">
      <c r="B110" s="64" t="s">
        <v>163</v>
      </c>
      <c r="C110" s="208">
        <f t="shared" ref="C110:Y110" si="183">C109/C36</f>
        <v>0.17819765400014048</v>
      </c>
      <c r="D110" s="208">
        <f t="shared" si="183"/>
        <v>0.21663230697612557</v>
      </c>
      <c r="E110" s="208">
        <f t="shared" si="183"/>
        <v>0.20131378571612937</v>
      </c>
      <c r="F110" s="652">
        <f t="shared" si="183"/>
        <v>0.67094247246022032</v>
      </c>
      <c r="G110" s="652">
        <f t="shared" si="183"/>
        <v>0.78629193958026999</v>
      </c>
      <c r="H110" s="652">
        <f t="shared" si="183"/>
        <v>0.77672965797282523</v>
      </c>
      <c r="I110" s="652">
        <f t="shared" si="183"/>
        <v>0.71165945165945166</v>
      </c>
      <c r="J110" s="208">
        <f t="shared" si="183"/>
        <v>0.21095766318560172</v>
      </c>
      <c r="K110" s="652">
        <f t="shared" si="183"/>
        <v>0.65668630716024079</v>
      </c>
      <c r="L110" s="652">
        <f t="shared" si="183"/>
        <v>0.68794697823068662</v>
      </c>
      <c r="M110" s="652">
        <f t="shared" si="183"/>
        <v>0.71063554137376739</v>
      </c>
      <c r="N110" s="652">
        <f t="shared" si="183"/>
        <v>0.62945563012677108</v>
      </c>
      <c r="O110" s="208">
        <f t="shared" si="183"/>
        <v>0.1055104684360791</v>
      </c>
      <c r="P110" s="208">
        <f t="shared" ca="1" si="183"/>
        <v>0.15624828757603221</v>
      </c>
      <c r="Q110" s="208">
        <f t="shared" ca="1" si="183"/>
        <v>0.1646190405743258</v>
      </c>
      <c r="R110" s="208">
        <f t="shared" ca="1" si="183"/>
        <v>0.18098451646789376</v>
      </c>
      <c r="S110" s="208">
        <f t="shared" ca="1" si="183"/>
        <v>0.20925723431398657</v>
      </c>
      <c r="T110" s="208">
        <f t="shared" ca="1" si="183"/>
        <v>0.24228949926708371</v>
      </c>
      <c r="U110" s="208">
        <f t="shared" ca="1" si="183"/>
        <v>0.27927926931874497</v>
      </c>
      <c r="V110" s="208">
        <f t="shared" ca="1" si="183"/>
        <v>0.31987462456585325</v>
      </c>
      <c r="W110" s="208">
        <f t="shared" ca="1" si="183"/>
        <v>0.36113642044142263</v>
      </c>
      <c r="X110" s="208">
        <f t="shared" ca="1" si="183"/>
        <v>0.40261847654860528</v>
      </c>
      <c r="Y110" s="208">
        <f t="shared" ca="1" si="183"/>
        <v>0.44783794091028994</v>
      </c>
    </row>
    <row r="111" spans="2:27" ht="16.2" x14ac:dyDescent="0.35">
      <c r="B111" s="64" t="s">
        <v>86</v>
      </c>
      <c r="C111" s="195"/>
      <c r="D111" s="208">
        <f>(D109/C109)-1</f>
        <v>0.71199579555905923</v>
      </c>
      <c r="E111" s="208">
        <f>(E109/D109)-1</f>
        <v>0.19716039907904825</v>
      </c>
      <c r="F111" s="79"/>
      <c r="G111" s="79"/>
      <c r="H111" s="79"/>
      <c r="I111" s="79"/>
      <c r="J111" s="208">
        <f>(J109/E109)-1</f>
        <v>0.5824732354638118</v>
      </c>
      <c r="K111" s="79"/>
      <c r="L111" s="79"/>
      <c r="M111" s="79"/>
      <c r="N111" s="79"/>
      <c r="O111" s="208">
        <f>(O109/J109)-1</f>
        <v>-0.35325096212274665</v>
      </c>
      <c r="P111" s="208">
        <f ca="1">(P109/O109)-1</f>
        <v>1.0020536617820612</v>
      </c>
      <c r="Q111" s="208">
        <f t="shared" ref="Q111:Y111" ca="1" si="184">(Q109/P109)-1</f>
        <v>0.38227013739143612</v>
      </c>
      <c r="R111" s="208">
        <f t="shared" ca="1" si="184"/>
        <v>0.41631904212491722</v>
      </c>
      <c r="S111" s="208">
        <f t="shared" ca="1" si="184"/>
        <v>0.45667486746972297</v>
      </c>
      <c r="T111" s="208">
        <f t="shared" ca="1" si="184"/>
        <v>0.45014231449213638</v>
      </c>
      <c r="U111" s="208">
        <f t="shared" ca="1" si="184"/>
        <v>0.43724572797669903</v>
      </c>
      <c r="V111" s="208">
        <f t="shared" ca="1" si="184"/>
        <v>0.4128228848354305</v>
      </c>
      <c r="W111" s="208">
        <f t="shared" ca="1" si="184"/>
        <v>0.38878107379458537</v>
      </c>
      <c r="X111" s="208">
        <f t="shared" ca="1" si="184"/>
        <v>0.36765715356314654</v>
      </c>
      <c r="Y111" s="208">
        <f t="shared" ca="1" si="184"/>
        <v>0.34831397604115066</v>
      </c>
    </row>
    <row r="112" spans="2:27" ht="16.8" thickBot="1" x14ac:dyDescent="0.4">
      <c r="B112" s="6"/>
      <c r="C112" s="195"/>
      <c r="D112" s="203"/>
      <c r="E112" s="200"/>
      <c r="F112" s="80"/>
      <c r="G112" s="80"/>
      <c r="H112" s="80"/>
      <c r="I112" s="80"/>
      <c r="J112" s="200"/>
      <c r="K112" s="80"/>
      <c r="L112" s="80"/>
      <c r="M112" s="80"/>
      <c r="N112" s="80"/>
      <c r="O112" s="200"/>
      <c r="P112" s="200"/>
      <c r="Q112" s="200"/>
      <c r="R112" s="200"/>
      <c r="S112" s="200"/>
      <c r="T112" s="200"/>
      <c r="U112" s="200"/>
      <c r="V112" s="200"/>
      <c r="W112" s="200"/>
      <c r="X112" s="200"/>
      <c r="Y112" s="200"/>
    </row>
    <row r="113" spans="2:25" ht="16.8" thickBot="1" x14ac:dyDescent="0.4">
      <c r="B113" s="61" t="s">
        <v>81</v>
      </c>
      <c r="C113" s="210">
        <f t="shared" ref="C113:Y113" si="185">C109*(1-C130)</f>
        <v>7611</v>
      </c>
      <c r="D113" s="210">
        <f t="shared" si="185"/>
        <v>13351.136787792295</v>
      </c>
      <c r="E113" s="210">
        <f t="shared" si="185"/>
        <v>13858.361971589937</v>
      </c>
      <c r="F113" s="81">
        <f t="shared" si="185"/>
        <v>13748.500554411532</v>
      </c>
      <c r="G113" s="81">
        <f t="shared" si="185"/>
        <v>23781.796132151489</v>
      </c>
      <c r="H113" s="81">
        <f t="shared" si="185"/>
        <v>25218.826330412481</v>
      </c>
      <c r="I113" s="81">
        <f t="shared" si="185"/>
        <v>25145.622673198042</v>
      </c>
      <c r="J113" s="210">
        <f t="shared" si="185"/>
        <v>26126.815744920994</v>
      </c>
      <c r="K113" s="81">
        <f t="shared" si="185"/>
        <v>20825.559547712139</v>
      </c>
      <c r="L113" s="81">
        <f t="shared" si="185"/>
        <v>26023.925957412353</v>
      </c>
      <c r="M113" s="81">
        <f t="shared" si="185"/>
        <v>32375.174655926017</v>
      </c>
      <c r="N113" s="81">
        <f t="shared" si="185"/>
        <v>24884.40995156319</v>
      </c>
      <c r="O113" s="210">
        <f t="shared" si="185"/>
        <v>22059.566955363091</v>
      </c>
      <c r="P113" s="210">
        <f t="shared" ca="1" si="185"/>
        <v>27168.368703798016</v>
      </c>
      <c r="Q113" s="210">
        <f t="shared" ca="1" si="185"/>
        <v>37554.024740900073</v>
      </c>
      <c r="R113" s="210">
        <f t="shared" ca="1" si="185"/>
        <v>53188.48034896703</v>
      </c>
      <c r="S113" s="210">
        <f t="shared" ca="1" si="185"/>
        <v>77478.322563247522</v>
      </c>
      <c r="T113" s="210">
        <f t="shared" ca="1" si="185"/>
        <v>112354.59400483606</v>
      </c>
      <c r="U113" s="210">
        <f t="shared" ca="1" si="185"/>
        <v>150082.49011657131</v>
      </c>
      <c r="V113" s="210">
        <f t="shared" ca="1" si="185"/>
        <v>212039.97664977927</v>
      </c>
      <c r="W113" s="210">
        <f t="shared" ca="1" si="185"/>
        <v>294477.10645905923</v>
      </c>
      <c r="X113" s="210">
        <f t="shared" ca="1" si="185"/>
        <v>402743.72120930866</v>
      </c>
      <c r="Y113" s="413">
        <f t="shared" ca="1" si="185"/>
        <v>543024.98806933174</v>
      </c>
    </row>
    <row r="114" spans="2:25" ht="16.2" x14ac:dyDescent="0.35">
      <c r="B114" s="3"/>
      <c r="C114" s="195"/>
      <c r="D114" s="203"/>
      <c r="E114" s="200"/>
      <c r="F114" s="80"/>
      <c r="G114" s="80"/>
      <c r="H114" s="80"/>
      <c r="I114" s="80"/>
      <c r="J114" s="200"/>
      <c r="K114" s="80"/>
      <c r="L114" s="80"/>
      <c r="M114" s="80"/>
      <c r="N114" s="80"/>
      <c r="O114" s="200"/>
      <c r="P114" s="200"/>
      <c r="Q114" s="200"/>
      <c r="R114" s="200"/>
      <c r="S114" s="200"/>
      <c r="T114" s="200"/>
      <c r="U114" s="200"/>
      <c r="V114" s="200"/>
      <c r="W114" s="200"/>
      <c r="X114" s="200"/>
      <c r="Y114" s="200"/>
    </row>
    <row r="115" spans="2:25" ht="16.2" x14ac:dyDescent="0.35">
      <c r="B115" s="65" t="s">
        <v>48</v>
      </c>
      <c r="C115" s="195"/>
      <c r="D115" s="203"/>
      <c r="E115" s="200"/>
      <c r="F115" s="80"/>
      <c r="G115" s="80"/>
      <c r="H115" s="80"/>
      <c r="I115" s="80"/>
      <c r="J115" s="200"/>
      <c r="K115" s="80"/>
      <c r="L115" s="80"/>
      <c r="M115" s="80"/>
      <c r="N115" s="80"/>
      <c r="O115" s="200"/>
      <c r="P115" s="200"/>
      <c r="Q115" s="200"/>
      <c r="R115" s="200"/>
      <c r="S115" s="200"/>
      <c r="T115" s="200"/>
      <c r="U115" s="200"/>
      <c r="V115" s="200"/>
      <c r="W115" s="200"/>
      <c r="X115" s="200"/>
      <c r="Y115" s="200"/>
    </row>
    <row r="116" spans="2:25" ht="16.2" x14ac:dyDescent="0.35">
      <c r="B116" s="60" t="s">
        <v>34</v>
      </c>
      <c r="C116" s="197">
        <v>3541</v>
      </c>
      <c r="D116" s="221">
        <v>-22</v>
      </c>
      <c r="E116" s="221">
        <v>0</v>
      </c>
      <c r="F116" s="93">
        <v>66</v>
      </c>
      <c r="G116" s="93">
        <v>0</v>
      </c>
      <c r="H116" s="93">
        <v>10</v>
      </c>
      <c r="I116" s="93">
        <f>J116-H116-G116-F116</f>
        <v>14</v>
      </c>
      <c r="J116" s="221">
        <v>90</v>
      </c>
      <c r="K116" s="93">
        <v>20</v>
      </c>
      <c r="L116" s="93">
        <v>119</v>
      </c>
      <c r="M116" s="93">
        <v>7</v>
      </c>
      <c r="N116" s="93">
        <f>O116-M116-L116-K116</f>
        <v>39</v>
      </c>
      <c r="O116" s="221">
        <v>185</v>
      </c>
      <c r="P116" s="203">
        <f t="shared" ref="P116:Y116" ca="1" si="186">P117*P36</f>
        <v>157.33815541908302</v>
      </c>
      <c r="Q116" s="203">
        <f t="shared" ca="1" si="186"/>
        <v>206.42494618968954</v>
      </c>
      <c r="R116" s="203">
        <f t="shared" ca="1" si="186"/>
        <v>265.92668431838109</v>
      </c>
      <c r="S116" s="203">
        <f t="shared" ca="1" si="186"/>
        <v>335.03138032957867</v>
      </c>
      <c r="T116" s="203">
        <f t="shared" ca="1" si="186"/>
        <v>419.60630046451229</v>
      </c>
      <c r="U116" s="203">
        <f t="shared" ca="1" si="186"/>
        <v>523.20142702476892</v>
      </c>
      <c r="V116" s="203">
        <f t="shared" ca="1" si="186"/>
        <v>645.38007207591238</v>
      </c>
      <c r="W116" s="203">
        <f t="shared" ca="1" si="186"/>
        <v>793.88544677498294</v>
      </c>
      <c r="X116" s="203">
        <f t="shared" ca="1" si="186"/>
        <v>973.89619695406077</v>
      </c>
      <c r="Y116" s="203">
        <f t="shared" ca="1" si="186"/>
        <v>1180.5286275144297</v>
      </c>
    </row>
    <row r="117" spans="2:25" x14ac:dyDescent="0.3">
      <c r="B117" s="64" t="s">
        <v>93</v>
      </c>
      <c r="C117" s="202">
        <f t="shared" ref="C117:O117" si="187">C116/C36</f>
        <v>8.290604293975791E-2</v>
      </c>
      <c r="D117" s="202">
        <f t="shared" si="187"/>
        <v>-3.65764447695684E-4</v>
      </c>
      <c r="E117" s="202">
        <f t="shared" si="187"/>
        <v>0</v>
      </c>
      <c r="F117" s="649">
        <f t="shared" si="187"/>
        <v>3.2313341493268055E-3</v>
      </c>
      <c r="G117" s="649">
        <f t="shared" si="187"/>
        <v>0</v>
      </c>
      <c r="H117" s="649">
        <f t="shared" si="187"/>
        <v>3.1235358425737937E-4</v>
      </c>
      <c r="I117" s="649">
        <f t="shared" si="187"/>
        <v>4.0404040404040404E-4</v>
      </c>
      <c r="J117" s="202">
        <f t="shared" si="187"/>
        <v>7.6913873553591879E-4</v>
      </c>
      <c r="K117" s="649">
        <f t="shared" si="187"/>
        <v>6.4045087741770206E-4</v>
      </c>
      <c r="L117" s="649">
        <f t="shared" si="187"/>
        <v>3.1173866345322611E-3</v>
      </c>
      <c r="M117" s="649">
        <f t="shared" si="187"/>
        <v>1.6794222787361147E-4</v>
      </c>
      <c r="N117" s="649">
        <f t="shared" si="187"/>
        <v>9.6942580164056675E-4</v>
      </c>
      <c r="O117" s="202">
        <f t="shared" si="187"/>
        <v>1.2226393147932748E-3</v>
      </c>
      <c r="P117" s="238">
        <f>$J$117</f>
        <v>7.6913873553591879E-4</v>
      </c>
      <c r="Q117" s="238">
        <f t="shared" ref="Q117:Y117" si="188">$J$117</f>
        <v>7.6913873553591879E-4</v>
      </c>
      <c r="R117" s="238">
        <f t="shared" si="188"/>
        <v>7.6913873553591879E-4</v>
      </c>
      <c r="S117" s="238">
        <f t="shared" si="188"/>
        <v>7.6913873553591879E-4</v>
      </c>
      <c r="T117" s="238">
        <f t="shared" si="188"/>
        <v>7.6913873553591879E-4</v>
      </c>
      <c r="U117" s="238">
        <f t="shared" si="188"/>
        <v>7.6913873553591879E-4</v>
      </c>
      <c r="V117" s="238">
        <f t="shared" si="188"/>
        <v>7.6913873553591879E-4</v>
      </c>
      <c r="W117" s="238">
        <f t="shared" si="188"/>
        <v>7.6913873553591879E-4</v>
      </c>
      <c r="X117" s="238">
        <f t="shared" si="188"/>
        <v>7.6913873553591879E-4</v>
      </c>
      <c r="Y117" s="238">
        <f t="shared" si="188"/>
        <v>7.6913873553591879E-4</v>
      </c>
    </row>
    <row r="118" spans="2:25" ht="16.2" x14ac:dyDescent="0.35">
      <c r="B118" s="60" t="s">
        <v>49</v>
      </c>
      <c r="C118" s="197">
        <v>-2474</v>
      </c>
      <c r="D118" s="221">
        <v>-4266</v>
      </c>
      <c r="E118" s="221">
        <v>-2387</v>
      </c>
      <c r="F118" s="93">
        <v>-604</v>
      </c>
      <c r="G118" s="93">
        <v>-479</v>
      </c>
      <c r="H118" s="93">
        <v>-582</v>
      </c>
      <c r="I118" s="93">
        <f>J118-H118-G118-F118</f>
        <v>-645</v>
      </c>
      <c r="J118" s="221">
        <v>-2310</v>
      </c>
      <c r="K118" s="93">
        <v>-601</v>
      </c>
      <c r="L118" s="93">
        <v>-546</v>
      </c>
      <c r="M118" s="93">
        <v>-756</v>
      </c>
      <c r="N118" s="93">
        <f>O118-M118-L118-K118</f>
        <v>-951</v>
      </c>
      <c r="O118" s="221">
        <v>-2854</v>
      </c>
      <c r="P118" s="203">
        <f t="shared" ref="P118:Y118" si="189">P119*P176</f>
        <v>-3191.6080000000002</v>
      </c>
      <c r="Q118" s="203">
        <f t="shared" si="189"/>
        <v>-2999.1080000000002</v>
      </c>
      <c r="R118" s="203">
        <f t="shared" si="189"/>
        <v>-2736.6080000000002</v>
      </c>
      <c r="S118" s="203">
        <f t="shared" si="189"/>
        <v>-2456.6080000000002</v>
      </c>
      <c r="T118" s="203">
        <f t="shared" si="189"/>
        <v>-549.10800000000006</v>
      </c>
      <c r="U118" s="203">
        <f t="shared" si="189"/>
        <v>0</v>
      </c>
      <c r="V118" s="203">
        <f t="shared" si="189"/>
        <v>0</v>
      </c>
      <c r="W118" s="203">
        <f t="shared" si="189"/>
        <v>0</v>
      </c>
      <c r="X118" s="203">
        <f t="shared" si="189"/>
        <v>0</v>
      </c>
      <c r="Y118" s="203">
        <f t="shared" si="189"/>
        <v>0</v>
      </c>
    </row>
    <row r="119" spans="2:25" x14ac:dyDescent="0.3">
      <c r="B119" s="64" t="s">
        <v>164</v>
      </c>
      <c r="C119" s="198">
        <f t="shared" ref="C119:O119" si="190">C118/C176</f>
        <v>-5.137469889525708E-2</v>
      </c>
      <c r="D119" s="198">
        <f t="shared" si="190"/>
        <v>-9.2846105295231462E-2</v>
      </c>
      <c r="E119" s="198">
        <f t="shared" si="190"/>
        <v>-5.661630416735846E-2</v>
      </c>
      <c r="F119" s="82">
        <f t="shared" si="190"/>
        <v>-1.3608814185611608E-2</v>
      </c>
      <c r="G119" s="82">
        <f t="shared" si="190"/>
        <v>-5.8937887587360962E-3</v>
      </c>
      <c r="H119" s="82">
        <f t="shared" si="190"/>
        <v>-7.2449335258676492E-3</v>
      </c>
      <c r="I119" s="82">
        <f t="shared" si="190"/>
        <v>-8.1226072939754174E-3</v>
      </c>
      <c r="J119" s="198">
        <f t="shared" si="190"/>
        <v>-2.9090267983074753E-2</v>
      </c>
      <c r="K119" s="82">
        <f t="shared" si="190"/>
        <v>-7.6585875576624107E-3</v>
      </c>
      <c r="L119" s="82">
        <f t="shared" si="190"/>
        <v>-7.1336181554501627E-3</v>
      </c>
      <c r="M119" s="82">
        <f t="shared" si="190"/>
        <v>-6.3234494584082637E-3</v>
      </c>
      <c r="N119" s="82">
        <f t="shared" si="190"/>
        <v>-8.034741173190493E-3</v>
      </c>
      <c r="O119" s="198">
        <f t="shared" si="190"/>
        <v>-2.4112672248460219E-2</v>
      </c>
      <c r="P119" s="233">
        <f>-(0.025+0.003)</f>
        <v>-2.8000000000000001E-2</v>
      </c>
      <c r="Q119" s="233">
        <f t="shared" ref="Q119:Y119" si="191">-(0.025+0.003)</f>
        <v>-2.8000000000000001E-2</v>
      </c>
      <c r="R119" s="233">
        <f t="shared" si="191"/>
        <v>-2.8000000000000001E-2</v>
      </c>
      <c r="S119" s="233">
        <f t="shared" si="191"/>
        <v>-2.8000000000000001E-2</v>
      </c>
      <c r="T119" s="233">
        <f t="shared" si="191"/>
        <v>-2.8000000000000001E-2</v>
      </c>
      <c r="U119" s="233">
        <f t="shared" si="191"/>
        <v>-2.8000000000000001E-2</v>
      </c>
      <c r="V119" s="233">
        <f t="shared" si="191"/>
        <v>-2.8000000000000001E-2</v>
      </c>
      <c r="W119" s="233">
        <f t="shared" si="191"/>
        <v>-2.8000000000000001E-2</v>
      </c>
      <c r="X119" s="233">
        <f t="shared" si="191"/>
        <v>-2.8000000000000001E-2</v>
      </c>
      <c r="Y119" s="233">
        <f t="shared" si="191"/>
        <v>-2.8000000000000001E-2</v>
      </c>
    </row>
    <row r="120" spans="2:25" ht="16.2" x14ac:dyDescent="0.35">
      <c r="B120" s="742" t="s">
        <v>306</v>
      </c>
      <c r="C120" s="197"/>
      <c r="D120" s="221">
        <v>26960</v>
      </c>
      <c r="E120" s="221">
        <v>1526</v>
      </c>
      <c r="F120" s="93">
        <v>540</v>
      </c>
      <c r="G120" s="93">
        <v>712</v>
      </c>
      <c r="H120" s="93">
        <v>900</v>
      </c>
      <c r="I120" s="93">
        <f>J120-H120-G120-F120</f>
        <v>2593</v>
      </c>
      <c r="J120" s="221">
        <v>4745</v>
      </c>
      <c r="K120" s="93">
        <v>1000</v>
      </c>
      <c r="L120" s="93">
        <v>1132</v>
      </c>
      <c r="M120" s="93">
        <v>1188</v>
      </c>
      <c r="N120" s="93">
        <f>O120-M120-L120-K120</f>
        <v>3972</v>
      </c>
      <c r="O120" s="221">
        <v>7292</v>
      </c>
      <c r="P120" s="243">
        <f>(24360/7.73)+(14700/2.29)</f>
        <v>9570.5723179129691</v>
      </c>
      <c r="Q120" s="243">
        <f>(24360/7.73)+(14700/2.29)</f>
        <v>9570.5723179129691</v>
      </c>
      <c r="R120" s="243">
        <f>(24360/7.73)+((14700/2.29)*0.29)</f>
        <v>5012.9303965155887</v>
      </c>
      <c r="S120" s="243">
        <f>(24360/7.73)</f>
        <v>3151.3583441138421</v>
      </c>
      <c r="T120" s="243">
        <f>(24360/7.73)</f>
        <v>3151.3583441138421</v>
      </c>
      <c r="U120" s="243">
        <f>(24360/7.73)</f>
        <v>3151.3583441138421</v>
      </c>
      <c r="V120" s="243">
        <f>(24360/7.73)</f>
        <v>3151.3583441138421</v>
      </c>
      <c r="W120" s="243">
        <f>(24360/7.73)*0.73</f>
        <v>2300.4915912031047</v>
      </c>
      <c r="X120" s="243">
        <f ca="1">X122*X36</f>
        <v>2822.1200185730636</v>
      </c>
      <c r="Y120" s="243">
        <f ca="1">Y122*Y36</f>
        <v>3420.891756869863</v>
      </c>
    </row>
    <row r="121" spans="2:25" x14ac:dyDescent="0.3">
      <c r="B121" s="64" t="s">
        <v>178</v>
      </c>
      <c r="C121" s="198"/>
      <c r="D121" s="198"/>
      <c r="E121" s="198"/>
      <c r="F121" s="82"/>
      <c r="G121" s="82"/>
      <c r="H121" s="82"/>
      <c r="I121" s="82"/>
      <c r="J121" s="198">
        <f>(J120/E120)-1</f>
        <v>2.1094364351245085</v>
      </c>
      <c r="K121" s="82"/>
      <c r="L121" s="82"/>
      <c r="M121" s="82"/>
      <c r="N121" s="82"/>
      <c r="O121" s="441">
        <f>(O120/J120)-1</f>
        <v>0.53677555321390935</v>
      </c>
      <c r="P121" s="215">
        <f>(P120/O120)-1</f>
        <v>0.31247563328482841</v>
      </c>
      <c r="Q121" s="106">
        <f t="shared" ref="Q121:Y121" si="192">(Q120/P120)-1</f>
        <v>0</v>
      </c>
      <c r="R121" s="442">
        <f t="shared" si="192"/>
        <v>-0.47621414582145427</v>
      </c>
      <c r="S121" s="442">
        <f t="shared" si="192"/>
        <v>-0.37135405943312061</v>
      </c>
      <c r="T121" s="442">
        <f t="shared" si="192"/>
        <v>0</v>
      </c>
      <c r="U121" s="442">
        <f>(U120/T120)-1</f>
        <v>0</v>
      </c>
      <c r="V121" s="442">
        <f t="shared" si="192"/>
        <v>0</v>
      </c>
      <c r="W121" s="442">
        <f t="shared" si="192"/>
        <v>-0.27</v>
      </c>
      <c r="X121" s="442">
        <f t="shared" ca="1" si="192"/>
        <v>0.22674650468822577</v>
      </c>
      <c r="Y121" s="215">
        <f t="shared" ca="1" si="192"/>
        <v>0.2121708978909953</v>
      </c>
    </row>
    <row r="122" spans="2:25" x14ac:dyDescent="0.3">
      <c r="B122" s="64" t="s">
        <v>93</v>
      </c>
      <c r="C122" s="202">
        <f t="shared" ref="C122:W122" si="193">C120/C36</f>
        <v>0</v>
      </c>
      <c r="D122" s="202">
        <f t="shared" si="193"/>
        <v>0.44822770499434728</v>
      </c>
      <c r="E122" s="202">
        <f t="shared" si="193"/>
        <v>1.9693880184807579E-2</v>
      </c>
      <c r="F122" s="705">
        <f t="shared" si="193"/>
        <v>2.6438188494492042E-2</v>
      </c>
      <c r="G122" s="649">
        <f t="shared" si="193"/>
        <v>2.379361047988237E-2</v>
      </c>
      <c r="H122" s="649">
        <f t="shared" si="193"/>
        <v>2.811182258316414E-2</v>
      </c>
      <c r="I122" s="711">
        <f t="shared" si="193"/>
        <v>7.4834054834054836E-2</v>
      </c>
      <c r="J122" s="202">
        <f t="shared" si="193"/>
        <v>4.0550703334643716E-2</v>
      </c>
      <c r="K122" s="705">
        <f t="shared" si="193"/>
        <v>3.2022543870885101E-2</v>
      </c>
      <c r="L122" s="649">
        <f t="shared" si="193"/>
        <v>2.9654467817567389E-2</v>
      </c>
      <c r="M122" s="649">
        <f t="shared" si="193"/>
        <v>2.8502195244835778E-2</v>
      </c>
      <c r="N122" s="711">
        <f t="shared" si="193"/>
        <v>9.8732289336316184E-2</v>
      </c>
      <c r="O122" s="202">
        <f t="shared" si="193"/>
        <v>4.8191815586338164E-2</v>
      </c>
      <c r="P122" s="202">
        <f t="shared" ca="1" si="193"/>
        <v>4.6785205224681596E-2</v>
      </c>
      <c r="Q122" s="202">
        <f t="shared" ca="1" si="193"/>
        <v>3.5659923990922757E-2</v>
      </c>
      <c r="R122" s="202">
        <f t="shared" ca="1" si="193"/>
        <v>1.4498879480215691E-2</v>
      </c>
      <c r="S122" s="202">
        <f t="shared" ca="1" si="193"/>
        <v>7.2346410346036958E-3</v>
      </c>
      <c r="T122" s="202">
        <f t="shared" ca="1" si="193"/>
        <v>5.7764427496180557E-3</v>
      </c>
      <c r="U122" s="202">
        <f t="shared" ca="1" si="193"/>
        <v>4.6326933506195128E-3</v>
      </c>
      <c r="V122" s="202">
        <f t="shared" ca="1" si="193"/>
        <v>3.7556656563873356E-3</v>
      </c>
      <c r="W122" s="202">
        <f t="shared" ca="1" si="193"/>
        <v>2.2287814958150804E-3</v>
      </c>
      <c r="X122" s="443">
        <f ca="1">W122</f>
        <v>2.2287814958150804E-3</v>
      </c>
      <c r="Y122" s="443">
        <f ca="1">X122</f>
        <v>2.2287814958150804E-3</v>
      </c>
    </row>
    <row r="123" spans="2:25" ht="16.2" x14ac:dyDescent="0.35">
      <c r="B123" s="60" t="s">
        <v>47</v>
      </c>
      <c r="C123" s="197">
        <v>876</v>
      </c>
      <c r="D123" s="221">
        <v>1464</v>
      </c>
      <c r="E123" s="221">
        <v>1931</v>
      </c>
      <c r="F123" s="93">
        <v>540</v>
      </c>
      <c r="G123" s="93">
        <v>712</v>
      </c>
      <c r="H123" s="93">
        <v>900</v>
      </c>
      <c r="I123" s="93">
        <f>J123-H123-G123-F123</f>
        <v>995</v>
      </c>
      <c r="J123" s="221">
        <v>3147</v>
      </c>
      <c r="K123" s="93">
        <v>1000</v>
      </c>
      <c r="L123" s="93">
        <v>1132</v>
      </c>
      <c r="M123" s="93">
        <v>1188</v>
      </c>
      <c r="N123" s="93">
        <f>O123-M123-L123-K123</f>
        <v>1553</v>
      </c>
      <c r="O123" s="221">
        <v>4873</v>
      </c>
      <c r="P123" s="203">
        <f t="shared" ref="P123:Y123" si="194">P125*P169</f>
        <v>6208.9505022158201</v>
      </c>
      <c r="Q123" s="203">
        <f t="shared" si="194"/>
        <v>7870.6984543731942</v>
      </c>
      <c r="R123" s="203">
        <f t="shared" si="194"/>
        <v>9685.2062204673621</v>
      </c>
      <c r="S123" s="203">
        <f t="shared" si="194"/>
        <v>11457.298145223564</v>
      </c>
      <c r="T123" s="203">
        <f t="shared" si="194"/>
        <v>13337.723767432999</v>
      </c>
      <c r="U123" s="203">
        <f t="shared" si="194"/>
        <v>15300.777425897621</v>
      </c>
      <c r="V123" s="203">
        <f t="shared" si="194"/>
        <v>17177.287475545141</v>
      </c>
      <c r="W123" s="203">
        <f t="shared" si="194"/>
        <v>19078.362380638773</v>
      </c>
      <c r="X123" s="203">
        <f t="shared" si="194"/>
        <v>20961.808403661435</v>
      </c>
      <c r="Y123" s="203">
        <f t="shared" si="194"/>
        <v>22417.432818584555</v>
      </c>
    </row>
    <row r="124" spans="2:25" ht="16.2" x14ac:dyDescent="0.35">
      <c r="B124" s="64" t="s">
        <v>153</v>
      </c>
      <c r="C124" s="195"/>
      <c r="D124" s="215">
        <f>D123/C155</f>
        <v>0.21387874360847334</v>
      </c>
      <c r="E124" s="215">
        <f>E123/D155</f>
        <v>0.25491749174917494</v>
      </c>
      <c r="F124" s="80"/>
      <c r="G124" s="80"/>
      <c r="H124" s="80"/>
      <c r="I124" s="80"/>
      <c r="J124" s="215">
        <f>J123/E155</f>
        <v>0.32980507231188433</v>
      </c>
      <c r="K124" s="80"/>
      <c r="L124" s="80"/>
      <c r="M124" s="80"/>
      <c r="N124" s="80"/>
      <c r="O124" s="215">
        <f>O123/J155</f>
        <v>0.29267267267267266</v>
      </c>
      <c r="P124" s="215">
        <f t="shared" ref="P124:Y124" si="195">P123/O171</f>
        <v>0.24902540818256208</v>
      </c>
      <c r="Q124" s="215">
        <f t="shared" si="195"/>
        <v>0.24757155010689977</v>
      </c>
      <c r="R124" s="215">
        <f t="shared" si="195"/>
        <v>0.24032627673292925</v>
      </c>
      <c r="S124" s="215">
        <f t="shared" si="195"/>
        <v>0.23103565162873371</v>
      </c>
      <c r="T124" s="215">
        <f t="shared" si="195"/>
        <v>0.22735534244779601</v>
      </c>
      <c r="U124" s="215">
        <f t="shared" si="195"/>
        <v>0.22404612592793935</v>
      </c>
      <c r="V124" s="215">
        <f t="shared" si="195"/>
        <v>0.21925360660462928</v>
      </c>
      <c r="W124" s="215">
        <f t="shared" si="195"/>
        <v>0.21691629074083407</v>
      </c>
      <c r="X124" s="215">
        <f t="shared" si="195"/>
        <v>0.21458201204352403</v>
      </c>
      <c r="Y124" s="215">
        <f t="shared" si="195"/>
        <v>0.20886361455182381</v>
      </c>
    </row>
    <row r="125" spans="2:25" ht="16.2" x14ac:dyDescent="0.35">
      <c r="B125" s="64" t="s">
        <v>304</v>
      </c>
      <c r="C125" s="195"/>
      <c r="D125" s="215">
        <f t="shared" ref="D125:O125" si="196">D123/D169</f>
        <v>-0.42447086111916499</v>
      </c>
      <c r="E125" s="215">
        <f t="shared" si="196"/>
        <v>-0.37306800618238023</v>
      </c>
      <c r="F125" s="702" t="e">
        <f t="shared" si="196"/>
        <v>#DIV/0!</v>
      </c>
      <c r="G125" s="82" t="e">
        <f t="shared" si="196"/>
        <v>#DIV/0!</v>
      </c>
      <c r="H125" s="82" t="e">
        <f t="shared" si="196"/>
        <v>#DIV/0!</v>
      </c>
      <c r="I125" s="704" t="e">
        <f t="shared" si="196"/>
        <v>#DIV/0!</v>
      </c>
      <c r="J125" s="215">
        <f t="shared" si="196"/>
        <v>-0.39190535491905354</v>
      </c>
      <c r="K125" s="702" t="e">
        <f t="shared" si="196"/>
        <v>#DIV/0!</v>
      </c>
      <c r="L125" s="82" t="e">
        <f t="shared" si="196"/>
        <v>#DIV/0!</v>
      </c>
      <c r="M125" s="82" t="e">
        <f t="shared" si="196"/>
        <v>#DIV/0!</v>
      </c>
      <c r="N125" s="704" t="e">
        <f t="shared" si="196"/>
        <v>#DIV/0!</v>
      </c>
      <c r="O125" s="215">
        <f t="shared" si="196"/>
        <v>-0.39666259666259668</v>
      </c>
      <c r="P125" s="233">
        <f>AVERAGE(O125,J125,E125,D125)</f>
        <v>-0.39652670472079882</v>
      </c>
      <c r="Q125" s="233">
        <f>P125</f>
        <v>-0.39652670472079882</v>
      </c>
      <c r="R125" s="233">
        <f t="shared" ref="R125:Y125" si="197">Q125</f>
        <v>-0.39652670472079882</v>
      </c>
      <c r="S125" s="233">
        <f t="shared" si="197"/>
        <v>-0.39652670472079882</v>
      </c>
      <c r="T125" s="233">
        <f t="shared" si="197"/>
        <v>-0.39652670472079882</v>
      </c>
      <c r="U125" s="233">
        <f t="shared" si="197"/>
        <v>-0.39652670472079882</v>
      </c>
      <c r="V125" s="233">
        <f t="shared" si="197"/>
        <v>-0.39652670472079882</v>
      </c>
      <c r="W125" s="233">
        <f t="shared" si="197"/>
        <v>-0.39652670472079882</v>
      </c>
      <c r="X125" s="233">
        <f t="shared" si="197"/>
        <v>-0.39652670472079882</v>
      </c>
      <c r="Y125" s="233">
        <f t="shared" si="197"/>
        <v>-0.39652670472079882</v>
      </c>
    </row>
    <row r="126" spans="2:25" x14ac:dyDescent="0.3">
      <c r="B126" s="64" t="s">
        <v>93</v>
      </c>
      <c r="C126" s="198">
        <f t="shared" ref="C126:Y126" si="198">C123/C36</f>
        <v>2.0509938891620425E-2</v>
      </c>
      <c r="D126" s="198">
        <f t="shared" si="198"/>
        <v>2.4339961428476425E-2</v>
      </c>
      <c r="E126" s="198">
        <f t="shared" si="198"/>
        <v>2.4920630823632658E-2</v>
      </c>
      <c r="F126" s="82">
        <f t="shared" si="198"/>
        <v>2.6438188494492042E-2</v>
      </c>
      <c r="G126" s="82">
        <f t="shared" si="198"/>
        <v>2.379361047988237E-2</v>
      </c>
      <c r="H126" s="82">
        <f t="shared" si="198"/>
        <v>2.811182258316414E-2</v>
      </c>
      <c r="I126" s="82">
        <f t="shared" si="198"/>
        <v>2.8715728715728715E-2</v>
      </c>
      <c r="J126" s="198">
        <f t="shared" si="198"/>
        <v>2.689421778590596E-2</v>
      </c>
      <c r="K126" s="82">
        <f t="shared" si="198"/>
        <v>3.2022543870885101E-2</v>
      </c>
      <c r="L126" s="82">
        <f t="shared" si="198"/>
        <v>2.9654467817567389E-2</v>
      </c>
      <c r="M126" s="82">
        <f t="shared" si="198"/>
        <v>2.8502195244835778E-2</v>
      </c>
      <c r="N126" s="82">
        <f t="shared" si="198"/>
        <v>3.8603032562764109E-2</v>
      </c>
      <c r="O126" s="198">
        <f t="shared" si="198"/>
        <v>3.2204980437770966E-2</v>
      </c>
      <c r="P126" s="198">
        <f t="shared" ca="1" si="198"/>
        <v>3.0352105791245178E-2</v>
      </c>
      <c r="Q126" s="198">
        <f t="shared" ca="1" si="198"/>
        <v>2.9326199031284892E-2</v>
      </c>
      <c r="R126" s="198">
        <f t="shared" ca="1" si="198"/>
        <v>2.8012485038531279E-2</v>
      </c>
      <c r="S126" s="198">
        <f t="shared" ca="1" si="198"/>
        <v>2.6302765428738193E-2</v>
      </c>
      <c r="T126" s="198">
        <f t="shared" ca="1" si="198"/>
        <v>2.4448059960144458E-2</v>
      </c>
      <c r="U126" s="198">
        <f t="shared" ca="1" si="198"/>
        <v>2.2493097293318921E-2</v>
      </c>
      <c r="V126" s="198">
        <f t="shared" ca="1" si="198"/>
        <v>2.0471219581325632E-2</v>
      </c>
      <c r="W126" s="198">
        <f t="shared" ca="1" si="198"/>
        <v>1.8483658539340482E-2</v>
      </c>
      <c r="X126" s="198">
        <f t="shared" ca="1" si="198"/>
        <v>1.6554678887301232E-2</v>
      </c>
      <c r="Y126" s="198">
        <f t="shared" ca="1" si="198"/>
        <v>1.4605419580845177E-2</v>
      </c>
    </row>
    <row r="127" spans="2:25" ht="16.2" x14ac:dyDescent="0.35">
      <c r="B127" s="60" t="s">
        <v>50</v>
      </c>
      <c r="C127" s="197">
        <f t="shared" ref="C127:O127" si="199">C101+C116+C118-C123-C120</f>
        <v>8678</v>
      </c>
      <c r="D127" s="197">
        <f t="shared" si="199"/>
        <v>-18218</v>
      </c>
      <c r="E127" s="197">
        <f t="shared" si="199"/>
        <v>11686</v>
      </c>
      <c r="F127" s="706">
        <f t="shared" si="199"/>
        <v>12626</v>
      </c>
      <c r="G127" s="93">
        <f t="shared" si="199"/>
        <v>22338</v>
      </c>
      <c r="H127" s="93">
        <f t="shared" si="199"/>
        <v>23395</v>
      </c>
      <c r="I127" s="712">
        <f t="shared" si="199"/>
        <v>21435</v>
      </c>
      <c r="J127" s="197">
        <f t="shared" si="199"/>
        <v>17720</v>
      </c>
      <c r="K127" s="706">
        <f t="shared" si="199"/>
        <v>18926</v>
      </c>
      <c r="L127" s="93">
        <f t="shared" si="199"/>
        <v>24702</v>
      </c>
      <c r="M127" s="93">
        <f t="shared" si="199"/>
        <v>27683</v>
      </c>
      <c r="N127" s="712">
        <f t="shared" si="199"/>
        <v>20439</v>
      </c>
      <c r="O127" s="197">
        <f t="shared" si="199"/>
        <v>6004</v>
      </c>
      <c r="P127" s="195">
        <f t="shared" ref="P127:Y127" ca="1" si="200">P101+P116+P118-P123</f>
        <v>28928.516865769692</v>
      </c>
      <c r="Q127" s="195">
        <f t="shared" ca="1" si="200"/>
        <v>41388.522523719192</v>
      </c>
      <c r="R127" s="195">
        <f t="shared" ca="1" si="200"/>
        <v>60104.001447809023</v>
      </c>
      <c r="S127" s="195">
        <f t="shared" ca="1" si="200"/>
        <v>89029.391101797242</v>
      </c>
      <c r="T127" s="195">
        <f t="shared" ca="1" si="200"/>
        <v>132052.37360027165</v>
      </c>
      <c r="U127" s="195">
        <f t="shared" ca="1" si="200"/>
        <v>190501.03701762133</v>
      </c>
      <c r="V127" s="195">
        <f t="shared" ca="1" si="200"/>
        <v>269050.41380597372</v>
      </c>
      <c r="W127" s="195">
        <f t="shared" ca="1" si="200"/>
        <v>373549.71640760946</v>
      </c>
      <c r="X127" s="195">
        <f t="shared" ca="1" si="200"/>
        <v>510776.07494291436</v>
      </c>
      <c r="Y127" s="195">
        <f t="shared" ca="1" si="200"/>
        <v>688553.93124692154</v>
      </c>
    </row>
    <row r="128" spans="2:25" ht="16.2" x14ac:dyDescent="0.35">
      <c r="B128" s="60"/>
      <c r="C128" s="197"/>
      <c r="D128" s="197"/>
      <c r="E128" s="197"/>
      <c r="F128" s="93"/>
      <c r="G128" s="93"/>
      <c r="H128" s="93"/>
      <c r="I128" s="93"/>
      <c r="J128" s="197"/>
      <c r="K128" s="93"/>
      <c r="L128" s="93"/>
      <c r="M128" s="93"/>
      <c r="N128" s="93"/>
      <c r="O128" s="197"/>
      <c r="P128" s="195"/>
      <c r="Q128" s="195"/>
      <c r="R128" s="195"/>
      <c r="S128" s="195"/>
      <c r="T128" s="195"/>
      <c r="U128" s="195"/>
      <c r="V128" s="195"/>
      <c r="W128" s="195"/>
      <c r="X128" s="195"/>
      <c r="Y128" s="195"/>
    </row>
    <row r="129" spans="2:25" ht="16.2" x14ac:dyDescent="0.35">
      <c r="B129" s="60" t="s">
        <v>51</v>
      </c>
      <c r="C129" s="195">
        <v>0</v>
      </c>
      <c r="D129" s="203">
        <v>449</v>
      </c>
      <c r="E129" s="203">
        <v>1304</v>
      </c>
      <c r="F129" s="79">
        <v>-41</v>
      </c>
      <c r="G129" s="79">
        <v>-240</v>
      </c>
      <c r="H129" s="79">
        <v>-331</v>
      </c>
      <c r="I129" s="93">
        <f>J129-H129-G129-F129</f>
        <v>-423</v>
      </c>
      <c r="J129" s="203">
        <v>-1035</v>
      </c>
      <c r="K129" s="79">
        <v>-294</v>
      </c>
      <c r="L129" s="79">
        <v>223</v>
      </c>
      <c r="M129" s="79">
        <v>-2575</v>
      </c>
      <c r="N129" s="93">
        <f>O129-M129-L129-K129</f>
        <v>354</v>
      </c>
      <c r="O129" s="203">
        <v>-2292</v>
      </c>
      <c r="P129" s="203">
        <f t="shared" ref="P129:Y129" ca="1" si="201">(P127*P130)</f>
        <v>4339.2775298654533</v>
      </c>
      <c r="Q129" s="203">
        <f t="shared" ca="1" si="201"/>
        <v>6208.2783785578786</v>
      </c>
      <c r="R129" s="203">
        <f t="shared" ca="1" si="201"/>
        <v>9015.6002171713535</v>
      </c>
      <c r="S129" s="203">
        <f t="shared" ca="1" si="201"/>
        <v>13354.408665269586</v>
      </c>
      <c r="T129" s="203">
        <f t="shared" ca="1" si="201"/>
        <v>19807.856040040748</v>
      </c>
      <c r="U129" s="203">
        <f t="shared" ca="1" si="201"/>
        <v>40005.217773700475</v>
      </c>
      <c r="V129" s="203">
        <f t="shared" ca="1" si="201"/>
        <v>56500.586899254478</v>
      </c>
      <c r="W129" s="203">
        <f t="shared" ca="1" si="201"/>
        <v>78445.440445597982</v>
      </c>
      <c r="X129" s="203">
        <f t="shared" ca="1" si="201"/>
        <v>107262.97573801201</v>
      </c>
      <c r="Y129" s="203">
        <f t="shared" ca="1" si="201"/>
        <v>144596.3255618535</v>
      </c>
    </row>
    <row r="130" spans="2:25" s="5" customFormat="1" ht="16.2" x14ac:dyDescent="0.35">
      <c r="B130" s="64" t="s">
        <v>305</v>
      </c>
      <c r="C130" s="198">
        <f t="shared" ref="C130:O130" si="202">(C129/C127)</f>
        <v>0</v>
      </c>
      <c r="D130" s="198">
        <f t="shared" si="202"/>
        <v>-2.4645954550444615E-2</v>
      </c>
      <c r="E130" s="198">
        <f t="shared" si="202"/>
        <v>0.11158651377716926</v>
      </c>
      <c r="F130" s="82">
        <f t="shared" si="202"/>
        <v>-3.2472675431648979E-3</v>
      </c>
      <c r="G130" s="82">
        <f t="shared" si="202"/>
        <v>-1.0744023636852002E-2</v>
      </c>
      <c r="H130" s="82">
        <f t="shared" si="202"/>
        <v>-1.4148322291087839E-2</v>
      </c>
      <c r="I130" s="82">
        <f t="shared" si="202"/>
        <v>-1.9734079776067181E-2</v>
      </c>
      <c r="J130" s="198">
        <f t="shared" si="202"/>
        <v>-5.8408577878103836E-2</v>
      </c>
      <c r="K130" s="82">
        <f t="shared" si="202"/>
        <v>-1.5534185776180915E-2</v>
      </c>
      <c r="L130" s="82">
        <f t="shared" si="202"/>
        <v>9.0276091004776945E-3</v>
      </c>
      <c r="M130" s="82">
        <f t="shared" si="202"/>
        <v>-9.3017375284470613E-2</v>
      </c>
      <c r="N130" s="82">
        <f t="shared" si="202"/>
        <v>1.7319829737266989E-2</v>
      </c>
      <c r="O130" s="198">
        <f t="shared" si="202"/>
        <v>-0.38174550299800131</v>
      </c>
      <c r="P130" s="235">
        <v>0.15</v>
      </c>
      <c r="Q130" s="235">
        <v>0.15</v>
      </c>
      <c r="R130" s="235">
        <v>0.15</v>
      </c>
      <c r="S130" s="235">
        <v>0.15</v>
      </c>
      <c r="T130" s="235">
        <v>0.15</v>
      </c>
      <c r="U130" s="235">
        <v>0.21</v>
      </c>
      <c r="V130" s="235">
        <v>0.21</v>
      </c>
      <c r="W130" s="235">
        <v>0.21</v>
      </c>
      <c r="X130" s="235">
        <v>0.21</v>
      </c>
      <c r="Y130" s="235">
        <v>0.21</v>
      </c>
    </row>
    <row r="131" spans="2:25" s="5" customFormat="1" ht="16.2" x14ac:dyDescent="0.35">
      <c r="B131" s="64"/>
      <c r="C131" s="198"/>
      <c r="D131" s="198"/>
      <c r="E131" s="198"/>
      <c r="F131" s="82"/>
      <c r="G131" s="82"/>
      <c r="H131" s="82"/>
      <c r="I131" s="82"/>
      <c r="J131" s="198"/>
      <c r="K131" s="82"/>
      <c r="L131" s="82"/>
      <c r="M131" s="82"/>
      <c r="N131" s="82"/>
      <c r="O131" s="198"/>
      <c r="P131" s="235"/>
      <c r="Q131" s="235"/>
      <c r="R131" s="235"/>
      <c r="S131" s="235"/>
      <c r="T131" s="235"/>
      <c r="U131" s="235"/>
      <c r="V131" s="235"/>
      <c r="W131" s="235"/>
      <c r="X131" s="235"/>
      <c r="Y131" s="235"/>
    </row>
    <row r="132" spans="2:25" s="5" customFormat="1" ht="16.2" x14ac:dyDescent="0.35">
      <c r="B132" s="60" t="s">
        <v>52</v>
      </c>
      <c r="C132" s="197">
        <f t="shared" ref="C132:Y132" si="203">C127-C129</f>
        <v>8678</v>
      </c>
      <c r="D132" s="197">
        <f t="shared" si="203"/>
        <v>-18667</v>
      </c>
      <c r="E132" s="197">
        <f t="shared" si="203"/>
        <v>10382</v>
      </c>
      <c r="F132" s="93">
        <f t="shared" si="203"/>
        <v>12667</v>
      </c>
      <c r="G132" s="93">
        <f t="shared" si="203"/>
        <v>22578</v>
      </c>
      <c r="H132" s="93">
        <f t="shared" si="203"/>
        <v>23726</v>
      </c>
      <c r="I132" s="93">
        <f t="shared" si="203"/>
        <v>21858</v>
      </c>
      <c r="J132" s="197">
        <f t="shared" si="203"/>
        <v>18755</v>
      </c>
      <c r="K132" s="93">
        <f t="shared" si="203"/>
        <v>19220</v>
      </c>
      <c r="L132" s="93">
        <f t="shared" si="203"/>
        <v>24479</v>
      </c>
      <c r="M132" s="93">
        <f t="shared" si="203"/>
        <v>30258</v>
      </c>
      <c r="N132" s="93">
        <f t="shared" si="203"/>
        <v>20085</v>
      </c>
      <c r="O132" s="197">
        <f t="shared" si="203"/>
        <v>8296</v>
      </c>
      <c r="P132" s="195">
        <f t="shared" ca="1" si="203"/>
        <v>24589.23933590424</v>
      </c>
      <c r="Q132" s="195">
        <f t="shared" ca="1" si="203"/>
        <v>35180.244145161312</v>
      </c>
      <c r="R132" s="195">
        <f t="shared" ca="1" si="203"/>
        <v>51088.401230637668</v>
      </c>
      <c r="S132" s="195">
        <f t="shared" ca="1" si="203"/>
        <v>75674.982436527658</v>
      </c>
      <c r="T132" s="195">
        <f t="shared" ca="1" si="203"/>
        <v>112244.5175602309</v>
      </c>
      <c r="U132" s="195">
        <f t="shared" ca="1" si="203"/>
        <v>150495.81924392085</v>
      </c>
      <c r="V132" s="195">
        <f t="shared" ca="1" si="203"/>
        <v>212549.82690671925</v>
      </c>
      <c r="W132" s="195">
        <f t="shared" ca="1" si="203"/>
        <v>295104.27596201148</v>
      </c>
      <c r="X132" s="195">
        <f t="shared" ca="1" si="203"/>
        <v>403513.09920490236</v>
      </c>
      <c r="Y132" s="195">
        <f t="shared" ca="1" si="203"/>
        <v>543957.60568506806</v>
      </c>
    </row>
    <row r="133" spans="2:25" s="5" customFormat="1" ht="16.2" x14ac:dyDescent="0.35">
      <c r="B133" s="64" t="s">
        <v>166</v>
      </c>
      <c r="C133" s="198">
        <f t="shared" ref="C133:Y133" si="204">C132/C36</f>
        <v>0.20317950879164617</v>
      </c>
      <c r="D133" s="198">
        <f t="shared" si="204"/>
        <v>-0.31035113386978785</v>
      </c>
      <c r="E133" s="198">
        <f t="shared" si="204"/>
        <v>0.13398549415378261</v>
      </c>
      <c r="F133" s="82">
        <f t="shared" si="204"/>
        <v>0.62017135862913098</v>
      </c>
      <c r="G133" s="82">
        <f t="shared" si="204"/>
        <v>0.75451142895334844</v>
      </c>
      <c r="H133" s="82">
        <f t="shared" si="204"/>
        <v>0.74109011400905822</v>
      </c>
      <c r="I133" s="82">
        <f t="shared" si="204"/>
        <v>0.63082251082251084</v>
      </c>
      <c r="J133" s="198">
        <f t="shared" si="204"/>
        <v>0.16027996649973508</v>
      </c>
      <c r="K133" s="82">
        <f t="shared" si="204"/>
        <v>0.61547329319841171</v>
      </c>
      <c r="L133" s="82">
        <f t="shared" si="204"/>
        <v>0.64126476829172452</v>
      </c>
      <c r="M133" s="82">
        <f t="shared" si="204"/>
        <v>0.72594227585710513</v>
      </c>
      <c r="N133" s="82">
        <f t="shared" si="204"/>
        <v>0.4992542878448919</v>
      </c>
      <c r="O133" s="198">
        <f t="shared" si="204"/>
        <v>5.4827112192027072E-2</v>
      </c>
      <c r="P133" s="198">
        <f t="shared" ca="1" si="204"/>
        <v>0.12020311538693444</v>
      </c>
      <c r="Q133" s="198">
        <f t="shared" ca="1" si="204"/>
        <v>0.13108148504875713</v>
      </c>
      <c r="R133" s="198">
        <f t="shared" ca="1" si="204"/>
        <v>0.14776278816773217</v>
      </c>
      <c r="S133" s="198">
        <f t="shared" ca="1" si="204"/>
        <v>0.17372868250632664</v>
      </c>
      <c r="T133" s="198">
        <f t="shared" ca="1" si="204"/>
        <v>0.20574430415259368</v>
      </c>
      <c r="U133" s="198">
        <f t="shared" ca="1" si="204"/>
        <v>0.22123824236288187</v>
      </c>
      <c r="V133" s="198">
        <f t="shared" ca="1" si="204"/>
        <v>0.25330857300809745</v>
      </c>
      <c r="W133" s="198">
        <f t="shared" ca="1" si="204"/>
        <v>0.28590539174979729</v>
      </c>
      <c r="X133" s="198">
        <f t="shared" ca="1" si="204"/>
        <v>0.31867621607447155</v>
      </c>
      <c r="Y133" s="198">
        <f t="shared" ca="1" si="204"/>
        <v>0.35439959292020246</v>
      </c>
    </row>
    <row r="134" spans="2:25" s="5" customFormat="1" ht="16.2" x14ac:dyDescent="0.35">
      <c r="B134" s="64" t="s">
        <v>466</v>
      </c>
      <c r="C134" s="198">
        <f t="shared" ref="C134:Y134" si="205">(C132+C120)/C36</f>
        <v>0.20317950879164617</v>
      </c>
      <c r="D134" s="198">
        <f t="shared" si="205"/>
        <v>0.13787657112455942</v>
      </c>
      <c r="E134" s="198">
        <f t="shared" si="205"/>
        <v>0.15367937433859019</v>
      </c>
      <c r="F134" s="702">
        <f t="shared" si="205"/>
        <v>0.64660954712362306</v>
      </c>
      <c r="G134" s="82">
        <f t="shared" si="205"/>
        <v>0.77830503943323082</v>
      </c>
      <c r="H134" s="82">
        <f t="shared" si="205"/>
        <v>0.76920193659222236</v>
      </c>
      <c r="I134" s="704">
        <f t="shared" si="205"/>
        <v>0.70565656565656565</v>
      </c>
      <c r="J134" s="198">
        <f t="shared" si="205"/>
        <v>0.20083066983437881</v>
      </c>
      <c r="K134" s="702">
        <f t="shared" si="205"/>
        <v>0.64749583706929681</v>
      </c>
      <c r="L134" s="82">
        <f t="shared" si="205"/>
        <v>0.67091923610929194</v>
      </c>
      <c r="M134" s="82">
        <f t="shared" si="205"/>
        <v>0.75444447110194091</v>
      </c>
      <c r="N134" s="704">
        <f t="shared" si="205"/>
        <v>0.59798657718120807</v>
      </c>
      <c r="O134" s="198">
        <f t="shared" si="205"/>
        <v>0.10301892777836523</v>
      </c>
      <c r="P134" s="198">
        <f t="shared" ca="1" si="205"/>
        <v>0.16698832061161606</v>
      </c>
      <c r="Q134" s="198">
        <f t="shared" ca="1" si="205"/>
        <v>0.16674140903967988</v>
      </c>
      <c r="R134" s="198">
        <f t="shared" ca="1" si="205"/>
        <v>0.16226166764794786</v>
      </c>
      <c r="S134" s="198">
        <f t="shared" ca="1" si="205"/>
        <v>0.18096332354093037</v>
      </c>
      <c r="T134" s="198">
        <f t="shared" ca="1" si="205"/>
        <v>0.21152074690221173</v>
      </c>
      <c r="U134" s="198">
        <f t="shared" ca="1" si="205"/>
        <v>0.22587093571350136</v>
      </c>
      <c r="V134" s="198">
        <f t="shared" ca="1" si="205"/>
        <v>0.2570642386644848</v>
      </c>
      <c r="W134" s="198">
        <f t="shared" ca="1" si="205"/>
        <v>0.28813417324561236</v>
      </c>
      <c r="X134" s="198">
        <f t="shared" ca="1" si="205"/>
        <v>0.32090499757028662</v>
      </c>
      <c r="Y134" s="198">
        <f t="shared" ca="1" si="205"/>
        <v>0.35662837441601752</v>
      </c>
    </row>
    <row r="135" spans="2:25" ht="32.4" x14ac:dyDescent="0.35">
      <c r="B135" s="67" t="s">
        <v>53</v>
      </c>
      <c r="C135" s="197">
        <v>8678</v>
      </c>
      <c r="D135" s="221">
        <v>-9764</v>
      </c>
      <c r="E135" s="221">
        <v>6815</v>
      </c>
      <c r="F135" s="93">
        <v>-140</v>
      </c>
      <c r="G135" s="93">
        <v>4007</v>
      </c>
      <c r="H135" s="93">
        <v>3458</v>
      </c>
      <c r="I135" s="93">
        <f>J135-H135-G135-F135</f>
        <v>2143</v>
      </c>
      <c r="J135" s="221">
        <v>9468</v>
      </c>
      <c r="K135" s="93">
        <v>-693</v>
      </c>
      <c r="L135" s="93">
        <v>1649</v>
      </c>
      <c r="M135" s="93">
        <v>1332</v>
      </c>
      <c r="N135" s="93">
        <f>O135-M135-L135-K135</f>
        <v>605</v>
      </c>
      <c r="O135" s="221">
        <v>2893</v>
      </c>
      <c r="P135" s="203">
        <f t="shared" ref="P135:Y135" ca="1" si="206">P132*P136</f>
        <v>10164.015119299054</v>
      </c>
      <c r="Q135" s="203">
        <f t="shared" ca="1" si="206"/>
        <v>11688.503456301047</v>
      </c>
      <c r="R135" s="203">
        <f t="shared" ca="1" si="206"/>
        <v>14419.508598463917</v>
      </c>
      <c r="S135" s="203">
        <f t="shared" ca="1" si="206"/>
        <v>19467.103869551513</v>
      </c>
      <c r="T135" s="203">
        <f t="shared" ca="1" si="206"/>
        <v>27471.422410825158</v>
      </c>
      <c r="U135" s="203">
        <f t="shared" ca="1" si="206"/>
        <v>35892.685386076257</v>
      </c>
      <c r="V135" s="203">
        <f t="shared" ca="1" si="206"/>
        <v>50028.114005560434</v>
      </c>
      <c r="W135" s="203">
        <f t="shared" ca="1" si="206"/>
        <v>68997.955716782948</v>
      </c>
      <c r="X135" s="203">
        <f t="shared" ca="1" si="206"/>
        <v>94029.640294458208</v>
      </c>
      <c r="Y135" s="203">
        <f t="shared" ca="1" si="206"/>
        <v>126544.5861542675</v>
      </c>
    </row>
    <row r="136" spans="2:25" x14ac:dyDescent="0.3">
      <c r="B136" s="64" t="s">
        <v>77</v>
      </c>
      <c r="C136" s="424">
        <f t="shared" ref="C136:O136" si="207">C135/C132</f>
        <v>1</v>
      </c>
      <c r="D136" s="424">
        <f>D135/D132</f>
        <v>0.52306208817699684</v>
      </c>
      <c r="E136" s="424">
        <f t="shared" si="207"/>
        <v>0.65642458100558654</v>
      </c>
      <c r="F136" s="84">
        <f t="shared" si="207"/>
        <v>-1.1052340727875582E-2</v>
      </c>
      <c r="G136" s="84">
        <f t="shared" si="207"/>
        <v>0.17747364691292408</v>
      </c>
      <c r="H136" s="84">
        <f t="shared" si="207"/>
        <v>0.14574728146337351</v>
      </c>
      <c r="I136" s="84">
        <f t="shared" si="207"/>
        <v>9.8041906853326019E-2</v>
      </c>
      <c r="J136" s="424">
        <f t="shared" si="207"/>
        <v>0.50482537989869369</v>
      </c>
      <c r="K136" s="84">
        <f t="shared" si="207"/>
        <v>-3.6056191467221645E-2</v>
      </c>
      <c r="L136" s="84">
        <f t="shared" si="207"/>
        <v>6.7363862902896365E-2</v>
      </c>
      <c r="M136" s="84">
        <f t="shared" si="207"/>
        <v>4.4021415823914334E-2</v>
      </c>
      <c r="N136" s="84">
        <f t="shared" si="207"/>
        <v>3.0121981578292257E-2</v>
      </c>
      <c r="O136" s="424">
        <f t="shared" si="207"/>
        <v>0.34872227579556414</v>
      </c>
      <c r="P136" s="198">
        <f>P151</f>
        <v>0.4133521570330953</v>
      </c>
      <c r="Q136" s="198">
        <f t="shared" ref="Q136:Y136" si="208">Q151</f>
        <v>0.33224622910721563</v>
      </c>
      <c r="R136" s="198">
        <f t="shared" si="208"/>
        <v>0.28224622910721564</v>
      </c>
      <c r="S136" s="198">
        <f t="shared" si="208"/>
        <v>0.25724622910721562</v>
      </c>
      <c r="T136" s="198">
        <f t="shared" si="208"/>
        <v>0.24474622910721561</v>
      </c>
      <c r="U136" s="198">
        <f t="shared" si="208"/>
        <v>0.2384962291072156</v>
      </c>
      <c r="V136" s="198">
        <f t="shared" si="208"/>
        <v>0.23537122910721561</v>
      </c>
      <c r="W136" s="198">
        <f t="shared" si="208"/>
        <v>0.23380872910721562</v>
      </c>
      <c r="X136" s="198">
        <f t="shared" si="208"/>
        <v>0.23302747910721561</v>
      </c>
      <c r="Y136" s="198">
        <f t="shared" si="208"/>
        <v>0.2326368541072156</v>
      </c>
    </row>
    <row r="137" spans="2:25" ht="32.4" x14ac:dyDescent="0.35">
      <c r="B137" s="67" t="s">
        <v>54</v>
      </c>
      <c r="C137" s="197">
        <f t="shared" ref="C137:Y137" si="209">C132-C135</f>
        <v>0</v>
      </c>
      <c r="D137" s="197">
        <f t="shared" si="209"/>
        <v>-8903</v>
      </c>
      <c r="E137" s="197">
        <f t="shared" si="209"/>
        <v>3567</v>
      </c>
      <c r="F137" s="93">
        <f t="shared" si="209"/>
        <v>12807</v>
      </c>
      <c r="G137" s="93">
        <f t="shared" si="209"/>
        <v>18571</v>
      </c>
      <c r="H137" s="93">
        <f t="shared" si="209"/>
        <v>20268</v>
      </c>
      <c r="I137" s="93">
        <f t="shared" si="209"/>
        <v>19715</v>
      </c>
      <c r="J137" s="197">
        <f t="shared" si="209"/>
        <v>9287</v>
      </c>
      <c r="K137" s="93">
        <f t="shared" si="209"/>
        <v>19913</v>
      </c>
      <c r="L137" s="93">
        <f t="shared" si="209"/>
        <v>22830</v>
      </c>
      <c r="M137" s="93">
        <f t="shared" si="209"/>
        <v>28926</v>
      </c>
      <c r="N137" s="93">
        <f t="shared" si="209"/>
        <v>19480</v>
      </c>
      <c r="O137" s="197">
        <f t="shared" si="209"/>
        <v>5403</v>
      </c>
      <c r="P137" s="195">
        <f t="shared" ca="1" si="209"/>
        <v>14425.224216605186</v>
      </c>
      <c r="Q137" s="195">
        <f t="shared" ca="1" si="209"/>
        <v>23491.740688860264</v>
      </c>
      <c r="R137" s="195">
        <f t="shared" ca="1" si="209"/>
        <v>36668.892632173753</v>
      </c>
      <c r="S137" s="195">
        <f t="shared" ca="1" si="209"/>
        <v>56207.878566976142</v>
      </c>
      <c r="T137" s="195">
        <f t="shared" ca="1" si="209"/>
        <v>84773.095149405737</v>
      </c>
      <c r="U137" s="195">
        <f t="shared" ca="1" si="209"/>
        <v>114603.1338578446</v>
      </c>
      <c r="V137" s="195">
        <f t="shared" ca="1" si="209"/>
        <v>162521.71290115881</v>
      </c>
      <c r="W137" s="195">
        <f t="shared" ca="1" si="209"/>
        <v>226106.32024522853</v>
      </c>
      <c r="X137" s="195">
        <f t="shared" ca="1" si="209"/>
        <v>309483.45891044417</v>
      </c>
      <c r="Y137" s="195">
        <f t="shared" ca="1" si="209"/>
        <v>417413.01953080058</v>
      </c>
    </row>
    <row r="138" spans="2:25" ht="16.2" x14ac:dyDescent="0.35">
      <c r="B138" s="6"/>
      <c r="C138" s="195"/>
      <c r="D138" s="203"/>
      <c r="E138" s="200"/>
      <c r="F138" s="80"/>
      <c r="G138" s="80"/>
      <c r="H138" s="80"/>
      <c r="I138" s="80"/>
      <c r="J138" s="200"/>
      <c r="K138" s="80"/>
      <c r="L138" s="80"/>
      <c r="M138" s="80"/>
      <c r="N138" s="80"/>
      <c r="O138" s="200"/>
      <c r="P138" s="200"/>
      <c r="Q138" s="200"/>
      <c r="R138" s="200"/>
      <c r="S138" s="200"/>
      <c r="T138" s="200"/>
      <c r="U138" s="200"/>
      <c r="V138" s="200"/>
      <c r="W138" s="200"/>
      <c r="X138" s="200"/>
      <c r="Y138" s="200"/>
    </row>
    <row r="139" spans="2:25" ht="16.2" x14ac:dyDescent="0.35">
      <c r="B139" s="65" t="s">
        <v>55</v>
      </c>
      <c r="C139" s="195"/>
      <c r="D139" s="203"/>
      <c r="E139" s="200"/>
      <c r="F139" s="80"/>
      <c r="G139" s="80"/>
      <c r="H139" s="80"/>
      <c r="I139" s="80"/>
      <c r="J139" s="200"/>
      <c r="K139" s="80"/>
      <c r="L139" s="80"/>
      <c r="M139" s="80"/>
      <c r="N139" s="80"/>
      <c r="O139" s="200"/>
      <c r="P139" s="200"/>
      <c r="Q139" s="200"/>
      <c r="R139" s="200"/>
      <c r="S139" s="200"/>
      <c r="T139" s="200"/>
      <c r="U139" s="200"/>
      <c r="V139" s="200"/>
      <c r="W139" s="200"/>
      <c r="X139" s="200"/>
      <c r="Y139" s="200"/>
    </row>
    <row r="140" spans="2:25" ht="16.2" x14ac:dyDescent="0.35">
      <c r="B140" s="60" t="s">
        <v>56</v>
      </c>
      <c r="C140" s="438" t="s">
        <v>78</v>
      </c>
      <c r="D140" s="437">
        <f t="shared" ref="D140:O140" si="210">D137/D145</f>
        <v>-0.65685406522059908</v>
      </c>
      <c r="E140" s="437">
        <f t="shared" si="210"/>
        <v>0.23997578040904199</v>
      </c>
      <c r="F140" s="439">
        <f t="shared" si="210"/>
        <v>0.82286044718581342</v>
      </c>
      <c r="G140" s="439">
        <f t="shared" si="210"/>
        <v>1.1283874103779317</v>
      </c>
      <c r="H140" s="439">
        <f t="shared" si="210"/>
        <v>1.1664364640883977</v>
      </c>
      <c r="I140" s="439">
        <f t="shared" si="210"/>
        <v>1.174560619600834</v>
      </c>
      <c r="J140" s="437">
        <f t="shared" si="210"/>
        <v>0.5532916294310396</v>
      </c>
      <c r="K140" s="440">
        <f t="shared" si="210"/>
        <v>1.0837006802721088</v>
      </c>
      <c r="L140" s="440">
        <f t="shared" si="210"/>
        <v>1.2160434643656119</v>
      </c>
      <c r="M140" s="440">
        <f t="shared" si="210"/>
        <v>1.4789099647221229</v>
      </c>
      <c r="N140" s="440">
        <f t="shared" si="210"/>
        <v>1.0155883426307284</v>
      </c>
      <c r="O140" s="437">
        <f t="shared" si="210"/>
        <v>0.28168500078202385</v>
      </c>
      <c r="P140" s="437">
        <f t="shared" ref="P140:Y140" ca="1" si="211">P137/P145</f>
        <v>0.66758719995396087</v>
      </c>
      <c r="Q140" s="437">
        <f t="shared" ca="1" si="211"/>
        <v>0.95611480215141487</v>
      </c>
      <c r="R140" s="437">
        <f t="shared" ca="1" si="211"/>
        <v>1.3884604220855461</v>
      </c>
      <c r="S140" s="437">
        <f t="shared" ca="1" si="211"/>
        <v>2.0566648304532587</v>
      </c>
      <c r="T140" s="437">
        <f t="shared" ca="1" si="211"/>
        <v>3.0505372349566762</v>
      </c>
      <c r="U140" s="437">
        <f t="shared" ca="1" si="211"/>
        <v>4.1314303311391081</v>
      </c>
      <c r="V140" s="437">
        <f t="shared" ca="1" si="211"/>
        <v>5.8938836621486494</v>
      </c>
      <c r="W140" s="437">
        <f t="shared" ca="1" si="211"/>
        <v>8.2657280267139424</v>
      </c>
      <c r="X140" s="437">
        <f t="shared" ca="1" si="211"/>
        <v>11.416370432339493</v>
      </c>
      <c r="Y140" s="437">
        <f t="shared" ca="1" si="211"/>
        <v>15.545341721274392</v>
      </c>
    </row>
    <row r="141" spans="2:25" ht="16.2" x14ac:dyDescent="0.35">
      <c r="B141" s="60" t="s">
        <v>314</v>
      </c>
      <c r="C141" s="292"/>
      <c r="D141" s="437">
        <f t="shared" ref="D141:Y141" si="212">((D120/(D145+D150))+D140)</f>
        <v>9.1208899816308531E-2</v>
      </c>
      <c r="E141" s="437">
        <f t="shared" si="212"/>
        <v>0.28246033625681422</v>
      </c>
      <c r="F141" s="707">
        <f t="shared" si="212"/>
        <v>0.85755589822667699</v>
      </c>
      <c r="G141" s="439">
        <f t="shared" si="212"/>
        <v>1.1716490460566289</v>
      </c>
      <c r="H141" s="439">
        <f t="shared" si="212"/>
        <v>1.218232044198895</v>
      </c>
      <c r="I141" s="713">
        <f t="shared" si="212"/>
        <v>1.3290437890974083</v>
      </c>
      <c r="J141" s="437">
        <f t="shared" si="212"/>
        <v>0.68797151945845214</v>
      </c>
      <c r="K141" s="707">
        <f t="shared" si="212"/>
        <v>1.1381224489795918</v>
      </c>
      <c r="L141" s="439">
        <f t="shared" si="212"/>
        <v>1.2763396186214977</v>
      </c>
      <c r="M141" s="439">
        <f t="shared" si="212"/>
        <v>1.5396492663224093</v>
      </c>
      <c r="N141" s="713">
        <f t="shared" si="212"/>
        <v>1.222668265471039</v>
      </c>
      <c r="O141" s="437">
        <f t="shared" si="212"/>
        <v>0.48373350999126025</v>
      </c>
      <c r="P141" s="437">
        <f t="shared" ca="1" si="212"/>
        <v>0.92742409398683812</v>
      </c>
      <c r="Q141" s="437">
        <f t="shared" ca="1" si="212"/>
        <v>1.2162200424806164</v>
      </c>
      <c r="R141" s="437">
        <f t="shared" ca="1" si="212"/>
        <v>1.5246998675676928</v>
      </c>
      <c r="S141" s="437">
        <f t="shared" ca="1" si="212"/>
        <v>2.1423112048006927</v>
      </c>
      <c r="T141" s="437">
        <f t="shared" ca="1" si="212"/>
        <v>3.1361836093041102</v>
      </c>
      <c r="U141" s="437">
        <f t="shared" ca="1" si="212"/>
        <v>4.2179418203789405</v>
      </c>
      <c r="V141" s="437">
        <f t="shared" ca="1" si="212"/>
        <v>5.9812690048151467</v>
      </c>
      <c r="W141" s="437">
        <f t="shared" ca="1" si="212"/>
        <v>8.3301636834276227</v>
      </c>
      <c r="X141" s="437">
        <f t="shared" ca="1" si="212"/>
        <v>11.496215095623127</v>
      </c>
      <c r="Y141" s="437">
        <f t="shared" ca="1" si="212"/>
        <v>15.643104728531288</v>
      </c>
    </row>
    <row r="142" spans="2:25" ht="16.2" x14ac:dyDescent="0.35">
      <c r="B142" s="60" t="s">
        <v>57</v>
      </c>
      <c r="C142" s="438" t="s">
        <v>78</v>
      </c>
      <c r="D142" s="437">
        <f t="shared" ref="D142:Y142" si="213">D137/D147</f>
        <v>-0.65685406522059908</v>
      </c>
      <c r="E142" s="437">
        <f t="shared" si="213"/>
        <v>0.2215527950310559</v>
      </c>
      <c r="F142" s="439">
        <f t="shared" si="213"/>
        <v>0.82286044718581342</v>
      </c>
      <c r="G142" s="439">
        <f t="shared" si="213"/>
        <v>1.0347690421797515</v>
      </c>
      <c r="H142" s="439">
        <f t="shared" si="213"/>
        <v>1.0715305313243457</v>
      </c>
      <c r="I142" s="439">
        <f t="shared" si="213"/>
        <v>1.0724582494696187</v>
      </c>
      <c r="J142" s="437">
        <f t="shared" si="213"/>
        <v>0.50519501713539683</v>
      </c>
      <c r="K142" s="440">
        <f t="shared" si="213"/>
        <v>1.0837006802721088</v>
      </c>
      <c r="L142" s="440">
        <f t="shared" si="213"/>
        <v>1.1209309176609221</v>
      </c>
      <c r="M142" s="440">
        <f t="shared" si="213"/>
        <v>1.3640479109685939</v>
      </c>
      <c r="N142" s="440">
        <f t="shared" si="213"/>
        <v>0.93595349060683231</v>
      </c>
      <c r="O142" s="437">
        <f t="shared" si="213"/>
        <v>0.25959736703022152</v>
      </c>
      <c r="P142" s="224">
        <f t="shared" ca="1" si="213"/>
        <v>0.62070672188490472</v>
      </c>
      <c r="Q142" s="224">
        <f ca="1">Q137/Q147</f>
        <v>0.8965628840874843</v>
      </c>
      <c r="R142" s="224">
        <f t="shared" ca="1" si="213"/>
        <v>1.3076535035143582</v>
      </c>
      <c r="S142" s="224">
        <f t="shared" ca="1" si="213"/>
        <v>1.940770884471301</v>
      </c>
      <c r="T142" s="224">
        <f t="shared" ca="1" si="213"/>
        <v>2.8813253935580661</v>
      </c>
      <c r="U142" s="224">
        <f t="shared" ca="1" si="213"/>
        <v>3.9018699762827085</v>
      </c>
      <c r="V142" s="224">
        <f t="shared" ca="1" si="213"/>
        <v>5.564546958451607</v>
      </c>
      <c r="W142" s="224">
        <f t="shared" ca="1" si="213"/>
        <v>7.8003532566094851</v>
      </c>
      <c r="X142" s="224">
        <f t="shared" ca="1" si="213"/>
        <v>10.768108967574101</v>
      </c>
      <c r="Y142" s="224">
        <f t="shared" ca="1" si="213"/>
        <v>14.65464522161748</v>
      </c>
    </row>
    <row r="143" spans="2:25" ht="16.2" x14ac:dyDescent="0.35">
      <c r="B143" s="6" t="s">
        <v>86</v>
      </c>
      <c r="C143" s="211"/>
      <c r="D143" s="203"/>
      <c r="E143" s="215">
        <f>(E142/D142)-1</f>
        <v>-1.3372937867966901</v>
      </c>
      <c r="F143" s="80"/>
      <c r="G143" s="80"/>
      <c r="H143" s="80"/>
      <c r="I143" s="80"/>
      <c r="J143" s="215">
        <f>(J142/E142)-1</f>
        <v>1.2802466430837929</v>
      </c>
      <c r="K143" s="80"/>
      <c r="L143" s="80"/>
      <c r="M143" s="80"/>
      <c r="N143" s="80"/>
      <c r="O143" s="215">
        <f>(O142/J142)-1</f>
        <v>-0.48614424484585306</v>
      </c>
      <c r="P143" s="215">
        <f ca="1">(P142/O142)-1</f>
        <v>1.3910362766223434</v>
      </c>
      <c r="Q143" s="215">
        <f t="shared" ref="Q143:Y143" ca="1" si="214">(Q142/P142)-1</f>
        <v>0.44442270798177463</v>
      </c>
      <c r="R143" s="215">
        <f t="shared" ca="1" si="214"/>
        <v>0.45851844496694638</v>
      </c>
      <c r="S143" s="215">
        <f t="shared" ca="1" si="214"/>
        <v>0.48416295238411466</v>
      </c>
      <c r="T143" s="215">
        <f t="shared" ca="1" si="214"/>
        <v>0.48462933806995356</v>
      </c>
      <c r="U143" s="215">
        <f t="shared" ca="1" si="214"/>
        <v>0.35419275622473223</v>
      </c>
      <c r="V143" s="215">
        <f t="shared" ca="1" si="214"/>
        <v>0.42612311334703223</v>
      </c>
      <c r="W143" s="215">
        <f t="shared" ca="1" si="214"/>
        <v>0.401794847783981</v>
      </c>
      <c r="X143" s="215">
        <f t="shared" ca="1" si="214"/>
        <v>0.38046427044184727</v>
      </c>
      <c r="Y143" s="215">
        <f t="shared" ca="1" si="214"/>
        <v>0.36093024928953343</v>
      </c>
    </row>
    <row r="144" spans="2:25" ht="16.2" x14ac:dyDescent="0.35">
      <c r="B144" s="65" t="s">
        <v>309</v>
      </c>
      <c r="C144" s="211"/>
      <c r="D144" s="203"/>
      <c r="E144" s="223"/>
      <c r="F144" s="708">
        <f t="shared" ref="F144:N144" si="215">F147+F150</f>
        <v>15564</v>
      </c>
      <c r="G144" s="165">
        <f t="shared" si="215"/>
        <v>17947</v>
      </c>
      <c r="H144" s="165">
        <f t="shared" si="215"/>
        <v>18915</v>
      </c>
      <c r="I144" s="714">
        <f t="shared" si="215"/>
        <v>18383</v>
      </c>
      <c r="J144" s="223"/>
      <c r="K144" s="708">
        <f t="shared" si="215"/>
        <v>18375</v>
      </c>
      <c r="L144" s="165">
        <f t="shared" si="215"/>
        <v>20367</v>
      </c>
      <c r="M144" s="165">
        <f t="shared" si="215"/>
        <v>21206</v>
      </c>
      <c r="N144" s="714">
        <f t="shared" si="215"/>
        <v>20813</v>
      </c>
      <c r="O144" s="223"/>
      <c r="P144" s="223"/>
      <c r="Q144" s="223"/>
      <c r="R144" s="200"/>
      <c r="S144" s="200"/>
      <c r="T144" s="200"/>
      <c r="U144" s="200"/>
      <c r="V144" s="200"/>
      <c r="W144" s="200"/>
      <c r="X144" s="200"/>
      <c r="Y144" s="200"/>
    </row>
    <row r="145" spans="2:29" ht="16.2" x14ac:dyDescent="0.35">
      <c r="B145" s="60" t="s">
        <v>58</v>
      </c>
      <c r="C145" s="292" t="s">
        <v>78</v>
      </c>
      <c r="D145" s="293">
        <v>13554</v>
      </c>
      <c r="E145" s="293">
        <v>14864</v>
      </c>
      <c r="F145" s="94">
        <v>15564</v>
      </c>
      <c r="G145" s="94">
        <v>16458</v>
      </c>
      <c r="H145" s="94">
        <v>17376</v>
      </c>
      <c r="I145" s="94">
        <f>J145</f>
        <v>16785</v>
      </c>
      <c r="J145" s="293">
        <v>16785</v>
      </c>
      <c r="K145" s="94">
        <v>18375</v>
      </c>
      <c r="L145" s="94">
        <v>18774</v>
      </c>
      <c r="M145" s="94">
        <v>19559</v>
      </c>
      <c r="N145" s="98">
        <f>O145</f>
        <v>19181</v>
      </c>
      <c r="O145" s="293">
        <v>19181</v>
      </c>
      <c r="P145" s="425">
        <v>21608</v>
      </c>
      <c r="Q145" s="425">
        <v>24570</v>
      </c>
      <c r="R145" s="429">
        <f>R152-R150</f>
        <v>26409.75</v>
      </c>
      <c r="S145" s="429">
        <f t="shared" ref="S145:Y145" si="216">S152-S150</f>
        <v>27329.625</v>
      </c>
      <c r="T145" s="429">
        <f t="shared" si="216"/>
        <v>27789.5625</v>
      </c>
      <c r="U145" s="429">
        <f t="shared" si="216"/>
        <v>27739.335937500004</v>
      </c>
      <c r="V145" s="429">
        <f t="shared" si="216"/>
        <v>27574.638764062503</v>
      </c>
      <c r="W145" s="429">
        <f t="shared" si="216"/>
        <v>27354.676988460942</v>
      </c>
      <c r="X145" s="429">
        <f t="shared" si="216"/>
        <v>27108.743601535665</v>
      </c>
      <c r="Y145" s="429">
        <f t="shared" si="216"/>
        <v>26851.324790085186</v>
      </c>
    </row>
    <row r="146" spans="2:29" ht="16.2" x14ac:dyDescent="0.35">
      <c r="B146" s="64" t="s">
        <v>310</v>
      </c>
      <c r="C146" s="292"/>
      <c r="D146" s="293"/>
      <c r="E146" s="426">
        <f>E145-D145</f>
        <v>1310</v>
      </c>
      <c r="F146" s="427"/>
      <c r="G146" s="427"/>
      <c r="H146" s="427"/>
      <c r="I146" s="427"/>
      <c r="J146" s="426">
        <f>J145-E145</f>
        <v>1921</v>
      </c>
      <c r="K146" s="427"/>
      <c r="L146" s="427"/>
      <c r="M146" s="427"/>
      <c r="N146" s="428"/>
      <c r="O146" s="426">
        <f>O145-J145</f>
        <v>2396</v>
      </c>
      <c r="P146" s="426">
        <f>P145-O145</f>
        <v>2427</v>
      </c>
      <c r="Q146" s="426">
        <f>Q145-P145</f>
        <v>2962</v>
      </c>
      <c r="R146" s="426">
        <f>R145-Q145</f>
        <v>1839.75</v>
      </c>
      <c r="S146" s="426">
        <f t="shared" ref="S146:Y146" si="217">S145-R145</f>
        <v>919.875</v>
      </c>
      <c r="T146" s="426">
        <f t="shared" si="217"/>
        <v>459.9375</v>
      </c>
      <c r="U146" s="426">
        <f t="shared" si="217"/>
        <v>-50.226562499996362</v>
      </c>
      <c r="V146" s="426">
        <f t="shared" si="217"/>
        <v>-164.69717343750017</v>
      </c>
      <c r="W146" s="426">
        <f t="shared" si="217"/>
        <v>-219.96177560156138</v>
      </c>
      <c r="X146" s="426">
        <f t="shared" si="217"/>
        <v>-245.93338692527686</v>
      </c>
      <c r="Y146" s="426">
        <f t="shared" si="217"/>
        <v>-257.41881145047955</v>
      </c>
    </row>
    <row r="147" spans="2:29" ht="16.2" x14ac:dyDescent="0.35">
      <c r="B147" s="60" t="s">
        <v>57</v>
      </c>
      <c r="C147" s="292" t="s">
        <v>78</v>
      </c>
      <c r="D147" s="293">
        <v>13554</v>
      </c>
      <c r="E147" s="293">
        <v>16100</v>
      </c>
      <c r="F147" s="94">
        <v>15564</v>
      </c>
      <c r="G147" s="94">
        <v>17947</v>
      </c>
      <c r="H147" s="94">
        <v>18915</v>
      </c>
      <c r="I147" s="94">
        <f>J147</f>
        <v>18383</v>
      </c>
      <c r="J147" s="293">
        <v>18383</v>
      </c>
      <c r="K147" s="94">
        <v>18375</v>
      </c>
      <c r="L147" s="94">
        <v>20367</v>
      </c>
      <c r="M147" s="94">
        <v>21206</v>
      </c>
      <c r="N147" s="98">
        <f>O147</f>
        <v>20813</v>
      </c>
      <c r="O147" s="293">
        <v>20813</v>
      </c>
      <c r="P147" s="432">
        <f>O147+P146</f>
        <v>23240</v>
      </c>
      <c r="Q147" s="432">
        <f>P147+Q146</f>
        <v>26202</v>
      </c>
      <c r="R147" s="432">
        <f>R145+R148</f>
        <v>28041.75</v>
      </c>
      <c r="S147" s="432">
        <f t="shared" ref="S147:Y147" si="218">S145+S148</f>
        <v>28961.625</v>
      </c>
      <c r="T147" s="432">
        <f t="shared" si="218"/>
        <v>29421.5625</v>
      </c>
      <c r="U147" s="432">
        <f t="shared" si="218"/>
        <v>29371.335937500004</v>
      </c>
      <c r="V147" s="432">
        <f t="shared" si="218"/>
        <v>29206.638764062503</v>
      </c>
      <c r="W147" s="432">
        <f t="shared" si="218"/>
        <v>28986.676988460942</v>
      </c>
      <c r="X147" s="432">
        <f t="shared" si="218"/>
        <v>28740.743601535665</v>
      </c>
      <c r="Y147" s="432">
        <f t="shared" si="218"/>
        <v>28483.324790085186</v>
      </c>
    </row>
    <row r="148" spans="2:29" ht="16.2" x14ac:dyDescent="0.35">
      <c r="B148" s="64" t="s">
        <v>312</v>
      </c>
      <c r="C148" s="292"/>
      <c r="D148" s="426"/>
      <c r="E148" s="434">
        <f t="shared" ref="E148:I148" si="219">E147-E145</f>
        <v>1236</v>
      </c>
      <c r="F148" s="709">
        <f t="shared" si="219"/>
        <v>0</v>
      </c>
      <c r="G148" s="717">
        <f t="shared" si="219"/>
        <v>1489</v>
      </c>
      <c r="H148" s="717">
        <f t="shared" si="219"/>
        <v>1539</v>
      </c>
      <c r="I148" s="715">
        <f t="shared" si="219"/>
        <v>1598</v>
      </c>
      <c r="J148" s="434">
        <f>J147-J145</f>
        <v>1598</v>
      </c>
      <c r="K148" s="94"/>
      <c r="L148" s="94"/>
      <c r="M148" s="94"/>
      <c r="N148" s="98"/>
      <c r="O148" s="434">
        <f>O147-O145</f>
        <v>1632</v>
      </c>
      <c r="P148" s="435">
        <f>P147-P145</f>
        <v>1632</v>
      </c>
      <c r="Q148" s="435">
        <f>Q147-Q145</f>
        <v>1632</v>
      </c>
      <c r="R148" s="436">
        <f>Q148</f>
        <v>1632</v>
      </c>
      <c r="S148" s="436">
        <f t="shared" ref="S148:Y148" si="220">R148</f>
        <v>1632</v>
      </c>
      <c r="T148" s="436">
        <f t="shared" si="220"/>
        <v>1632</v>
      </c>
      <c r="U148" s="436">
        <f t="shared" si="220"/>
        <v>1632</v>
      </c>
      <c r="V148" s="436">
        <f t="shared" si="220"/>
        <v>1632</v>
      </c>
      <c r="W148" s="436">
        <f t="shared" si="220"/>
        <v>1632</v>
      </c>
      <c r="X148" s="436">
        <f t="shared" si="220"/>
        <v>1632</v>
      </c>
      <c r="Y148" s="436">
        <f t="shared" si="220"/>
        <v>1632</v>
      </c>
    </row>
    <row r="149" spans="2:29" ht="16.2" x14ac:dyDescent="0.35">
      <c r="B149" s="64" t="s">
        <v>313</v>
      </c>
      <c r="C149" s="292"/>
      <c r="D149" s="426"/>
      <c r="E149" s="434">
        <f t="shared" ref="E149:I149" si="221">E148-D148</f>
        <v>1236</v>
      </c>
      <c r="F149" s="709">
        <f t="shared" si="221"/>
        <v>-1236</v>
      </c>
      <c r="G149" s="717">
        <f t="shared" si="221"/>
        <v>1489</v>
      </c>
      <c r="H149" s="717">
        <f t="shared" si="221"/>
        <v>50</v>
      </c>
      <c r="I149" s="715">
        <f t="shared" si="221"/>
        <v>59</v>
      </c>
      <c r="J149" s="434">
        <f>J148-E148</f>
        <v>362</v>
      </c>
      <c r="K149" s="94"/>
      <c r="L149" s="94"/>
      <c r="M149" s="94"/>
      <c r="N149" s="98"/>
      <c r="O149" s="434">
        <f>O148-J148</f>
        <v>34</v>
      </c>
      <c r="P149" s="435">
        <f>P148-O148</f>
        <v>0</v>
      </c>
      <c r="Q149" s="435">
        <f>Q148-P148</f>
        <v>0</v>
      </c>
      <c r="R149" s="436">
        <f>R148-Q148</f>
        <v>0</v>
      </c>
      <c r="S149" s="436">
        <f t="shared" ref="S149:Y149" si="222">S148-R148</f>
        <v>0</v>
      </c>
      <c r="T149" s="436">
        <f t="shared" si="222"/>
        <v>0</v>
      </c>
      <c r="U149" s="436">
        <f t="shared" si="222"/>
        <v>0</v>
      </c>
      <c r="V149" s="436">
        <f t="shared" si="222"/>
        <v>0</v>
      </c>
      <c r="W149" s="436">
        <f t="shared" si="222"/>
        <v>0</v>
      </c>
      <c r="X149" s="436">
        <f t="shared" si="222"/>
        <v>0</v>
      </c>
      <c r="Y149" s="436">
        <f t="shared" si="222"/>
        <v>0</v>
      </c>
    </row>
    <row r="150" spans="2:29" ht="16.2" x14ac:dyDescent="0.35">
      <c r="B150" s="412" t="s">
        <v>299</v>
      </c>
      <c r="C150" s="195"/>
      <c r="D150" s="423">
        <v>22485.746999999999</v>
      </c>
      <c r="E150" s="293">
        <v>21054.935000000001</v>
      </c>
      <c r="F150" s="82"/>
      <c r="G150" s="82"/>
      <c r="H150" s="82"/>
      <c r="I150" s="82"/>
      <c r="J150" s="293">
        <v>18446.688999999998</v>
      </c>
      <c r="K150" s="82"/>
      <c r="L150" s="82"/>
      <c r="M150" s="84"/>
      <c r="N150" s="82"/>
      <c r="O150" s="293">
        <v>16909.343000000001</v>
      </c>
      <c r="P150" s="416">
        <v>15225</v>
      </c>
      <c r="Q150" s="416">
        <v>12225</v>
      </c>
      <c r="R150" s="416">
        <f>R151*(R152)</f>
        <v>10385.25</v>
      </c>
      <c r="S150" s="416">
        <f t="shared" ref="S150:Y150" si="223">S151*(S152)</f>
        <v>9465.3749999999982</v>
      </c>
      <c r="T150" s="416">
        <f t="shared" si="223"/>
        <v>9005.4374999999982</v>
      </c>
      <c r="U150" s="416">
        <f t="shared" si="223"/>
        <v>8687.7140624999993</v>
      </c>
      <c r="V150" s="416">
        <f t="shared" si="223"/>
        <v>8488.1407359374989</v>
      </c>
      <c r="W150" s="416">
        <f t="shared" si="223"/>
        <v>8347.4747165390618</v>
      </c>
      <c r="X150" s="416">
        <f t="shared" si="223"/>
        <v>8236.3865864143354</v>
      </c>
      <c r="Y150" s="416">
        <f t="shared" si="223"/>
        <v>8140.3540959853208</v>
      </c>
      <c r="Z150" s="6"/>
      <c r="AA150" s="6"/>
      <c r="AB150" s="6"/>
      <c r="AC150" s="6"/>
    </row>
    <row r="151" spans="2:29" ht="16.2" x14ac:dyDescent="0.35">
      <c r="B151" s="64" t="s">
        <v>77</v>
      </c>
      <c r="C151" s="195"/>
      <c r="D151" s="215">
        <f>D150/(D150+D145)</f>
        <v>0.62391522892766138</v>
      </c>
      <c r="E151" s="215">
        <f>E150/(E150+E145)</f>
        <v>0.58617926728618219</v>
      </c>
      <c r="F151" s="80"/>
      <c r="G151" s="80"/>
      <c r="H151" s="80"/>
      <c r="I151" s="80"/>
      <c r="J151" s="215">
        <f>J150/(J150+J145)</f>
        <v>0.52358230682610762</v>
      </c>
      <c r="K151" s="80"/>
      <c r="L151" s="80"/>
      <c r="M151" s="80"/>
      <c r="N151" s="80"/>
      <c r="O151" s="215">
        <f>O150/(O150+O145)</f>
        <v>0.46852818772046584</v>
      </c>
      <c r="P151" s="240">
        <f>P150/(P150+P145)</f>
        <v>0.4133521570330953</v>
      </c>
      <c r="Q151" s="240">
        <f>Q150/(Q150+Q145)</f>
        <v>0.33224622910721563</v>
      </c>
      <c r="R151" s="233">
        <f t="shared" ref="R151:Y151" si="224">Q151-($Z$151/(2^(O$4-20)))</f>
        <v>0.28224622910721564</v>
      </c>
      <c r="S151" s="233">
        <f t="shared" si="224"/>
        <v>0.25724622910721562</v>
      </c>
      <c r="T151" s="233">
        <f t="shared" si="224"/>
        <v>0.24474622910721561</v>
      </c>
      <c r="U151" s="233">
        <f t="shared" si="224"/>
        <v>0.2384962291072156</v>
      </c>
      <c r="V151" s="233">
        <f t="shared" si="224"/>
        <v>0.23537122910721561</v>
      </c>
      <c r="W151" s="233">
        <f t="shared" si="224"/>
        <v>0.23380872910721562</v>
      </c>
      <c r="X151" s="233">
        <f t="shared" si="224"/>
        <v>0.23302747910721561</v>
      </c>
      <c r="Y151" s="233">
        <f t="shared" si="224"/>
        <v>0.2326368541072156</v>
      </c>
      <c r="Z151" s="431">
        <v>0.1</v>
      </c>
    </row>
    <row r="152" spans="2:29" ht="16.2" x14ac:dyDescent="0.35">
      <c r="B152" s="60" t="s">
        <v>311</v>
      </c>
      <c r="C152" s="195"/>
      <c r="D152" s="429">
        <f>D145+D150</f>
        <v>36039.747000000003</v>
      </c>
      <c r="E152" s="429">
        <f t="shared" ref="E152:P152" si="225">E145+E150</f>
        <v>35918.934999999998</v>
      </c>
      <c r="F152" s="710">
        <f t="shared" si="225"/>
        <v>15564</v>
      </c>
      <c r="G152" s="718">
        <f t="shared" si="225"/>
        <v>16458</v>
      </c>
      <c r="H152" s="718">
        <f t="shared" si="225"/>
        <v>17376</v>
      </c>
      <c r="I152" s="716">
        <f t="shared" si="225"/>
        <v>16785</v>
      </c>
      <c r="J152" s="429">
        <f t="shared" si="225"/>
        <v>35231.688999999998</v>
      </c>
      <c r="K152" s="710">
        <f t="shared" si="225"/>
        <v>18375</v>
      </c>
      <c r="L152" s="718">
        <f t="shared" si="225"/>
        <v>18774</v>
      </c>
      <c r="M152" s="718">
        <f t="shared" si="225"/>
        <v>19559</v>
      </c>
      <c r="N152" s="716">
        <f t="shared" si="225"/>
        <v>19181</v>
      </c>
      <c r="O152" s="429">
        <f t="shared" si="225"/>
        <v>36090.343000000001</v>
      </c>
      <c r="P152" s="429">
        <f t="shared" si="225"/>
        <v>36833</v>
      </c>
      <c r="Q152" s="429">
        <f>Q145+Q150</f>
        <v>36795</v>
      </c>
      <c r="R152" s="425">
        <f>Q152</f>
        <v>36795</v>
      </c>
      <c r="S152" s="425">
        <f t="shared" ref="S152:T152" si="226">R152</f>
        <v>36795</v>
      </c>
      <c r="T152" s="425">
        <f t="shared" si="226"/>
        <v>36795</v>
      </c>
      <c r="U152" s="425">
        <f>T152-(T152*0.01)</f>
        <v>36427.050000000003</v>
      </c>
      <c r="V152" s="425">
        <f t="shared" ref="V152:Y152" si="227">U152-(U152*0.01)</f>
        <v>36062.779500000004</v>
      </c>
      <c r="W152" s="425">
        <f t="shared" si="227"/>
        <v>35702.151705000004</v>
      </c>
      <c r="X152" s="425">
        <f t="shared" si="227"/>
        <v>35345.130187950002</v>
      </c>
      <c r="Y152" s="425">
        <f t="shared" si="227"/>
        <v>34991.678886070506</v>
      </c>
      <c r="Z152" s="433"/>
    </row>
    <row r="153" spans="2:29" ht="16.2" x14ac:dyDescent="0.35">
      <c r="B153" s="6"/>
      <c r="C153" s="195"/>
      <c r="D153" s="215"/>
      <c r="E153" s="215"/>
      <c r="F153" s="80"/>
      <c r="G153" s="80"/>
      <c r="H153" s="80"/>
      <c r="I153" s="80"/>
      <c r="J153" s="215"/>
      <c r="K153" s="80"/>
      <c r="L153" s="80"/>
      <c r="M153" s="80"/>
      <c r="N153" s="80"/>
      <c r="O153" s="215"/>
      <c r="P153" s="240"/>
      <c r="Q153" s="735"/>
      <c r="R153" s="233"/>
      <c r="S153" s="233"/>
      <c r="T153" s="233"/>
      <c r="U153" s="233" t="s">
        <v>468</v>
      </c>
      <c r="V153" s="233"/>
      <c r="W153" s="233"/>
      <c r="X153" s="233"/>
      <c r="Y153" s="233"/>
      <c r="Z153" s="433"/>
    </row>
    <row r="154" spans="2:29" ht="16.2" x14ac:dyDescent="0.35">
      <c r="B154" s="63" t="s">
        <v>8</v>
      </c>
      <c r="C154" s="195"/>
      <c r="D154" s="195"/>
      <c r="E154" s="207"/>
      <c r="F154" s="85"/>
      <c r="G154" s="85"/>
      <c r="H154" s="85"/>
      <c r="I154" s="85"/>
      <c r="J154" s="207"/>
      <c r="K154" s="85"/>
      <c r="L154" s="85"/>
      <c r="M154" s="86"/>
      <c r="N154" s="85"/>
      <c r="O154" s="229"/>
      <c r="P154" s="219"/>
      <c r="Q154" s="219"/>
      <c r="R154" s="219"/>
      <c r="S154" s="219"/>
      <c r="T154" s="219"/>
      <c r="U154" s="219"/>
      <c r="V154" s="219"/>
      <c r="W154" s="219"/>
      <c r="X154" s="219"/>
      <c r="Y154" s="219"/>
      <c r="Z154" s="6"/>
      <c r="AA154" s="6"/>
      <c r="AB154" s="6"/>
      <c r="AC154" s="6"/>
    </row>
    <row r="155" spans="2:29" ht="32.4" x14ac:dyDescent="0.35">
      <c r="B155" s="67" t="s">
        <v>59</v>
      </c>
      <c r="C155" s="221">
        <v>6845</v>
      </c>
      <c r="D155" s="221">
        <v>7575</v>
      </c>
      <c r="E155" s="221">
        <v>9542</v>
      </c>
      <c r="F155" s="93">
        <v>9999</v>
      </c>
      <c r="G155" s="93">
        <v>12349</v>
      </c>
      <c r="H155" s="93">
        <v>12365</v>
      </c>
      <c r="I155" s="93">
        <f>J155</f>
        <v>16650</v>
      </c>
      <c r="J155" s="221">
        <v>16650</v>
      </c>
      <c r="K155" s="93">
        <v>17671</v>
      </c>
      <c r="L155" s="93">
        <v>22618</v>
      </c>
      <c r="M155" s="93">
        <v>21794</v>
      </c>
      <c r="N155" s="93">
        <f>O155</f>
        <v>24933</v>
      </c>
      <c r="O155" s="221">
        <v>24933</v>
      </c>
      <c r="P155" s="203">
        <f t="shared" ref="P155:Y155" si="228">P171</f>
        <v>31791.61115634926</v>
      </c>
      <c r="Q155" s="203">
        <f t="shared" si="228"/>
        <v>40300.238293253205</v>
      </c>
      <c r="R155" s="203">
        <f t="shared" si="228"/>
        <v>49591.039583947175</v>
      </c>
      <c r="S155" s="203">
        <f t="shared" si="228"/>
        <v>58664.659575771911</v>
      </c>
      <c r="T155" s="203">
        <f t="shared" si="228"/>
        <v>68292.979235975974</v>
      </c>
      <c r="U155" s="203">
        <f t="shared" si="228"/>
        <v>78344.378190869233</v>
      </c>
      <c r="V155" s="203">
        <f t="shared" si="228"/>
        <v>87952.648994137111</v>
      </c>
      <c r="W155" s="203">
        <f t="shared" si="228"/>
        <v>97686.698917753252</v>
      </c>
      <c r="X155" s="203">
        <f t="shared" si="228"/>
        <v>107330.48389824873</v>
      </c>
      <c r="Y155" s="203">
        <f t="shared" si="228"/>
        <v>114783.69928020571</v>
      </c>
    </row>
    <row r="156" spans="2:29" ht="16.2" x14ac:dyDescent="0.35">
      <c r="B156" s="64" t="s">
        <v>123</v>
      </c>
      <c r="C156" s="203"/>
      <c r="D156" s="213">
        <f>D155-C155</f>
        <v>730</v>
      </c>
      <c r="E156" s="213">
        <f>E155-D155</f>
        <v>1967</v>
      </c>
      <c r="F156" s="79"/>
      <c r="G156" s="79"/>
      <c r="H156" s="79"/>
      <c r="I156" s="79"/>
      <c r="J156" s="213">
        <f>J155-E155</f>
        <v>7108</v>
      </c>
      <c r="K156" s="105"/>
      <c r="L156" s="105"/>
      <c r="M156" s="105"/>
      <c r="N156" s="105"/>
      <c r="O156" s="213">
        <f>O155-J155</f>
        <v>8283</v>
      </c>
      <c r="P156" s="213">
        <f>P155-O155</f>
        <v>6858.6111563492595</v>
      </c>
      <c r="Q156" s="213">
        <f t="shared" ref="Q156" si="229">Q155-P155</f>
        <v>8508.6271369039459</v>
      </c>
      <c r="R156" s="213">
        <f t="shared" ref="R156" si="230">R155-Q155</f>
        <v>9290.8012906939693</v>
      </c>
      <c r="S156" s="213">
        <f t="shared" ref="S156" si="231">S155-R155</f>
        <v>9073.6199918247366</v>
      </c>
      <c r="T156" s="213">
        <f t="shared" ref="T156" si="232">T155-S155</f>
        <v>9628.3196602040625</v>
      </c>
      <c r="U156" s="213">
        <f t="shared" ref="U156" si="233">U155-T155</f>
        <v>10051.398954893259</v>
      </c>
      <c r="V156" s="213">
        <f t="shared" ref="V156" si="234">V155-U155</f>
        <v>9608.2708032678784</v>
      </c>
      <c r="W156" s="213">
        <f t="shared" ref="W156" si="235">W155-V155</f>
        <v>9734.0499236161413</v>
      </c>
      <c r="X156" s="213">
        <f t="shared" ref="X156" si="236">X155-W155</f>
        <v>9643.7849804954749</v>
      </c>
      <c r="Y156" s="213">
        <f t="shared" ref="Y156" si="237">Y155-X155</f>
        <v>7453.2153819569794</v>
      </c>
    </row>
    <row r="157" spans="2:29" ht="16.2" x14ac:dyDescent="0.35">
      <c r="B157" s="64" t="s">
        <v>86</v>
      </c>
      <c r="C157" s="203"/>
      <c r="D157" s="215">
        <f>(D155/C155)-1</f>
        <v>0.10664718772826887</v>
      </c>
      <c r="E157" s="215">
        <f>(E155/D155)-1</f>
        <v>0.25966996699669975</v>
      </c>
      <c r="F157" s="79"/>
      <c r="G157" s="79"/>
      <c r="H157" s="79"/>
      <c r="I157" s="79"/>
      <c r="J157" s="215">
        <f>(J155/E155)-1</f>
        <v>0.74491720813246709</v>
      </c>
      <c r="K157" s="79"/>
      <c r="L157" s="79"/>
      <c r="M157" s="79"/>
      <c r="N157" s="79"/>
      <c r="O157" s="215">
        <f>(O155/J155)-1</f>
        <v>0.4974774774774775</v>
      </c>
      <c r="P157" s="215">
        <f t="shared" ref="P157:Y157" si="238">(P155/O155)-1</f>
        <v>0.27508166511648247</v>
      </c>
      <c r="Q157" s="215">
        <f t="shared" si="238"/>
        <v>0.26763749389922453</v>
      </c>
      <c r="R157" s="215">
        <f t="shared" si="238"/>
        <v>0.23053961177816085</v>
      </c>
      <c r="S157" s="215">
        <f t="shared" si="238"/>
        <v>0.18296894092056704</v>
      </c>
      <c r="T157" s="215">
        <f t="shared" si="238"/>
        <v>0.16412470011469216</v>
      </c>
      <c r="U157" s="215">
        <f t="shared" si="238"/>
        <v>0.14718056039350969</v>
      </c>
      <c r="V157" s="215">
        <f t="shared" si="238"/>
        <v>0.12264148398573527</v>
      </c>
      <c r="W157" s="215">
        <f t="shared" si="238"/>
        <v>0.11067375496859699</v>
      </c>
      <c r="X157" s="215">
        <f t="shared" si="238"/>
        <v>9.8721577116808845E-2</v>
      </c>
      <c r="Y157" s="215">
        <f t="shared" si="238"/>
        <v>6.9441738369713901E-2</v>
      </c>
    </row>
    <row r="158" spans="2:29" ht="16.2" x14ac:dyDescent="0.35">
      <c r="B158" s="100" t="s">
        <v>154</v>
      </c>
      <c r="C158" s="212"/>
      <c r="D158" s="212">
        <v>2233</v>
      </c>
      <c r="E158" s="212">
        <v>3012</v>
      </c>
      <c r="F158" s="653"/>
      <c r="G158" s="653"/>
      <c r="H158" s="653"/>
      <c r="I158" s="653"/>
      <c r="J158" s="212">
        <v>4404</v>
      </c>
      <c r="K158" s="168"/>
      <c r="L158" s="168"/>
      <c r="M158" s="168"/>
      <c r="N158" s="168"/>
      <c r="O158" s="212">
        <v>7283</v>
      </c>
      <c r="P158" s="212">
        <f t="shared" ref="P158:Y158" si="239">P159*P$94</f>
        <v>9081.2995895529693</v>
      </c>
      <c r="Q158" s="212">
        <f t="shared" si="239"/>
        <v>11511.795853048985</v>
      </c>
      <c r="R158" s="212">
        <f t="shared" si="239"/>
        <v>14165.720799880339</v>
      </c>
      <c r="S158" s="212">
        <f t="shared" si="239"/>
        <v>16757.607732010896</v>
      </c>
      <c r="T158" s="212">
        <f t="shared" si="239"/>
        <v>19507.945075666827</v>
      </c>
      <c r="U158" s="212">
        <f t="shared" si="239"/>
        <v>22379.135364029276</v>
      </c>
      <c r="V158" s="212">
        <f t="shared" si="239"/>
        <v>25123.745735391476</v>
      </c>
      <c r="W158" s="212">
        <f t="shared" si="239"/>
        <v>27904.285014803521</v>
      </c>
      <c r="X158" s="212">
        <f t="shared" si="239"/>
        <v>30659.040039781867</v>
      </c>
      <c r="Y158" s="212">
        <f t="shared" si="239"/>
        <v>32788.057076890975</v>
      </c>
    </row>
    <row r="159" spans="2:29" x14ac:dyDescent="0.3">
      <c r="B159" s="109" t="s">
        <v>162</v>
      </c>
      <c r="C159" s="213"/>
      <c r="D159" s="206">
        <f t="shared" ref="D159:O159" si="240">D158/D$94</f>
        <v>5.5409429280397022</v>
      </c>
      <c r="E159" s="206">
        <f t="shared" si="240"/>
        <v>5.0621848739495796</v>
      </c>
      <c r="F159" s="85"/>
      <c r="G159" s="85"/>
      <c r="H159" s="85"/>
      <c r="I159" s="85"/>
      <c r="J159" s="206">
        <f t="shared" si="240"/>
        <v>4.6406743940990518</v>
      </c>
      <c r="K159" s="85"/>
      <c r="L159" s="85"/>
      <c r="M159" s="85"/>
      <c r="N159" s="85"/>
      <c r="O159" s="206">
        <f t="shared" si="240"/>
        <v>5.6457364341085272</v>
      </c>
      <c r="P159" s="241">
        <f>MAX(AVERAGE(O159,J159,E159,D159),O159)</f>
        <v>5.6457364341085272</v>
      </c>
      <c r="Q159" s="241">
        <f>P159</f>
        <v>5.6457364341085272</v>
      </c>
      <c r="R159" s="241">
        <f t="shared" ref="R159:Y159" si="241">Q159</f>
        <v>5.6457364341085272</v>
      </c>
      <c r="S159" s="241">
        <f t="shared" si="241"/>
        <v>5.6457364341085272</v>
      </c>
      <c r="T159" s="241">
        <f t="shared" si="241"/>
        <v>5.6457364341085272</v>
      </c>
      <c r="U159" s="241">
        <f t="shared" si="241"/>
        <v>5.6457364341085272</v>
      </c>
      <c r="V159" s="241">
        <f t="shared" si="241"/>
        <v>5.6457364341085272</v>
      </c>
      <c r="W159" s="241">
        <f t="shared" si="241"/>
        <v>5.6457364341085272</v>
      </c>
      <c r="X159" s="241">
        <f t="shared" si="241"/>
        <v>5.6457364341085272</v>
      </c>
      <c r="Y159" s="241">
        <f t="shared" si="241"/>
        <v>5.6457364341085272</v>
      </c>
    </row>
    <row r="160" spans="2:29" ht="16.2" x14ac:dyDescent="0.35">
      <c r="B160" s="1" t="s">
        <v>155</v>
      </c>
      <c r="C160" s="213"/>
      <c r="D160" s="213">
        <v>1023</v>
      </c>
      <c r="E160" s="213">
        <v>1480</v>
      </c>
      <c r="F160" s="105"/>
      <c r="G160" s="105"/>
      <c r="H160" s="105"/>
      <c r="I160" s="105"/>
      <c r="J160" s="213">
        <v>2453</v>
      </c>
      <c r="K160" s="79"/>
      <c r="L160" s="79"/>
      <c r="M160" s="79"/>
      <c r="N160" s="79"/>
      <c r="O160" s="213">
        <v>3369</v>
      </c>
      <c r="P160" s="213">
        <f t="shared" ref="P160:Y160" si="242">P161*P$94</f>
        <v>4200.8647970896545</v>
      </c>
      <c r="Q160" s="213">
        <f t="shared" si="242"/>
        <v>5325.1737235922046</v>
      </c>
      <c r="R160" s="213">
        <f t="shared" si="242"/>
        <v>6552.8372064804153</v>
      </c>
      <c r="S160" s="213">
        <f t="shared" si="242"/>
        <v>7751.8028901750249</v>
      </c>
      <c r="T160" s="213">
        <f t="shared" si="242"/>
        <v>9024.0652148732042</v>
      </c>
      <c r="U160" s="213">
        <f t="shared" si="242"/>
        <v>10352.232190225817</v>
      </c>
      <c r="V160" s="213">
        <f t="shared" si="242"/>
        <v>11621.845308600012</v>
      </c>
      <c r="W160" s="213">
        <f t="shared" si="242"/>
        <v>12908.078568566945</v>
      </c>
      <c r="X160" s="213">
        <f t="shared" si="242"/>
        <v>14182.384442403558</v>
      </c>
      <c r="Y160" s="213">
        <f t="shared" si="242"/>
        <v>15167.233872311645</v>
      </c>
    </row>
    <row r="161" spans="2:26" x14ac:dyDescent="0.3">
      <c r="B161" s="109" t="s">
        <v>162</v>
      </c>
      <c r="C161" s="213"/>
      <c r="D161" s="206">
        <f t="shared" ref="D161:O161" si="243">D160/D$94</f>
        <v>2.5384615384615383</v>
      </c>
      <c r="E161" s="206">
        <f t="shared" si="243"/>
        <v>2.4873949579831933</v>
      </c>
      <c r="F161" s="85"/>
      <c r="G161" s="85"/>
      <c r="H161" s="85"/>
      <c r="I161" s="85"/>
      <c r="J161" s="206">
        <f t="shared" si="243"/>
        <v>2.5848261327713384</v>
      </c>
      <c r="K161" s="85"/>
      <c r="L161" s="85"/>
      <c r="M161" s="85"/>
      <c r="N161" s="85"/>
      <c r="O161" s="206">
        <f t="shared" si="243"/>
        <v>2.6116279069767443</v>
      </c>
      <c r="P161" s="241">
        <f>MAX(AVERAGE(O161,J161,E161,D161),O161)</f>
        <v>2.6116279069767443</v>
      </c>
      <c r="Q161" s="241">
        <f>P161</f>
        <v>2.6116279069767443</v>
      </c>
      <c r="R161" s="241">
        <f t="shared" ref="R161:Y167" si="244">Q161</f>
        <v>2.6116279069767443</v>
      </c>
      <c r="S161" s="241">
        <f t="shared" si="244"/>
        <v>2.6116279069767443</v>
      </c>
      <c r="T161" s="241">
        <f t="shared" si="244"/>
        <v>2.6116279069767443</v>
      </c>
      <c r="U161" s="241">
        <f t="shared" si="244"/>
        <v>2.6116279069767443</v>
      </c>
      <c r="V161" s="241">
        <f t="shared" si="244"/>
        <v>2.6116279069767443</v>
      </c>
      <c r="W161" s="241">
        <f t="shared" si="244"/>
        <v>2.6116279069767443</v>
      </c>
      <c r="X161" s="241">
        <f t="shared" si="244"/>
        <v>2.6116279069767443</v>
      </c>
      <c r="Y161" s="241">
        <f t="shared" si="244"/>
        <v>2.6116279069767443</v>
      </c>
    </row>
    <row r="162" spans="2:26" ht="16.2" x14ac:dyDescent="0.35">
      <c r="B162" s="1" t="s">
        <v>156</v>
      </c>
      <c r="C162" s="213"/>
      <c r="D162" s="213">
        <v>252</v>
      </c>
      <c r="E162" s="213">
        <v>268</v>
      </c>
      <c r="F162" s="105"/>
      <c r="G162" s="105"/>
      <c r="H162" s="105"/>
      <c r="I162" s="105"/>
      <c r="J162" s="213">
        <v>352</v>
      </c>
      <c r="K162" s="79"/>
      <c r="L162" s="79"/>
      <c r="M162" s="79"/>
      <c r="N162" s="79"/>
      <c r="O162" s="213">
        <v>514</v>
      </c>
      <c r="P162" s="213">
        <f t="shared" ref="P162:Y162" si="245">P163*P$94</f>
        <v>741.97034250847946</v>
      </c>
      <c r="Q162" s="213">
        <f t="shared" si="245"/>
        <v>940.54942552499836</v>
      </c>
      <c r="R162" s="213">
        <f t="shared" si="245"/>
        <v>1157.3833249437037</v>
      </c>
      <c r="S162" s="213">
        <f t="shared" si="245"/>
        <v>1369.1485261477778</v>
      </c>
      <c r="T162" s="213">
        <f t="shared" si="245"/>
        <v>1593.8596174142544</v>
      </c>
      <c r="U162" s="213">
        <f t="shared" si="245"/>
        <v>1828.4447690938691</v>
      </c>
      <c r="V162" s="213">
        <f t="shared" si="245"/>
        <v>2052.6879489614967</v>
      </c>
      <c r="W162" s="213">
        <f t="shared" si="245"/>
        <v>2279.8666320518528</v>
      </c>
      <c r="X162" s="213">
        <f t="shared" si="245"/>
        <v>2504.9386615839994</v>
      </c>
      <c r="Y162" s="213">
        <f t="shared" si="245"/>
        <v>2678.8859567538962</v>
      </c>
    </row>
    <row r="163" spans="2:26" x14ac:dyDescent="0.3">
      <c r="B163" s="109" t="s">
        <v>162</v>
      </c>
      <c r="C163" s="213"/>
      <c r="D163" s="206">
        <f t="shared" ref="D163:O163" si="246">D162/D$94</f>
        <v>0.62531017369727049</v>
      </c>
      <c r="E163" s="206">
        <f t="shared" si="246"/>
        <v>0.4504201680672269</v>
      </c>
      <c r="F163" s="85"/>
      <c r="G163" s="85"/>
      <c r="H163" s="85"/>
      <c r="I163" s="85"/>
      <c r="J163" s="206">
        <f t="shared" si="246"/>
        <v>0.37091675447839834</v>
      </c>
      <c r="K163" s="85"/>
      <c r="L163" s="85"/>
      <c r="M163" s="85"/>
      <c r="N163" s="85"/>
      <c r="O163" s="206">
        <f t="shared" si="246"/>
        <v>0.39844961240310078</v>
      </c>
      <c r="P163" s="241">
        <f>MAX(AVERAGE(O163,J163,E163,D163),O163)</f>
        <v>0.4612741771614991</v>
      </c>
      <c r="Q163" s="241">
        <f>P163</f>
        <v>0.4612741771614991</v>
      </c>
      <c r="R163" s="241">
        <f t="shared" si="244"/>
        <v>0.4612741771614991</v>
      </c>
      <c r="S163" s="241">
        <f t="shared" si="244"/>
        <v>0.4612741771614991</v>
      </c>
      <c r="T163" s="241">
        <f t="shared" si="244"/>
        <v>0.4612741771614991</v>
      </c>
      <c r="U163" s="241">
        <f t="shared" si="244"/>
        <v>0.4612741771614991</v>
      </c>
      <c r="V163" s="241">
        <f t="shared" si="244"/>
        <v>0.4612741771614991</v>
      </c>
      <c r="W163" s="241">
        <f t="shared" si="244"/>
        <v>0.4612741771614991</v>
      </c>
      <c r="X163" s="241">
        <f t="shared" si="244"/>
        <v>0.4612741771614991</v>
      </c>
      <c r="Y163" s="241">
        <f t="shared" si="244"/>
        <v>0.4612741771614991</v>
      </c>
    </row>
    <row r="164" spans="2:26" ht="16.2" x14ac:dyDescent="0.35">
      <c r="B164" s="1" t="s">
        <v>157</v>
      </c>
      <c r="C164" s="213"/>
      <c r="D164" s="213">
        <v>824</v>
      </c>
      <c r="E164" s="213">
        <v>885</v>
      </c>
      <c r="F164" s="105"/>
      <c r="G164" s="105"/>
      <c r="H164" s="105"/>
      <c r="I164" s="105"/>
      <c r="J164" s="213">
        <v>937</v>
      </c>
      <c r="K164" s="79"/>
      <c r="L164" s="79"/>
      <c r="M164" s="79"/>
      <c r="N164" s="79"/>
      <c r="O164" s="213">
        <v>937</v>
      </c>
      <c r="P164" s="213">
        <f t="shared" ref="P164:Y164" si="247">P165*P$94</f>
        <v>2109.4867193715504</v>
      </c>
      <c r="Q164" s="213">
        <f t="shared" si="247"/>
        <v>2674.0644583578492</v>
      </c>
      <c r="R164" s="213">
        <f t="shared" si="247"/>
        <v>3290.542240457446</v>
      </c>
      <c r="S164" s="213">
        <f t="shared" si="247"/>
        <v>3892.6092692483353</v>
      </c>
      <c r="T164" s="213">
        <f t="shared" si="247"/>
        <v>4531.4825982273887</v>
      </c>
      <c r="U164" s="213">
        <f t="shared" si="247"/>
        <v>5198.4287464479321</v>
      </c>
      <c r="V164" s="213">
        <f t="shared" si="247"/>
        <v>5835.9717623064134</v>
      </c>
      <c r="W164" s="213">
        <f t="shared" si="247"/>
        <v>6481.8606711315633</v>
      </c>
      <c r="X164" s="213">
        <f t="shared" si="247"/>
        <v>7121.7601792370888</v>
      </c>
      <c r="Y164" s="213">
        <f t="shared" si="247"/>
        <v>7616.307586335517</v>
      </c>
    </row>
    <row r="165" spans="2:26" x14ac:dyDescent="0.3">
      <c r="B165" s="109" t="s">
        <v>162</v>
      </c>
      <c r="C165" s="213"/>
      <c r="D165" s="206">
        <f t="shared" ref="D165:O165" si="248">D164/D$94</f>
        <v>2.0446650124069481</v>
      </c>
      <c r="E165" s="206">
        <f t="shared" si="248"/>
        <v>1.4873949579831933</v>
      </c>
      <c r="F165" s="85"/>
      <c r="G165" s="85"/>
      <c r="H165" s="85"/>
      <c r="I165" s="85"/>
      <c r="J165" s="206">
        <f t="shared" si="248"/>
        <v>0.98735511064278192</v>
      </c>
      <c r="K165" s="85"/>
      <c r="L165" s="85"/>
      <c r="M165" s="85"/>
      <c r="N165" s="85"/>
      <c r="O165" s="206">
        <f t="shared" si="248"/>
        <v>0.72635658914728685</v>
      </c>
      <c r="P165" s="241">
        <f>MAX(AVERAGE(O165,J165,E165,D165),O165)</f>
        <v>1.3114429175450524</v>
      </c>
      <c r="Q165" s="241">
        <f>P165</f>
        <v>1.3114429175450524</v>
      </c>
      <c r="R165" s="241">
        <f t="shared" si="244"/>
        <v>1.3114429175450524</v>
      </c>
      <c r="S165" s="241">
        <f t="shared" si="244"/>
        <v>1.3114429175450524</v>
      </c>
      <c r="T165" s="241">
        <f t="shared" si="244"/>
        <v>1.3114429175450524</v>
      </c>
      <c r="U165" s="241">
        <f t="shared" si="244"/>
        <v>1.3114429175450524</v>
      </c>
      <c r="V165" s="241">
        <f t="shared" si="244"/>
        <v>1.3114429175450524</v>
      </c>
      <c r="W165" s="241">
        <f t="shared" si="244"/>
        <v>1.3114429175450524</v>
      </c>
      <c r="X165" s="241">
        <f t="shared" si="244"/>
        <v>1.3114429175450524</v>
      </c>
      <c r="Y165" s="241">
        <f t="shared" si="244"/>
        <v>1.3114429175450524</v>
      </c>
    </row>
    <row r="166" spans="2:26" ht="16.2" x14ac:dyDescent="0.35">
      <c r="B166" s="1" t="s">
        <v>158</v>
      </c>
      <c r="C166" s="213"/>
      <c r="D166" s="213">
        <v>6692</v>
      </c>
      <c r="E166" s="213">
        <v>9073</v>
      </c>
      <c r="F166" s="105"/>
      <c r="G166" s="105"/>
      <c r="H166" s="105"/>
      <c r="I166" s="105"/>
      <c r="J166" s="213">
        <v>16534</v>
      </c>
      <c r="K166" s="79"/>
      <c r="L166" s="79"/>
      <c r="M166" s="79"/>
      <c r="N166" s="79"/>
      <c r="O166" s="213">
        <v>25115</v>
      </c>
      <c r="P166" s="213">
        <f t="shared" ref="P166:Y166" si="249">P167*P$94</f>
        <v>31316.331071210057</v>
      </c>
      <c r="Q166" s="213">
        <f t="shared" si="249"/>
        <v>39697.755437227133</v>
      </c>
      <c r="R166" s="213">
        <f t="shared" si="249"/>
        <v>48849.660564189857</v>
      </c>
      <c r="S166" s="213">
        <f t="shared" si="249"/>
        <v>57787.631221948868</v>
      </c>
      <c r="T166" s="213">
        <f t="shared" si="249"/>
        <v>67272.008866589647</v>
      </c>
      <c r="U166" s="213">
        <f t="shared" si="249"/>
        <v>77173.140830371442</v>
      </c>
      <c r="V166" s="213">
        <f t="shared" si="249"/>
        <v>86637.769345648354</v>
      </c>
      <c r="W166" s="213">
        <f t="shared" si="249"/>
        <v>96226.29660123444</v>
      </c>
      <c r="X166" s="213">
        <f t="shared" si="249"/>
        <v>105725.90836181815</v>
      </c>
      <c r="Y166" s="213">
        <f t="shared" si="249"/>
        <v>113067.69922917985</v>
      </c>
    </row>
    <row r="167" spans="2:26" x14ac:dyDescent="0.3">
      <c r="B167" s="109" t="s">
        <v>162</v>
      </c>
      <c r="C167" s="213"/>
      <c r="D167" s="206">
        <f t="shared" ref="D167:O167" si="250">D166/D$94</f>
        <v>16.605459057071961</v>
      </c>
      <c r="E167" s="206">
        <f t="shared" si="250"/>
        <v>15.248739495798318</v>
      </c>
      <c r="F167" s="85"/>
      <c r="G167" s="85"/>
      <c r="H167" s="85"/>
      <c r="I167" s="85"/>
      <c r="J167" s="206">
        <f t="shared" si="250"/>
        <v>17.42255005268704</v>
      </c>
      <c r="K167" s="85"/>
      <c r="L167" s="85"/>
      <c r="M167" s="85"/>
      <c r="N167" s="85"/>
      <c r="O167" s="206">
        <f t="shared" si="250"/>
        <v>19.468992248062015</v>
      </c>
      <c r="P167" s="241">
        <f>MAX(AVERAGE(O167,J167,E167,D167),O167)</f>
        <v>19.468992248062015</v>
      </c>
      <c r="Q167" s="241">
        <f>P167</f>
        <v>19.468992248062015</v>
      </c>
      <c r="R167" s="241">
        <f t="shared" si="244"/>
        <v>19.468992248062015</v>
      </c>
      <c r="S167" s="241">
        <f t="shared" si="244"/>
        <v>19.468992248062015</v>
      </c>
      <c r="T167" s="241">
        <f t="shared" si="244"/>
        <v>19.468992248062015</v>
      </c>
      <c r="U167" s="241">
        <f t="shared" si="244"/>
        <v>19.468992248062015</v>
      </c>
      <c r="V167" s="241">
        <f t="shared" si="244"/>
        <v>19.468992248062015</v>
      </c>
      <c r="W167" s="241">
        <f t="shared" si="244"/>
        <v>19.468992248062015</v>
      </c>
      <c r="X167" s="241">
        <f t="shared" si="244"/>
        <v>19.468992248062015</v>
      </c>
      <c r="Y167" s="241">
        <f t="shared" si="244"/>
        <v>19.468992248062015</v>
      </c>
    </row>
    <row r="168" spans="2:26" x14ac:dyDescent="0.3">
      <c r="B168" s="100" t="s">
        <v>113</v>
      </c>
      <c r="C168" s="212"/>
      <c r="D168" s="212">
        <f>SUM(D158,D160,D162,D164,D166)</f>
        <v>11024</v>
      </c>
      <c r="E168" s="212">
        <f t="shared" ref="E168:Y168" si="251">SUM(E158,E160,E162,E164,E166)</f>
        <v>14718</v>
      </c>
      <c r="F168" s="653"/>
      <c r="G168" s="653"/>
      <c r="H168" s="653"/>
      <c r="I168" s="653"/>
      <c r="J168" s="212">
        <f t="shared" si="251"/>
        <v>24680</v>
      </c>
      <c r="K168" s="653"/>
      <c r="L168" s="653"/>
      <c r="M168" s="653"/>
      <c r="N168" s="653"/>
      <c r="O168" s="212">
        <f t="shared" si="251"/>
        <v>37218</v>
      </c>
      <c r="P168" s="212">
        <f t="shared" si="251"/>
        <v>47449.952519732709</v>
      </c>
      <c r="Q168" s="212">
        <f t="shared" si="251"/>
        <v>60149.338897751171</v>
      </c>
      <c r="R168" s="212">
        <f t="shared" si="251"/>
        <v>74016.144135951763</v>
      </c>
      <c r="S168" s="212">
        <f t="shared" si="251"/>
        <v>87558.799639530902</v>
      </c>
      <c r="T168" s="212">
        <f t="shared" si="251"/>
        <v>101929.36137277132</v>
      </c>
      <c r="U168" s="212">
        <f t="shared" si="251"/>
        <v>116931.38190016834</v>
      </c>
      <c r="V168" s="212">
        <f t="shared" si="251"/>
        <v>131272.02010090774</v>
      </c>
      <c r="W168" s="212">
        <f t="shared" si="251"/>
        <v>145800.38748778834</v>
      </c>
      <c r="X168" s="212">
        <f t="shared" si="251"/>
        <v>160194.03168482467</v>
      </c>
      <c r="Y168" s="212">
        <f t="shared" si="251"/>
        <v>171318.1837214719</v>
      </c>
    </row>
    <row r="169" spans="2:26" ht="16.2" x14ac:dyDescent="0.35">
      <c r="B169" s="1" t="s">
        <v>159</v>
      </c>
      <c r="C169" s="213"/>
      <c r="D169" s="213">
        <v>-3449</v>
      </c>
      <c r="E169" s="213">
        <v>-5176</v>
      </c>
      <c r="F169" s="105"/>
      <c r="G169" s="105"/>
      <c r="H169" s="105"/>
      <c r="I169" s="105"/>
      <c r="J169" s="213">
        <v>-8030</v>
      </c>
      <c r="K169" s="79"/>
      <c r="L169" s="79"/>
      <c r="M169" s="79"/>
      <c r="N169" s="79"/>
      <c r="O169" s="213">
        <v>-12285</v>
      </c>
      <c r="P169" s="213">
        <f>P168*P170</f>
        <v>-15658.341363383452</v>
      </c>
      <c r="Q169" s="213">
        <f t="shared" ref="Q169:Y169" si="252">Q168*Q170</f>
        <v>-19849.100604497966</v>
      </c>
      <c r="R169" s="213">
        <f t="shared" si="252"/>
        <v>-24425.104552004588</v>
      </c>
      <c r="S169" s="213">
        <f t="shared" si="252"/>
        <v>-28894.14006375899</v>
      </c>
      <c r="T169" s="213">
        <f t="shared" si="252"/>
        <v>-33636.382136795342</v>
      </c>
      <c r="U169" s="213">
        <f t="shared" si="252"/>
        <v>-38587.003709299119</v>
      </c>
      <c r="V169" s="213">
        <f t="shared" si="252"/>
        <v>-43319.371106770632</v>
      </c>
      <c r="W169" s="213">
        <f t="shared" si="252"/>
        <v>-48113.688570035083</v>
      </c>
      <c r="X169" s="213">
        <f t="shared" si="252"/>
        <v>-52863.547786575939</v>
      </c>
      <c r="Y169" s="213">
        <f t="shared" si="252"/>
        <v>-56534.484441266199</v>
      </c>
    </row>
    <row r="170" spans="2:26" x14ac:dyDescent="0.3">
      <c r="B170" s="110" t="s">
        <v>161</v>
      </c>
      <c r="C170" s="213"/>
      <c r="D170" s="215">
        <f>D169/D168</f>
        <v>-0.31286284470246734</v>
      </c>
      <c r="E170" s="215">
        <f t="shared" ref="E170:O170" si="253">E169/E168</f>
        <v>-0.35167821714906916</v>
      </c>
      <c r="F170" s="82"/>
      <c r="G170" s="82"/>
      <c r="H170" s="82"/>
      <c r="I170" s="82"/>
      <c r="J170" s="215">
        <f t="shared" si="253"/>
        <v>-0.32536466774716372</v>
      </c>
      <c r="K170" s="82"/>
      <c r="L170" s="82"/>
      <c r="M170" s="82"/>
      <c r="N170" s="82"/>
      <c r="O170" s="215">
        <f t="shared" si="253"/>
        <v>-0.33008221828147671</v>
      </c>
      <c r="P170" s="233">
        <f>AVERAGE(O170,J170,E170,D170)</f>
        <v>-0.3299969869700442</v>
      </c>
      <c r="Q170" s="233">
        <f>P170</f>
        <v>-0.3299969869700442</v>
      </c>
      <c r="R170" s="233">
        <f t="shared" ref="R170:Y170" si="254">Q170</f>
        <v>-0.3299969869700442</v>
      </c>
      <c r="S170" s="233">
        <f t="shared" si="254"/>
        <v>-0.3299969869700442</v>
      </c>
      <c r="T170" s="233">
        <f t="shared" si="254"/>
        <v>-0.3299969869700442</v>
      </c>
      <c r="U170" s="233">
        <f t="shared" si="254"/>
        <v>-0.3299969869700442</v>
      </c>
      <c r="V170" s="233">
        <f t="shared" si="254"/>
        <v>-0.3299969869700442</v>
      </c>
      <c r="W170" s="233">
        <f t="shared" si="254"/>
        <v>-0.3299969869700442</v>
      </c>
      <c r="X170" s="233">
        <f t="shared" si="254"/>
        <v>-0.3299969869700442</v>
      </c>
      <c r="Y170" s="233">
        <f t="shared" si="254"/>
        <v>-0.3299969869700442</v>
      </c>
    </row>
    <row r="171" spans="2:26" x14ac:dyDescent="0.3">
      <c r="B171" s="1" t="s">
        <v>160</v>
      </c>
      <c r="C171" s="213"/>
      <c r="D171" s="213">
        <f>D168+D169</f>
        <v>7575</v>
      </c>
      <c r="E171" s="213">
        <f t="shared" ref="E171:O171" si="255">E168+E169</f>
        <v>9542</v>
      </c>
      <c r="F171" s="105"/>
      <c r="G171" s="105"/>
      <c r="H171" s="105"/>
      <c r="I171" s="105"/>
      <c r="J171" s="213">
        <f t="shared" si="255"/>
        <v>16650</v>
      </c>
      <c r="K171" s="105"/>
      <c r="L171" s="105"/>
      <c r="M171" s="105"/>
      <c r="N171" s="105"/>
      <c r="O171" s="213">
        <f t="shared" si="255"/>
        <v>24933</v>
      </c>
      <c r="P171" s="213">
        <f>P168+P169</f>
        <v>31791.61115634926</v>
      </c>
      <c r="Q171" s="213">
        <f t="shared" ref="Q171:Y171" si="256">Q168+Q169</f>
        <v>40300.238293253205</v>
      </c>
      <c r="R171" s="213">
        <f t="shared" si="256"/>
        <v>49591.039583947175</v>
      </c>
      <c r="S171" s="213">
        <f t="shared" si="256"/>
        <v>58664.659575771911</v>
      </c>
      <c r="T171" s="213">
        <f t="shared" si="256"/>
        <v>68292.979235975974</v>
      </c>
      <c r="U171" s="213">
        <f t="shared" si="256"/>
        <v>78344.378190869233</v>
      </c>
      <c r="V171" s="213">
        <f t="shared" si="256"/>
        <v>87952.648994137111</v>
      </c>
      <c r="W171" s="213">
        <f t="shared" si="256"/>
        <v>97686.698917753252</v>
      </c>
      <c r="X171" s="213">
        <f t="shared" si="256"/>
        <v>107330.48389824873</v>
      </c>
      <c r="Y171" s="213">
        <f t="shared" si="256"/>
        <v>114783.69928020571</v>
      </c>
    </row>
    <row r="172" spans="2:26" ht="16.2" x14ac:dyDescent="0.35">
      <c r="B172" s="6"/>
      <c r="C172" s="203"/>
      <c r="D172" s="203"/>
      <c r="E172" s="203"/>
      <c r="F172" s="79"/>
      <c r="G172" s="79"/>
      <c r="H172" s="79"/>
      <c r="I172" s="79"/>
      <c r="J172" s="203"/>
      <c r="K172" s="79"/>
      <c r="L172" s="79"/>
      <c r="M172" s="79"/>
      <c r="N172" s="79"/>
      <c r="O172" s="203"/>
      <c r="P172" s="200"/>
      <c r="Q172" s="200"/>
      <c r="R172" s="200"/>
      <c r="S172" s="200"/>
      <c r="T172" s="200"/>
      <c r="U172" s="200"/>
      <c r="V172" s="200"/>
      <c r="W172" s="200"/>
      <c r="X172" s="200"/>
      <c r="Y172" s="200"/>
    </row>
    <row r="173" spans="2:26" ht="16.2" x14ac:dyDescent="0.35">
      <c r="B173" s="60" t="s">
        <v>60</v>
      </c>
      <c r="C173" s="197">
        <v>3916</v>
      </c>
      <c r="D173" s="197">
        <v>4548</v>
      </c>
      <c r="E173" s="197">
        <v>0</v>
      </c>
      <c r="F173" s="93">
        <v>0</v>
      </c>
      <c r="G173" s="93">
        <v>0</v>
      </c>
      <c r="H173" s="93">
        <v>0</v>
      </c>
      <c r="I173" s="93">
        <f>J173</f>
        <v>32933</v>
      </c>
      <c r="J173" s="197">
        <v>32933</v>
      </c>
      <c r="K173" s="93">
        <v>33310</v>
      </c>
      <c r="L173" s="93">
        <v>48549</v>
      </c>
      <c r="M173" s="93">
        <v>47200</v>
      </c>
      <c r="N173" s="93">
        <f>O173</f>
        <v>47335</v>
      </c>
      <c r="O173" s="197">
        <v>47335</v>
      </c>
      <c r="P173" s="195">
        <f>SUM($P$212:$Y$212)-P212</f>
        <v>67474</v>
      </c>
      <c r="Q173" s="195">
        <f>P173+10000</f>
        <v>77474</v>
      </c>
      <c r="R173" s="195">
        <f>Q173</f>
        <v>77474</v>
      </c>
      <c r="S173" s="195">
        <f t="shared" ref="S173:Y173" si="257">R173</f>
        <v>77474</v>
      </c>
      <c r="T173" s="195">
        <f t="shared" si="257"/>
        <v>77474</v>
      </c>
      <c r="U173" s="195">
        <f t="shared" si="257"/>
        <v>77474</v>
      </c>
      <c r="V173" s="195">
        <f t="shared" si="257"/>
        <v>77474</v>
      </c>
      <c r="W173" s="195">
        <f t="shared" si="257"/>
        <v>77474</v>
      </c>
      <c r="X173" s="195">
        <f t="shared" si="257"/>
        <v>77474</v>
      </c>
      <c r="Y173" s="195">
        <f t="shared" si="257"/>
        <v>77474</v>
      </c>
      <c r="Z173" s="6"/>
    </row>
    <row r="174" spans="2:26" ht="16.2" x14ac:dyDescent="0.35">
      <c r="B174" s="64" t="s">
        <v>123</v>
      </c>
      <c r="C174" s="203"/>
      <c r="D174" s="213">
        <f>D173-C173</f>
        <v>632</v>
      </c>
      <c r="E174" s="213">
        <f>E173-D173</f>
        <v>-4548</v>
      </c>
      <c r="F174" s="79"/>
      <c r="G174" s="79"/>
      <c r="H174" s="79"/>
      <c r="I174" s="79"/>
      <c r="J174" s="213">
        <f>J173-E173</f>
        <v>32933</v>
      </c>
      <c r="K174" s="105"/>
      <c r="L174" s="105"/>
      <c r="M174" s="105"/>
      <c r="N174" s="105"/>
      <c r="O174" s="213">
        <f>O173-J173</f>
        <v>14402</v>
      </c>
      <c r="P174" s="213">
        <f>P173-O173</f>
        <v>20139</v>
      </c>
      <c r="Q174" s="213">
        <f t="shared" ref="Q174" si="258">Q173-P173</f>
        <v>10000</v>
      </c>
      <c r="R174" s="213">
        <f t="shared" ref="R174" si="259">R173-Q173</f>
        <v>0</v>
      </c>
      <c r="S174" s="213">
        <f t="shared" ref="S174" si="260">S173-R173</f>
        <v>0</v>
      </c>
      <c r="T174" s="213">
        <f t="shared" ref="T174" si="261">T173-S173</f>
        <v>0</v>
      </c>
      <c r="U174" s="213">
        <f t="shared" ref="U174" si="262">U173-T173</f>
        <v>0</v>
      </c>
      <c r="V174" s="213">
        <f t="shared" ref="V174" si="263">V173-U173</f>
        <v>0</v>
      </c>
      <c r="W174" s="213">
        <f t="shared" ref="W174" si="264">W173-V173</f>
        <v>0</v>
      </c>
      <c r="X174" s="213">
        <f t="shared" ref="X174" si="265">X173-W173</f>
        <v>0</v>
      </c>
      <c r="Y174" s="213">
        <f t="shared" ref="Y174" si="266">Y173-X173</f>
        <v>0</v>
      </c>
      <c r="Z174" s="6"/>
    </row>
    <row r="175" spans="2:26" ht="16.2" hidden="1" outlineLevel="2" x14ac:dyDescent="0.35">
      <c r="B175" s="60" t="s">
        <v>84</v>
      </c>
      <c r="C175" s="195">
        <v>0</v>
      </c>
      <c r="D175" s="195">
        <v>0</v>
      </c>
      <c r="E175" s="195">
        <v>6681</v>
      </c>
      <c r="F175" s="79">
        <v>6732</v>
      </c>
      <c r="G175" s="79">
        <v>7571</v>
      </c>
      <c r="H175" s="79">
        <v>7507</v>
      </c>
      <c r="I175" s="79">
        <f>J175</f>
        <v>0</v>
      </c>
      <c r="J175" s="195">
        <v>0</v>
      </c>
      <c r="K175" s="79"/>
      <c r="L175" s="79"/>
      <c r="M175" s="95"/>
      <c r="N175" s="79"/>
      <c r="O175" s="230">
        <v>0</v>
      </c>
      <c r="P175" s="219"/>
      <c r="Q175" s="219"/>
      <c r="R175" s="219"/>
      <c r="S175" s="219"/>
      <c r="T175" s="219"/>
      <c r="U175" s="219"/>
      <c r="V175" s="219"/>
      <c r="W175" s="219"/>
      <c r="X175" s="219"/>
      <c r="Y175" s="219"/>
      <c r="Z175" s="6"/>
    </row>
    <row r="176" spans="2:26" ht="16.2" collapsed="1" x14ac:dyDescent="0.35">
      <c r="B176" s="60" t="s">
        <v>61</v>
      </c>
      <c r="C176" s="197">
        <v>48156</v>
      </c>
      <c r="D176" s="197">
        <v>45947</v>
      </c>
      <c r="E176" s="197">
        <v>42161</v>
      </c>
      <c r="F176" s="93">
        <v>44383</v>
      </c>
      <c r="G176" s="93">
        <v>81272</v>
      </c>
      <c r="H176" s="93">
        <v>80332</v>
      </c>
      <c r="I176" s="93">
        <f>J176</f>
        <v>79408</v>
      </c>
      <c r="J176" s="197">
        <v>79408</v>
      </c>
      <c r="K176" s="93">
        <v>78474</v>
      </c>
      <c r="L176" s="93">
        <v>76539</v>
      </c>
      <c r="M176" s="93">
        <v>119555</v>
      </c>
      <c r="N176" s="93">
        <f>O176</f>
        <v>118361</v>
      </c>
      <c r="O176" s="197">
        <v>118361</v>
      </c>
      <c r="P176" s="195">
        <f>O176-P178</f>
        <v>113986</v>
      </c>
      <c r="Q176" s="195">
        <f t="shared" ref="Q176:Y176" si="267">P176-Q178</f>
        <v>107111</v>
      </c>
      <c r="R176" s="195">
        <f t="shared" si="267"/>
        <v>97736</v>
      </c>
      <c r="S176" s="195">
        <f t="shared" si="267"/>
        <v>87736</v>
      </c>
      <c r="T176" s="195">
        <f t="shared" si="267"/>
        <v>19611</v>
      </c>
      <c r="U176" s="195">
        <f t="shared" si="267"/>
        <v>0</v>
      </c>
      <c r="V176" s="195">
        <f t="shared" si="267"/>
        <v>0</v>
      </c>
      <c r="W176" s="195">
        <f t="shared" si="267"/>
        <v>0</v>
      </c>
      <c r="X176" s="195">
        <f t="shared" si="267"/>
        <v>0</v>
      </c>
      <c r="Y176" s="195">
        <f t="shared" si="267"/>
        <v>0</v>
      </c>
      <c r="Z176" s="6"/>
    </row>
    <row r="177" spans="2:29" ht="16.2" x14ac:dyDescent="0.35">
      <c r="B177" s="64" t="s">
        <v>123</v>
      </c>
      <c r="C177" s="203"/>
      <c r="D177" s="213">
        <f>D176-C176</f>
        <v>-2209</v>
      </c>
      <c r="E177" s="213">
        <f>E176-D176</f>
        <v>-3786</v>
      </c>
      <c r="F177" s="79"/>
      <c r="G177" s="79"/>
      <c r="H177" s="79"/>
      <c r="I177" s="79"/>
      <c r="J177" s="213">
        <f>J176-E176</f>
        <v>37247</v>
      </c>
      <c r="K177" s="105"/>
      <c r="L177" s="105"/>
      <c r="M177" s="105"/>
      <c r="N177" s="105"/>
      <c r="O177" s="213">
        <f>O176-J176</f>
        <v>38953</v>
      </c>
      <c r="P177" s="213">
        <f>P176-O176</f>
        <v>-4375</v>
      </c>
      <c r="Q177" s="213">
        <f t="shared" ref="Q177" si="268">Q176-P176</f>
        <v>-6875</v>
      </c>
      <c r="R177" s="213">
        <f t="shared" ref="R177" si="269">R176-Q176</f>
        <v>-9375</v>
      </c>
      <c r="S177" s="213">
        <f t="shared" ref="S177" si="270">S176-R176</f>
        <v>-10000</v>
      </c>
      <c r="T177" s="213">
        <f t="shared" ref="T177" si="271">T176-S176</f>
        <v>-68125</v>
      </c>
      <c r="U177" s="213">
        <f t="shared" ref="U177" si="272">U176-T176</f>
        <v>-19611</v>
      </c>
      <c r="V177" s="213">
        <f t="shared" ref="V177" si="273">V176-U176</f>
        <v>0</v>
      </c>
      <c r="W177" s="213">
        <f t="shared" ref="W177" si="274">W176-V176</f>
        <v>0</v>
      </c>
      <c r="X177" s="213">
        <f t="shared" ref="X177" si="275">X176-W176</f>
        <v>0</v>
      </c>
      <c r="Y177" s="213">
        <f t="shared" ref="Y177" si="276">Y176-X176</f>
        <v>0</v>
      </c>
      <c r="Z177" s="6"/>
    </row>
    <row r="178" spans="2:29" ht="16.2" x14ac:dyDescent="0.35">
      <c r="B178" s="64" t="s">
        <v>165</v>
      </c>
      <c r="C178" s="195"/>
      <c r="D178" s="195"/>
      <c r="E178" s="195"/>
      <c r="F178" s="79"/>
      <c r="G178" s="79"/>
      <c r="H178" s="79"/>
      <c r="I178" s="79"/>
      <c r="J178" s="195"/>
      <c r="K178" s="79"/>
      <c r="L178" s="79"/>
      <c r="M178" s="95"/>
      <c r="N178" s="79"/>
      <c r="O178" s="230"/>
      <c r="P178" s="242">
        <v>4375</v>
      </c>
      <c r="Q178" s="242">
        <v>6875</v>
      </c>
      <c r="R178" s="242">
        <v>9375</v>
      </c>
      <c r="S178" s="242">
        <v>10000</v>
      </c>
      <c r="T178" s="242">
        <v>68125</v>
      </c>
      <c r="U178" s="242">
        <f>T176</f>
        <v>19611</v>
      </c>
      <c r="V178" s="219"/>
      <c r="W178" s="219"/>
      <c r="X178" s="219"/>
      <c r="Y178" s="219"/>
      <c r="Z178" s="6"/>
    </row>
    <row r="179" spans="2:29" ht="32.4" x14ac:dyDescent="0.35">
      <c r="B179" s="67" t="s">
        <v>62</v>
      </c>
      <c r="C179" s="197">
        <v>0</v>
      </c>
      <c r="D179" s="197">
        <v>1694</v>
      </c>
      <c r="E179" s="197">
        <v>13359</v>
      </c>
      <c r="F179" s="93">
        <v>22339</v>
      </c>
      <c r="G179" s="93">
        <v>35151</v>
      </c>
      <c r="H179" s="93">
        <v>41494</v>
      </c>
      <c r="I179" s="93">
        <f>J179</f>
        <v>61572</v>
      </c>
      <c r="J179" s="197">
        <v>61572</v>
      </c>
      <c r="K179" s="93">
        <v>63678</v>
      </c>
      <c r="L179" s="93">
        <v>80232</v>
      </c>
      <c r="M179" s="93">
        <v>91488</v>
      </c>
      <c r="N179" s="93">
        <f>O179</f>
        <v>100959</v>
      </c>
      <c r="O179" s="197">
        <v>100959</v>
      </c>
      <c r="P179" s="195">
        <f t="shared" ref="P179:Y179" si="277">O179-P222</f>
        <v>97452</v>
      </c>
      <c r="Q179" s="195">
        <f t="shared" si="277"/>
        <v>93945</v>
      </c>
      <c r="R179" s="195">
        <f t="shared" si="277"/>
        <v>90438</v>
      </c>
      <c r="S179" s="195">
        <f t="shared" si="277"/>
        <v>86626</v>
      </c>
      <c r="T179" s="195">
        <f t="shared" si="277"/>
        <v>82814</v>
      </c>
      <c r="U179" s="195">
        <f t="shared" si="277"/>
        <v>79002</v>
      </c>
      <c r="V179" s="195">
        <f t="shared" si="277"/>
        <v>59251.5</v>
      </c>
      <c r="W179" s="195">
        <f t="shared" si="277"/>
        <v>39501</v>
      </c>
      <c r="X179" s="195">
        <f t="shared" si="277"/>
        <v>19750.5</v>
      </c>
      <c r="Y179" s="195">
        <f t="shared" si="277"/>
        <v>0</v>
      </c>
      <c r="Z179" s="6"/>
    </row>
    <row r="180" spans="2:29" ht="16.2" x14ac:dyDescent="0.35">
      <c r="B180" s="64" t="s">
        <v>123</v>
      </c>
      <c r="C180" s="203"/>
      <c r="D180" s="213">
        <f>D179-C179</f>
        <v>1694</v>
      </c>
      <c r="E180" s="213">
        <f>E179-D179</f>
        <v>11665</v>
      </c>
      <c r="F180" s="79"/>
      <c r="G180" s="79"/>
      <c r="H180" s="79"/>
      <c r="I180" s="79"/>
      <c r="J180" s="213">
        <f>J179-E179</f>
        <v>48213</v>
      </c>
      <c r="K180" s="105"/>
      <c r="L180" s="105"/>
      <c r="M180" s="105"/>
      <c r="N180" s="105"/>
      <c r="O180" s="213">
        <f>O179-J179</f>
        <v>39387</v>
      </c>
      <c r="P180" s="213">
        <f>P179-O179</f>
        <v>-3507</v>
      </c>
      <c r="Q180" s="213">
        <f t="shared" ref="Q180" si="278">Q179-P179</f>
        <v>-3507</v>
      </c>
      <c r="R180" s="213">
        <f t="shared" ref="R180" si="279">R179-Q179</f>
        <v>-3507</v>
      </c>
      <c r="S180" s="213">
        <f t="shared" ref="S180" si="280">S179-R179</f>
        <v>-3812</v>
      </c>
      <c r="T180" s="213">
        <f t="shared" ref="T180" si="281">T179-S179</f>
        <v>-3812</v>
      </c>
      <c r="U180" s="213">
        <f t="shared" ref="U180" si="282">U179-T179</f>
        <v>-3812</v>
      </c>
      <c r="V180" s="213">
        <f t="shared" ref="V180" si="283">V179-U179</f>
        <v>-19750.5</v>
      </c>
      <c r="W180" s="213">
        <f t="shared" ref="W180" si="284">W179-V179</f>
        <v>-19750.5</v>
      </c>
      <c r="X180" s="213">
        <f t="shared" ref="X180" si="285">X179-W179</f>
        <v>-19750.5</v>
      </c>
      <c r="Y180" s="213">
        <f t="shared" ref="Y180" si="286">Y179-X179</f>
        <v>-19750.5</v>
      </c>
      <c r="Z180" s="6"/>
    </row>
    <row r="181" spans="2:29" ht="16.2" x14ac:dyDescent="0.35">
      <c r="B181" s="6"/>
      <c r="C181" s="195"/>
      <c r="D181" s="195"/>
      <c r="E181" s="195"/>
      <c r="F181" s="79"/>
      <c r="G181" s="79"/>
      <c r="H181" s="79"/>
      <c r="I181" s="79"/>
      <c r="J181" s="195"/>
      <c r="K181" s="79"/>
      <c r="L181" s="79"/>
      <c r="M181" s="95"/>
      <c r="N181" s="79"/>
      <c r="O181" s="230"/>
      <c r="P181" s="219"/>
      <c r="Q181" s="219"/>
      <c r="R181" s="219"/>
      <c r="S181" s="219"/>
      <c r="T181" s="219"/>
      <c r="U181" s="219"/>
      <c r="V181" s="219"/>
      <c r="W181" s="219"/>
      <c r="X181" s="219"/>
      <c r="Y181" s="219"/>
      <c r="Z181" s="6"/>
    </row>
    <row r="182" spans="2:29" ht="16.2" x14ac:dyDescent="0.35">
      <c r="B182" s="6"/>
      <c r="C182" s="195"/>
      <c r="D182" s="195"/>
      <c r="E182" s="195"/>
      <c r="F182" s="79"/>
      <c r="G182" s="79"/>
      <c r="H182" s="79"/>
      <c r="I182" s="79"/>
      <c r="J182" s="195"/>
      <c r="K182" s="79"/>
      <c r="L182" s="79"/>
      <c r="M182" s="95"/>
      <c r="N182" s="79"/>
      <c r="O182" s="230"/>
      <c r="P182" s="219"/>
      <c r="Q182" s="219"/>
      <c r="R182" s="219"/>
      <c r="S182" s="219"/>
      <c r="T182" s="219"/>
      <c r="U182" s="219"/>
      <c r="V182" s="219"/>
      <c r="W182" s="219"/>
      <c r="X182" s="219"/>
      <c r="Y182" s="219"/>
      <c r="Z182" s="6"/>
    </row>
    <row r="183" spans="2:29" ht="16.2" x14ac:dyDescent="0.35">
      <c r="B183" s="63" t="s">
        <v>3</v>
      </c>
      <c r="C183" s="195"/>
      <c r="D183" s="195"/>
      <c r="E183" s="195"/>
      <c r="F183" s="79"/>
      <c r="G183" s="79"/>
      <c r="H183" s="79"/>
      <c r="I183" s="79"/>
      <c r="J183" s="195"/>
      <c r="K183" s="79"/>
      <c r="L183" s="79"/>
      <c r="M183" s="95"/>
      <c r="N183" s="79"/>
      <c r="O183" s="230"/>
      <c r="P183" s="219"/>
      <c r="Q183" s="219"/>
      <c r="R183" s="219"/>
      <c r="S183" s="219"/>
      <c r="T183" s="219"/>
      <c r="U183" s="219"/>
      <c r="V183" s="219"/>
      <c r="W183" s="219"/>
      <c r="X183" s="219"/>
      <c r="Y183" s="219"/>
      <c r="Z183" s="6"/>
      <c r="AA183" s="6"/>
      <c r="AB183" s="6"/>
      <c r="AC183" s="6"/>
    </row>
    <row r="184" spans="2:29" ht="16.2" x14ac:dyDescent="0.35">
      <c r="B184" s="60" t="s">
        <v>63</v>
      </c>
      <c r="C184" s="197">
        <v>4948</v>
      </c>
      <c r="D184" s="221">
        <v>18635</v>
      </c>
      <c r="E184" s="221">
        <v>14337</v>
      </c>
      <c r="F184" s="93">
        <v>10831</v>
      </c>
      <c r="G184" s="93">
        <v>54318</v>
      </c>
      <c r="H184" s="93">
        <v>19957</v>
      </c>
      <c r="I184" s="93">
        <f>J184</f>
        <v>24913</v>
      </c>
      <c r="J184" s="221">
        <v>24913</v>
      </c>
      <c r="K184" s="93">
        <v>30797</v>
      </c>
      <c r="L184" s="93">
        <v>34975</v>
      </c>
      <c r="M184" s="93">
        <v>25512</v>
      </c>
      <c r="N184" s="93">
        <f>O184</f>
        <v>28526</v>
      </c>
      <c r="O184" s="221">
        <v>28526</v>
      </c>
      <c r="P184" s="203">
        <f t="shared" ref="P184:Y184" ca="1" si="287">O184+P113+P116+P118+P238</f>
        <v>39246.457450595502</v>
      </c>
      <c r="Q184" s="203">
        <f t="shared" ca="1" si="287"/>
        <v>57486.163870777891</v>
      </c>
      <c r="R184" s="203">
        <f t="shared" ca="1" si="287"/>
        <v>89746.236776973834</v>
      </c>
      <c r="S184" s="203">
        <f t="shared" ca="1" si="287"/>
        <v>146046.99992808286</v>
      </c>
      <c r="T184" s="203">
        <f t="shared" ca="1" si="287"/>
        <v>237281.31553125411</v>
      </c>
      <c r="U184" s="203">
        <f t="shared" ca="1" si="287"/>
        <v>364936.50636256428</v>
      </c>
      <c r="V184" s="203">
        <f t="shared" ca="1" si="287"/>
        <v>553738.82643959112</v>
      </c>
      <c r="W184" s="203">
        <f t="shared" ca="1" si="287"/>
        <v>823026.35060341598</v>
      </c>
      <c r="X184" s="203">
        <f t="shared" ca="1" si="287"/>
        <v>1198599.9811642654</v>
      </c>
      <c r="Y184" s="203">
        <f t="shared" ca="1" si="287"/>
        <v>1715176.7124241898</v>
      </c>
    </row>
    <row r="185" spans="2:29" ht="16.2" x14ac:dyDescent="0.35">
      <c r="B185" s="64" t="s">
        <v>123</v>
      </c>
      <c r="C185" s="203"/>
      <c r="D185" s="213">
        <f>D184-C184</f>
        <v>13687</v>
      </c>
      <c r="E185" s="213">
        <f>E184-D184</f>
        <v>-4298</v>
      </c>
      <c r="F185" s="79"/>
      <c r="G185" s="79"/>
      <c r="H185" s="79"/>
      <c r="I185" s="79"/>
      <c r="J185" s="213">
        <f>J184-E184</f>
        <v>10576</v>
      </c>
      <c r="K185" s="105"/>
      <c r="L185" s="105"/>
      <c r="M185" s="105"/>
      <c r="N185" s="105"/>
      <c r="O185" s="213">
        <f>O184-J184</f>
        <v>3613</v>
      </c>
      <c r="P185" s="213">
        <f ca="1">P184-O184</f>
        <v>10720.457450595502</v>
      </c>
      <c r="Q185" s="213">
        <f t="shared" ref="Q185" ca="1" si="288">Q184-P184</f>
        <v>18239.706420182389</v>
      </c>
      <c r="R185" s="213">
        <f t="shared" ref="R185" ca="1" si="289">R184-Q184</f>
        <v>32260.072906195943</v>
      </c>
      <c r="S185" s="213">
        <f t="shared" ref="S185" ca="1" si="290">S184-R184</f>
        <v>56300.763151109029</v>
      </c>
      <c r="T185" s="213">
        <f t="shared" ref="T185" ca="1" si="291">T184-S184</f>
        <v>91234.315603171242</v>
      </c>
      <c r="U185" s="213">
        <f t="shared" ref="U185" ca="1" si="292">U184-T184</f>
        <v>127655.19083131017</v>
      </c>
      <c r="V185" s="213">
        <f t="shared" ref="V185" ca="1" si="293">V184-U184</f>
        <v>188802.32007702684</v>
      </c>
      <c r="W185" s="213">
        <f t="shared" ref="W185" ca="1" si="294">W184-V184</f>
        <v>269287.52416382486</v>
      </c>
      <c r="X185" s="213">
        <f t="shared" ref="X185" ca="1" si="295">X184-W184</f>
        <v>375573.63056084944</v>
      </c>
      <c r="Y185" s="213">
        <f t="shared" ref="Y185" ca="1" si="296">Y184-X184</f>
        <v>516576.73125992436</v>
      </c>
    </row>
    <row r="186" spans="2:29" ht="16.2" x14ac:dyDescent="0.35">
      <c r="B186" s="6"/>
      <c r="C186" s="195"/>
      <c r="D186" s="203"/>
      <c r="E186" s="203"/>
      <c r="F186" s="79"/>
      <c r="G186" s="79"/>
      <c r="H186" s="79"/>
      <c r="I186" s="79"/>
      <c r="J186" s="203"/>
      <c r="K186" s="79"/>
      <c r="L186" s="79"/>
      <c r="M186" s="79"/>
      <c r="N186" s="79"/>
      <c r="O186" s="203"/>
      <c r="P186" s="200"/>
      <c r="Q186" s="200"/>
      <c r="R186" s="200"/>
      <c r="S186" s="200"/>
      <c r="T186" s="200"/>
      <c r="U186" s="200"/>
      <c r="V186" s="200"/>
      <c r="W186" s="200"/>
      <c r="X186" s="200"/>
      <c r="Y186" s="200"/>
    </row>
    <row r="187" spans="2:29" ht="16.2" x14ac:dyDescent="0.35">
      <c r="B187" s="60" t="s">
        <v>64</v>
      </c>
      <c r="C187" s="197">
        <v>418</v>
      </c>
      <c r="D187" s="221">
        <v>376</v>
      </c>
      <c r="E187" s="221">
        <v>923</v>
      </c>
      <c r="F187" s="93">
        <v>1119</v>
      </c>
      <c r="G187" s="93">
        <v>1488</v>
      </c>
      <c r="H187" s="93">
        <v>1378</v>
      </c>
      <c r="I187" s="93">
        <f>J187</f>
        <v>1323</v>
      </c>
      <c r="J187" s="221">
        <v>1323</v>
      </c>
      <c r="K187" s="93">
        <v>1158</v>
      </c>
      <c r="L187" s="93">
        <v>1551</v>
      </c>
      <c r="M187" s="93">
        <v>1179</v>
      </c>
      <c r="N187" s="93">
        <f>O187</f>
        <v>1953</v>
      </c>
      <c r="O187" s="221">
        <v>1953</v>
      </c>
      <c r="P187" s="203">
        <f t="shared" ref="P187:Y187" si="297">P189*(P$39+P$45+P$51+P$56+P$59)</f>
        <v>2542.6738381186146</v>
      </c>
      <c r="Q187" s="203">
        <f t="shared" si="297"/>
        <v>3347.6633749529242</v>
      </c>
      <c r="R187" s="203">
        <f t="shared" si="297"/>
        <v>4329.0119123699897</v>
      </c>
      <c r="S187" s="203">
        <f t="shared" si="297"/>
        <v>5473.5892418705398</v>
      </c>
      <c r="T187" s="203">
        <f t="shared" si="297"/>
        <v>6879.91891462272</v>
      </c>
      <c r="U187" s="203">
        <f t="shared" si="297"/>
        <v>8608.161404665645</v>
      </c>
      <c r="V187" s="203">
        <f t="shared" si="297"/>
        <v>10651.708890714435</v>
      </c>
      <c r="W187" s="203">
        <f t="shared" si="297"/>
        <v>13143.064116143651</v>
      </c>
      <c r="X187" s="203">
        <f t="shared" si="297"/>
        <v>16165.609585447382</v>
      </c>
      <c r="Y187" s="203">
        <f t="shared" si="297"/>
        <v>19640.49923548782</v>
      </c>
    </row>
    <row r="188" spans="2:29" ht="16.2" x14ac:dyDescent="0.35">
      <c r="B188" s="64" t="s">
        <v>123</v>
      </c>
      <c r="C188" s="203"/>
      <c r="D188" s="213">
        <f>D187-C187</f>
        <v>-42</v>
      </c>
      <c r="E188" s="213">
        <f>E187-D187</f>
        <v>547</v>
      </c>
      <c r="F188" s="79"/>
      <c r="G188" s="79"/>
      <c r="H188" s="79"/>
      <c r="I188" s="79"/>
      <c r="J188" s="213">
        <f>J187-E187</f>
        <v>400</v>
      </c>
      <c r="K188" s="105"/>
      <c r="L188" s="105"/>
      <c r="M188" s="105"/>
      <c r="N188" s="105"/>
      <c r="O188" s="213">
        <f>O187-J187</f>
        <v>630</v>
      </c>
      <c r="P188" s="213">
        <f>P187-O187</f>
        <v>589.67383811861464</v>
      </c>
      <c r="Q188" s="213">
        <f t="shared" ref="Q188" si="298">Q187-P187</f>
        <v>804.98953683430955</v>
      </c>
      <c r="R188" s="213">
        <f t="shared" ref="R188" si="299">R187-Q187</f>
        <v>981.34853741706547</v>
      </c>
      <c r="S188" s="213">
        <f t="shared" ref="S188" si="300">S187-R187</f>
        <v>1144.5773295005501</v>
      </c>
      <c r="T188" s="213">
        <f t="shared" ref="T188" si="301">T187-S187</f>
        <v>1406.3296727521802</v>
      </c>
      <c r="U188" s="213">
        <f t="shared" ref="U188" si="302">U187-T187</f>
        <v>1728.2424900429251</v>
      </c>
      <c r="V188" s="213">
        <f t="shared" ref="V188" si="303">V187-U187</f>
        <v>2043.5474860487902</v>
      </c>
      <c r="W188" s="213">
        <f t="shared" ref="W188" si="304">W187-V187</f>
        <v>2491.3552254292154</v>
      </c>
      <c r="X188" s="213">
        <f t="shared" ref="X188" si="305">X187-W187</f>
        <v>3022.5454693037318</v>
      </c>
      <c r="Y188" s="213">
        <f t="shared" ref="Y188" si="306">Y187-X187</f>
        <v>3474.8896500404371</v>
      </c>
    </row>
    <row r="189" spans="2:29" x14ac:dyDescent="0.3">
      <c r="B189" s="64" t="s">
        <v>174</v>
      </c>
      <c r="C189" s="202">
        <f>C187/(C$39+C$45+C$51+C$56+C$59)</f>
        <v>1.1794915206411016E-2</v>
      </c>
      <c r="D189" s="202">
        <f>D187/(D$39+D$45+D$51+D$56+D$59)</f>
        <v>7.5426278836509533E-3</v>
      </c>
      <c r="E189" s="202">
        <f>E187/(E$39+E$45+E$51+E$56+E$59)</f>
        <v>1.3663143559226692E-2</v>
      </c>
      <c r="F189" s="649">
        <f>F187/(F39+F45+F51+F56+F59)</f>
        <v>6.1530847904981853E-2</v>
      </c>
      <c r="G189" s="649">
        <f>G187/(G39+G45+G51+G56+G59)</f>
        <v>6.0160103501253337E-2</v>
      </c>
      <c r="H189" s="649">
        <f>H187/(H39+H45+H51+H56+H59)</f>
        <v>5.2159430712744613E-2</v>
      </c>
      <c r="I189" s="649">
        <f>I187/(I39+I45+I51+I56+I59)</f>
        <v>5.1420576003731198E-2</v>
      </c>
      <c r="J189" s="202">
        <f t="shared" ref="J189:O189" si="307">J187/(J$39+J$45+J$51+J$56+J$59)</f>
        <v>1.3916354609332268E-2</v>
      </c>
      <c r="K189" s="649">
        <f t="shared" si="307"/>
        <v>4.3370786516853929E-2</v>
      </c>
      <c r="L189" s="649">
        <f t="shared" si="307"/>
        <v>4.4685816358869458E-2</v>
      </c>
      <c r="M189" s="649">
        <f t="shared" si="307"/>
        <v>3.165865578260519E-2</v>
      </c>
      <c r="N189" s="649">
        <f t="shared" si="307"/>
        <v>5.6169111302847283E-2</v>
      </c>
      <c r="O189" s="202">
        <f t="shared" si="307"/>
        <v>1.4637985309548794E-2</v>
      </c>
      <c r="P189" s="238">
        <f t="shared" ref="P189:Y189" si="308">AVERAGE($O$189,$J$189,$E$189)</f>
        <v>1.4072494492702583E-2</v>
      </c>
      <c r="Q189" s="238">
        <f t="shared" si="308"/>
        <v>1.4072494492702583E-2</v>
      </c>
      <c r="R189" s="238">
        <f t="shared" si="308"/>
        <v>1.4072494492702583E-2</v>
      </c>
      <c r="S189" s="238">
        <f t="shared" si="308"/>
        <v>1.4072494492702583E-2</v>
      </c>
      <c r="T189" s="238">
        <f t="shared" si="308"/>
        <v>1.4072494492702583E-2</v>
      </c>
      <c r="U189" s="238">
        <f t="shared" si="308"/>
        <v>1.4072494492702583E-2</v>
      </c>
      <c r="V189" s="238">
        <f t="shared" si="308"/>
        <v>1.4072494492702583E-2</v>
      </c>
      <c r="W189" s="238">
        <f t="shared" si="308"/>
        <v>1.4072494492702583E-2</v>
      </c>
      <c r="X189" s="238">
        <f t="shared" si="308"/>
        <v>1.4072494492702583E-2</v>
      </c>
      <c r="Y189" s="238">
        <f t="shared" si="308"/>
        <v>1.4072494492702583E-2</v>
      </c>
    </row>
    <row r="190" spans="2:29" ht="16.2" x14ac:dyDescent="0.35">
      <c r="B190" s="60" t="s">
        <v>65</v>
      </c>
      <c r="C190" s="197">
        <v>1268</v>
      </c>
      <c r="D190" s="221">
        <v>2016</v>
      </c>
      <c r="E190" s="221">
        <v>6884</v>
      </c>
      <c r="F190" s="93">
        <v>4655</v>
      </c>
      <c r="G190" s="93">
        <v>7628</v>
      </c>
      <c r="H190" s="93">
        <v>11793</v>
      </c>
      <c r="I190" s="93">
        <f>J190</f>
        <v>18604</v>
      </c>
      <c r="J190" s="221">
        <v>18604</v>
      </c>
      <c r="K190" s="93">
        <v>4895</v>
      </c>
      <c r="L190" s="93">
        <v>6063</v>
      </c>
      <c r="M190" s="93">
        <v>8349</v>
      </c>
      <c r="N190" s="93">
        <f>O190</f>
        <v>12056</v>
      </c>
      <c r="O190" s="221">
        <v>12056</v>
      </c>
      <c r="P190" s="203">
        <f t="shared" ref="P190:Y190" si="309">(P193*(P$39+P$45+P$51+P$56+P$59)/365)</f>
        <v>19800.980407810588</v>
      </c>
      <c r="Q190" s="203">
        <f t="shared" si="309"/>
        <v>25548.411120423756</v>
      </c>
      <c r="R190" s="203">
        <f t="shared" si="309"/>
        <v>32363.542514137185</v>
      </c>
      <c r="S190" s="203">
        <f t="shared" si="309"/>
        <v>40067.855267564948</v>
      </c>
      <c r="T190" s="203">
        <f t="shared" si="309"/>
        <v>49290.949781291522</v>
      </c>
      <c r="U190" s="203">
        <f t="shared" si="309"/>
        <v>60332.170602918639</v>
      </c>
      <c r="V190" s="203">
        <f t="shared" si="309"/>
        <v>72995.821479605554</v>
      </c>
      <c r="W190" s="203">
        <f t="shared" si="309"/>
        <v>88021.976707493071</v>
      </c>
      <c r="X190" s="203">
        <f t="shared" si="309"/>
        <v>105746.84320959861</v>
      </c>
      <c r="Y190" s="203">
        <f t="shared" si="309"/>
        <v>125418.73459334525</v>
      </c>
    </row>
    <row r="191" spans="2:29" ht="16.2" x14ac:dyDescent="0.35">
      <c r="B191" s="64" t="s">
        <v>123</v>
      </c>
      <c r="C191" s="203"/>
      <c r="D191" s="213">
        <f>D190-C190</f>
        <v>748</v>
      </c>
      <c r="E191" s="213">
        <f>E190-D190</f>
        <v>4868</v>
      </c>
      <c r="F191" s="79"/>
      <c r="G191" s="79"/>
      <c r="H191" s="79"/>
      <c r="I191" s="79"/>
      <c r="J191" s="213">
        <f>J190-E190</f>
        <v>11720</v>
      </c>
      <c r="K191" s="105"/>
      <c r="L191" s="105"/>
      <c r="M191" s="105"/>
      <c r="N191" s="105"/>
      <c r="O191" s="213">
        <f>O190-J190</f>
        <v>-6548</v>
      </c>
      <c r="P191" s="213">
        <f>P190-O190</f>
        <v>7744.9804078105881</v>
      </c>
      <c r="Q191" s="213">
        <f t="shared" ref="Q191" si="310">Q190-P190</f>
        <v>5747.430712613168</v>
      </c>
      <c r="R191" s="213">
        <f t="shared" ref="R191" si="311">R190-Q190</f>
        <v>6815.1313937134291</v>
      </c>
      <c r="S191" s="213">
        <f t="shared" ref="S191" si="312">S190-R190</f>
        <v>7704.3127534277628</v>
      </c>
      <c r="T191" s="213">
        <f t="shared" ref="T191" si="313">T190-S190</f>
        <v>9223.0945137265735</v>
      </c>
      <c r="U191" s="213">
        <f t="shared" ref="U191" si="314">U190-T190</f>
        <v>11041.220821627117</v>
      </c>
      <c r="V191" s="213">
        <f t="shared" ref="V191" si="315">V190-U190</f>
        <v>12663.650876686916</v>
      </c>
      <c r="W191" s="213">
        <f t="shared" ref="W191" si="316">W190-V190</f>
        <v>15026.155227887517</v>
      </c>
      <c r="X191" s="213">
        <f t="shared" ref="X191" si="317">X190-W190</f>
        <v>17724.866502105535</v>
      </c>
      <c r="Y191" s="213">
        <f t="shared" ref="Y191" si="318">Y190-X190</f>
        <v>19671.891383746639</v>
      </c>
    </row>
    <row r="192" spans="2:29" x14ac:dyDescent="0.3">
      <c r="B192" s="64" t="s">
        <v>174</v>
      </c>
      <c r="C192" s="202">
        <f>C190/(C$39+C$45+C$51+C$56+C$59)</f>
        <v>3.5779790626146335E-2</v>
      </c>
      <c r="D192" s="202">
        <f>D190/(D$39+D$45+D$51+D$56+D$59)</f>
        <v>4.0441323971915751E-2</v>
      </c>
      <c r="E192" s="202">
        <f>E190/(E$39+E$45+E$51+E$56+E$59)</f>
        <v>0.10190366225538088</v>
      </c>
      <c r="F192" s="649">
        <f>F190/(F42+F48+F56+F59+F62)</f>
        <v>1.2466523835029459</v>
      </c>
      <c r="G192" s="649">
        <f>G190/(G42+G48+G56+G59+G62)</f>
        <v>1.5944816053511706</v>
      </c>
      <c r="H192" s="649">
        <f>H190/(H42+H48+H56+H59+H62)</f>
        <v>2.1130621752374128</v>
      </c>
      <c r="I192" s="649">
        <f>I190/(I42+I48+I56+I59+I62)</f>
        <v>3.416712580348944</v>
      </c>
      <c r="J192" s="202">
        <f t="shared" ref="J192:Y192" si="319">J190/(J$39+J$45+J$51+J$56+J$59)</f>
        <v>0.19569150502797997</v>
      </c>
      <c r="K192" s="649">
        <f t="shared" si="319"/>
        <v>0.18333333333333332</v>
      </c>
      <c r="L192" s="649">
        <f t="shared" si="319"/>
        <v>0.17468091849376244</v>
      </c>
      <c r="M192" s="649">
        <f t="shared" si="319"/>
        <v>0.22418839451142558</v>
      </c>
      <c r="N192" s="649">
        <f t="shared" si="319"/>
        <v>0.34673569168823698</v>
      </c>
      <c r="O192" s="202">
        <f t="shared" si="319"/>
        <v>9.0361265177634542E-2</v>
      </c>
      <c r="P192" s="202">
        <f t="shared" si="319"/>
        <v>0.1095890410958904</v>
      </c>
      <c r="Q192" s="202">
        <f t="shared" si="319"/>
        <v>0.1073972602739726</v>
      </c>
      <c r="R192" s="202">
        <f t="shared" si="319"/>
        <v>0.10520547945205483</v>
      </c>
      <c r="S192" s="202">
        <f t="shared" si="319"/>
        <v>0.10301369863013701</v>
      </c>
      <c r="T192" s="202">
        <f t="shared" si="319"/>
        <v>0.1008219178082192</v>
      </c>
      <c r="U192" s="202">
        <f t="shared" si="319"/>
        <v>9.8630136986301409E-2</v>
      </c>
      <c r="V192" s="202">
        <f t="shared" si="319"/>
        <v>9.6438356164383607E-2</v>
      </c>
      <c r="W192" s="202">
        <f t="shared" si="319"/>
        <v>9.4246575342465805E-2</v>
      </c>
      <c r="X192" s="202">
        <f t="shared" si="319"/>
        <v>9.2054794520548003E-2</v>
      </c>
      <c r="Y192" s="202">
        <f t="shared" si="319"/>
        <v>8.9863013698630201E-2</v>
      </c>
    </row>
    <row r="193" spans="2:26" ht="16.2" x14ac:dyDescent="0.35">
      <c r="B193" s="64" t="s">
        <v>175</v>
      </c>
      <c r="C193" s="214"/>
      <c r="D193" s="214">
        <f>(AVERAGE(D190,C190)/(D$39+D$45+D$51+D$56+D$59))*365</f>
        <v>12.022668004012038</v>
      </c>
      <c r="E193" s="214">
        <f>(AVERAGE(E190,D190)/(E$39+E$45+E$51+E$56+E$59))*365</f>
        <v>24.043727980578499</v>
      </c>
      <c r="F193" s="649"/>
      <c r="G193" s="649"/>
      <c r="H193" s="649"/>
      <c r="I193" s="649"/>
      <c r="J193" s="201">
        <f>(AVERAGE(J190,E190)/(J$39+J$45+J$51+J$56+J$59))*365</f>
        <v>48.928766777464553</v>
      </c>
      <c r="K193" s="649"/>
      <c r="L193" s="649"/>
      <c r="M193" s="649"/>
      <c r="N193" s="649"/>
      <c r="O193" s="201">
        <f>(AVERAGE(O190,J190)/(O$39+O$45+O$51+O$56+O$59))*365</f>
        <v>41.938614900314796</v>
      </c>
      <c r="P193" s="448">
        <v>40</v>
      </c>
      <c r="Q193" s="448">
        <f>P193-$Z$193</f>
        <v>39.200000000000003</v>
      </c>
      <c r="R193" s="448">
        <f t="shared" ref="R193:Y193" si="320">Q193-$Z$193</f>
        <v>38.400000000000006</v>
      </c>
      <c r="S193" s="448">
        <f t="shared" si="320"/>
        <v>37.600000000000009</v>
      </c>
      <c r="T193" s="448">
        <f t="shared" si="320"/>
        <v>36.800000000000011</v>
      </c>
      <c r="U193" s="448">
        <f t="shared" si="320"/>
        <v>36.000000000000014</v>
      </c>
      <c r="V193" s="448">
        <f t="shared" si="320"/>
        <v>35.200000000000017</v>
      </c>
      <c r="W193" s="448">
        <f t="shared" si="320"/>
        <v>34.40000000000002</v>
      </c>
      <c r="X193" s="448">
        <f t="shared" si="320"/>
        <v>33.600000000000023</v>
      </c>
      <c r="Y193" s="448">
        <f t="shared" si="320"/>
        <v>32.800000000000026</v>
      </c>
      <c r="Z193" s="447">
        <v>0.8</v>
      </c>
    </row>
    <row r="194" spans="2:26" ht="16.2" x14ac:dyDescent="0.35">
      <c r="B194" s="60" t="s">
        <v>66</v>
      </c>
      <c r="C194" s="197">
        <v>564</v>
      </c>
      <c r="D194" s="221">
        <v>703</v>
      </c>
      <c r="E194" s="221">
        <v>2602</v>
      </c>
      <c r="F194" s="93">
        <v>2859</v>
      </c>
      <c r="G194" s="93">
        <v>3944</v>
      </c>
      <c r="H194" s="93">
        <v>2414</v>
      </c>
      <c r="I194" s="93">
        <f>J194</f>
        <v>2100</v>
      </c>
      <c r="J194" s="221">
        <v>2100</v>
      </c>
      <c r="K194" s="93">
        <v>3379</v>
      </c>
      <c r="L194" s="93">
        <v>2724</v>
      </c>
      <c r="M194" s="93">
        <v>866</v>
      </c>
      <c r="N194" s="93">
        <f>O194</f>
        <v>493</v>
      </c>
      <c r="O194" s="221">
        <v>493</v>
      </c>
      <c r="P194" s="203">
        <f t="shared" ref="P194:Y194" si="321">P196*(P$45+P$56)</f>
        <v>4423.9336209695821</v>
      </c>
      <c r="Q194" s="203">
        <f t="shared" si="321"/>
        <v>6282.9608274616558</v>
      </c>
      <c r="R194" s="203">
        <f t="shared" si="321"/>
        <v>8745.793438262599</v>
      </c>
      <c r="S194" s="203">
        <f t="shared" si="321"/>
        <v>11898.359510800306</v>
      </c>
      <c r="T194" s="203">
        <f t="shared" si="321"/>
        <v>15971.841689477786</v>
      </c>
      <c r="U194" s="203">
        <f t="shared" si="321"/>
        <v>21192.161450059219</v>
      </c>
      <c r="V194" s="203">
        <f t="shared" si="321"/>
        <v>27634.864827827441</v>
      </c>
      <c r="W194" s="203">
        <f t="shared" si="321"/>
        <v>35689.228693666722</v>
      </c>
      <c r="X194" s="203">
        <f t="shared" si="321"/>
        <v>45669.479000921703</v>
      </c>
      <c r="Y194" s="203">
        <f t="shared" si="321"/>
        <v>57521.124704945745</v>
      </c>
    </row>
    <row r="195" spans="2:26" ht="16.2" x14ac:dyDescent="0.35">
      <c r="B195" s="64" t="s">
        <v>123</v>
      </c>
      <c r="C195" s="203"/>
      <c r="D195" s="213">
        <f>D194-C194</f>
        <v>139</v>
      </c>
      <c r="E195" s="213">
        <f>E194-D194</f>
        <v>1899</v>
      </c>
      <c r="F195" s="79"/>
      <c r="G195" s="79"/>
      <c r="H195" s="79"/>
      <c r="I195" s="79"/>
      <c r="J195" s="213">
        <f>J194-E194</f>
        <v>-502</v>
      </c>
      <c r="K195" s="105"/>
      <c r="L195" s="105"/>
      <c r="M195" s="105"/>
      <c r="N195" s="105"/>
      <c r="O195" s="213">
        <f>O194-J194</f>
        <v>-1607</v>
      </c>
      <c r="P195" s="213">
        <f>P194-O194</f>
        <v>3930.9336209695821</v>
      </c>
      <c r="Q195" s="213">
        <f t="shared" ref="Q195" si="322">Q194-P194</f>
        <v>1859.0272064920737</v>
      </c>
      <c r="R195" s="213">
        <f t="shared" ref="R195" si="323">R194-Q194</f>
        <v>2462.8326108009433</v>
      </c>
      <c r="S195" s="213">
        <f t="shared" ref="S195" si="324">S194-R194</f>
        <v>3152.5660725377074</v>
      </c>
      <c r="T195" s="213">
        <f t="shared" ref="T195" si="325">T194-S194</f>
        <v>4073.4821786774792</v>
      </c>
      <c r="U195" s="213">
        <f t="shared" ref="U195" si="326">U194-T194</f>
        <v>5220.319760581433</v>
      </c>
      <c r="V195" s="213">
        <f t="shared" ref="V195" si="327">V194-U194</f>
        <v>6442.7033777682227</v>
      </c>
      <c r="W195" s="213">
        <f t="shared" ref="W195" si="328">W194-V194</f>
        <v>8054.3638658392811</v>
      </c>
      <c r="X195" s="213">
        <f t="shared" ref="X195" si="329">X194-W194</f>
        <v>9980.2503072549807</v>
      </c>
      <c r="Y195" s="213">
        <f t="shared" ref="Y195" si="330">Y194-X194</f>
        <v>11851.645704024042</v>
      </c>
    </row>
    <row r="196" spans="2:26" x14ac:dyDescent="0.3">
      <c r="B196" s="64" t="s">
        <v>176</v>
      </c>
      <c r="C196" s="202">
        <f t="shared" ref="C196:O196" si="331">C194/(C$45+C$56)</f>
        <v>5.0957715937838814E-2</v>
      </c>
      <c r="D196" s="202">
        <f t="shared" si="331"/>
        <v>4.1408965070389353E-2</v>
      </c>
      <c r="E196" s="202">
        <f t="shared" si="331"/>
        <v>9.7779113900266806E-2</v>
      </c>
      <c r="F196" s="649">
        <f t="shared" si="331"/>
        <v>0.38458434221146087</v>
      </c>
      <c r="G196" s="649">
        <f t="shared" si="331"/>
        <v>0.37554751475909348</v>
      </c>
      <c r="H196" s="649">
        <f t="shared" si="331"/>
        <v>0.21540108860533594</v>
      </c>
      <c r="I196" s="649">
        <f t="shared" si="331"/>
        <v>0.19464269163036427</v>
      </c>
      <c r="J196" s="202">
        <f t="shared" si="331"/>
        <v>5.2589401983371732E-2</v>
      </c>
      <c r="K196" s="649">
        <f t="shared" si="331"/>
        <v>0.28387801394606405</v>
      </c>
      <c r="L196" s="649">
        <f t="shared" si="331"/>
        <v>0.17745928338762215</v>
      </c>
      <c r="M196" s="649">
        <f t="shared" si="331"/>
        <v>5.0322505665640074E-2</v>
      </c>
      <c r="N196" s="649">
        <f t="shared" si="331"/>
        <v>3.037023347502002E-2</v>
      </c>
      <c r="O196" s="202">
        <f t="shared" si="331"/>
        <v>8.1225801136831696E-3</v>
      </c>
      <c r="P196" s="238">
        <v>0.05</v>
      </c>
      <c r="Q196" s="238">
        <v>0.05</v>
      </c>
      <c r="R196" s="238">
        <v>0.05</v>
      </c>
      <c r="S196" s="238">
        <v>0.05</v>
      </c>
      <c r="T196" s="238">
        <v>0.05</v>
      </c>
      <c r="U196" s="238">
        <v>0.05</v>
      </c>
      <c r="V196" s="238">
        <v>0.05</v>
      </c>
      <c r="W196" s="238">
        <v>0.05</v>
      </c>
      <c r="X196" s="238">
        <v>0.05</v>
      </c>
      <c r="Y196" s="238">
        <v>0.05</v>
      </c>
    </row>
    <row r="197" spans="2:26" x14ac:dyDescent="0.3">
      <c r="B197" s="64" t="s">
        <v>175</v>
      </c>
      <c r="C197" s="214"/>
      <c r="D197" s="214">
        <f>(AVERAGE(D194,C194)/(D$45+D$56))*365</f>
        <v>13.620044766448725</v>
      </c>
      <c r="E197" s="214">
        <f>(AVERAGE(E194,D194)/(E$45+E$56))*365</f>
        <v>22.66590883469242</v>
      </c>
      <c r="F197" s="649"/>
      <c r="G197" s="649"/>
      <c r="H197" s="649"/>
      <c r="I197" s="649"/>
      <c r="J197" s="201">
        <f>(AVERAGE(J194,E194)/(J$45+J$56))*365</f>
        <v>21.489406991886209</v>
      </c>
      <c r="K197" s="649"/>
      <c r="L197" s="649"/>
      <c r="M197" s="649"/>
      <c r="N197" s="649"/>
      <c r="O197" s="201">
        <f>(AVERAGE(O194,J194)/(O$45+O$56))*365</f>
        <v>7.796729549386276</v>
      </c>
      <c r="P197" s="214">
        <f t="shared" ref="P197:Y197" si="332">(AVERAGE(P194,O194)/(P$45+P$56))*365</f>
        <v>10.141883476432914</v>
      </c>
      <c r="Q197" s="214">
        <f t="shared" si="332"/>
        <v>15.550059044599591</v>
      </c>
      <c r="R197" s="214">
        <f t="shared" si="332"/>
        <v>15.680382076571998</v>
      </c>
      <c r="S197" s="214">
        <f t="shared" si="332"/>
        <v>15.832257841024703</v>
      </c>
      <c r="T197" s="214">
        <f t="shared" si="332"/>
        <v>15.92274647450833</v>
      </c>
      <c r="U197" s="214">
        <f t="shared" si="332"/>
        <v>16.002215226957301</v>
      </c>
      <c r="V197" s="214">
        <f t="shared" si="332"/>
        <v>16.122626890400579</v>
      </c>
      <c r="W197" s="214">
        <f t="shared" si="332"/>
        <v>16.190665210037846</v>
      </c>
      <c r="X197" s="214">
        <f t="shared" si="332"/>
        <v>16.255893957059079</v>
      </c>
      <c r="Y197" s="214">
        <f t="shared" si="332"/>
        <v>16.369886083522275</v>
      </c>
    </row>
    <row r="198" spans="2:26" ht="16.2" x14ac:dyDescent="0.35">
      <c r="B198" s="60" t="s">
        <v>67</v>
      </c>
      <c r="C198" s="197">
        <v>521</v>
      </c>
      <c r="D198" s="221">
        <v>1109</v>
      </c>
      <c r="E198" s="221">
        <v>1987</v>
      </c>
      <c r="F198" s="93">
        <v>5755</v>
      </c>
      <c r="G198" s="93">
        <v>4981</v>
      </c>
      <c r="H198" s="93">
        <v>3903</v>
      </c>
      <c r="I198" s="93">
        <f>J198</f>
        <v>3705</v>
      </c>
      <c r="J198" s="221">
        <v>3705</v>
      </c>
      <c r="K198" s="93">
        <v>7575</v>
      </c>
      <c r="L198" s="93">
        <v>7394</v>
      </c>
      <c r="M198" s="93">
        <v>6487</v>
      </c>
      <c r="N198" s="93">
        <f>O198</f>
        <v>4785</v>
      </c>
      <c r="O198" s="221">
        <v>4785</v>
      </c>
      <c r="P198" s="203">
        <f t="shared" ref="P198:Y198" si="333">P200*(P$82+P$91+P$98+P$123)</f>
        <v>5928.6962983747726</v>
      </c>
      <c r="Q198" s="203">
        <f t="shared" si="333"/>
        <v>7701.1792969361113</v>
      </c>
      <c r="R198" s="203">
        <f t="shared" si="333"/>
        <v>9726.6774234017139</v>
      </c>
      <c r="S198" s="203">
        <f t="shared" si="333"/>
        <v>11831.265390951528</v>
      </c>
      <c r="T198" s="203">
        <f t="shared" si="333"/>
        <v>14198.935580325313</v>
      </c>
      <c r="U198" s="203">
        <f t="shared" si="333"/>
        <v>16840.167866954049</v>
      </c>
      <c r="V198" s="203">
        <f t="shared" si="333"/>
        <v>19602.660217527773</v>
      </c>
      <c r="W198" s="203">
        <f t="shared" si="333"/>
        <v>22650.430120946621</v>
      </c>
      <c r="X198" s="203">
        <f t="shared" si="333"/>
        <v>25982.141180541326</v>
      </c>
      <c r="Y198" s="203">
        <f t="shared" si="333"/>
        <v>29110.761545452555</v>
      </c>
    </row>
    <row r="199" spans="2:26" ht="16.2" x14ac:dyDescent="0.35">
      <c r="B199" s="64" t="s">
        <v>123</v>
      </c>
      <c r="C199" s="203"/>
      <c r="D199" s="213">
        <f>D198-C198</f>
        <v>588</v>
      </c>
      <c r="E199" s="213">
        <f>E198-D198</f>
        <v>878</v>
      </c>
      <c r="F199" s="79"/>
      <c r="G199" s="79"/>
      <c r="H199" s="79"/>
      <c r="I199" s="79"/>
      <c r="J199" s="213">
        <f>J198-E198</f>
        <v>1718</v>
      </c>
      <c r="K199" s="105"/>
      <c r="L199" s="105"/>
      <c r="M199" s="105"/>
      <c r="N199" s="105"/>
      <c r="O199" s="213">
        <f>O198-J198</f>
        <v>1080</v>
      </c>
      <c r="P199" s="213">
        <f>P198-O198</f>
        <v>1143.6962983747726</v>
      </c>
      <c r="Q199" s="213">
        <f t="shared" ref="Q199" si="334">Q198-P198</f>
        <v>1772.4829985613387</v>
      </c>
      <c r="R199" s="213">
        <f t="shared" ref="R199" si="335">R198-Q198</f>
        <v>2025.4981264656026</v>
      </c>
      <c r="S199" s="213">
        <f t="shared" ref="S199" si="336">S198-R198</f>
        <v>2104.5879675498145</v>
      </c>
      <c r="T199" s="213">
        <f t="shared" ref="T199" si="337">T198-S198</f>
        <v>2367.6701893737845</v>
      </c>
      <c r="U199" s="213">
        <f t="shared" ref="U199" si="338">U198-T198</f>
        <v>2641.2322866287359</v>
      </c>
      <c r="V199" s="213">
        <f t="shared" ref="V199" si="339">V198-U198</f>
        <v>2762.4923505737243</v>
      </c>
      <c r="W199" s="213">
        <f t="shared" ref="W199" si="340">W198-V198</f>
        <v>3047.7699034188481</v>
      </c>
      <c r="X199" s="213">
        <f t="shared" ref="X199" si="341">X198-W198</f>
        <v>3331.7110595947051</v>
      </c>
      <c r="Y199" s="213">
        <f t="shared" ref="Y199" si="342">Y198-X198</f>
        <v>3128.6203649112285</v>
      </c>
    </row>
    <row r="200" spans="2:26" x14ac:dyDescent="0.3">
      <c r="B200" s="64" t="s">
        <v>177</v>
      </c>
      <c r="C200" s="215">
        <f t="shared" ref="C200:O200" si="343">C198/(C$82+C$91+C$98+C$123)</f>
        <v>1.4843304843304842E-2</v>
      </c>
      <c r="D200" s="215">
        <f t="shared" si="343"/>
        <v>1.4970706552552714E-2</v>
      </c>
      <c r="E200" s="215">
        <f t="shared" si="343"/>
        <v>3.1334268998470347E-2</v>
      </c>
      <c r="F200" s="82">
        <f t="shared" si="343"/>
        <v>0.28456289556962028</v>
      </c>
      <c r="G200" s="82">
        <f t="shared" si="343"/>
        <v>0.22337324543701512</v>
      </c>
      <c r="H200" s="82">
        <f t="shared" si="343"/>
        <v>0.15581460337738035</v>
      </c>
      <c r="I200" s="82">
        <f t="shared" si="343"/>
        <v>0.12558470612161887</v>
      </c>
      <c r="J200" s="215">
        <f t="shared" si="343"/>
        <v>3.8166759379442486E-2</v>
      </c>
      <c r="K200" s="82">
        <f t="shared" si="343"/>
        <v>0.23649703403059633</v>
      </c>
      <c r="L200" s="82">
        <f t="shared" si="343"/>
        <v>0.21502311920202402</v>
      </c>
      <c r="M200" s="82">
        <f t="shared" si="343"/>
        <v>0.17008836099530664</v>
      </c>
      <c r="N200" s="82">
        <f t="shared" si="343"/>
        <v>0.12564661397473939</v>
      </c>
      <c r="O200" s="215">
        <f t="shared" si="343"/>
        <v>3.3546225085705872E-2</v>
      </c>
      <c r="P200" s="233">
        <f t="shared" ref="P200:Y200" si="344">AVERAGE($O$200,$J$200,$E$200)</f>
        <v>3.4349084487872904E-2</v>
      </c>
      <c r="Q200" s="233">
        <f t="shared" si="344"/>
        <v>3.4349084487872904E-2</v>
      </c>
      <c r="R200" s="233">
        <f t="shared" si="344"/>
        <v>3.4349084487872904E-2</v>
      </c>
      <c r="S200" s="233">
        <f t="shared" si="344"/>
        <v>3.4349084487872904E-2</v>
      </c>
      <c r="T200" s="233">
        <f t="shared" si="344"/>
        <v>3.4349084487872904E-2</v>
      </c>
      <c r="U200" s="233">
        <f t="shared" si="344"/>
        <v>3.4349084487872904E-2</v>
      </c>
      <c r="V200" s="233">
        <f t="shared" si="344"/>
        <v>3.4349084487872904E-2</v>
      </c>
      <c r="W200" s="233">
        <f t="shared" si="344"/>
        <v>3.4349084487872904E-2</v>
      </c>
      <c r="X200" s="233">
        <f t="shared" si="344"/>
        <v>3.4349084487872904E-2</v>
      </c>
      <c r="Y200" s="233">
        <f t="shared" si="344"/>
        <v>3.4349084487872904E-2</v>
      </c>
    </row>
    <row r="201" spans="2:26" ht="16.8" thickBot="1" x14ac:dyDescent="0.4">
      <c r="B201" s="178" t="s">
        <v>170</v>
      </c>
      <c r="C201" s="216"/>
      <c r="D201" s="217">
        <f t="shared" ref="D201:Y201" si="345">D188+D191+D195+D199</f>
        <v>1433</v>
      </c>
      <c r="E201" s="217">
        <f t="shared" si="345"/>
        <v>8192</v>
      </c>
      <c r="F201" s="654">
        <f t="shared" si="345"/>
        <v>0</v>
      </c>
      <c r="G201" s="654">
        <f t="shared" si="345"/>
        <v>0</v>
      </c>
      <c r="H201" s="654">
        <f t="shared" si="345"/>
        <v>0</v>
      </c>
      <c r="I201" s="654">
        <f t="shared" si="345"/>
        <v>0</v>
      </c>
      <c r="J201" s="217">
        <f t="shared" si="345"/>
        <v>13336</v>
      </c>
      <c r="K201" s="654">
        <f t="shared" si="345"/>
        <v>0</v>
      </c>
      <c r="L201" s="654">
        <f t="shared" si="345"/>
        <v>0</v>
      </c>
      <c r="M201" s="654">
        <f t="shared" si="345"/>
        <v>0</v>
      </c>
      <c r="N201" s="654">
        <f t="shared" si="345"/>
        <v>0</v>
      </c>
      <c r="O201" s="217">
        <f t="shared" si="345"/>
        <v>-6445</v>
      </c>
      <c r="P201" s="217">
        <f t="shared" si="345"/>
        <v>13409.284165273559</v>
      </c>
      <c r="Q201" s="217">
        <f t="shared" si="345"/>
        <v>10183.930454500889</v>
      </c>
      <c r="R201" s="217">
        <f t="shared" si="345"/>
        <v>12284.81066839704</v>
      </c>
      <c r="S201" s="217">
        <f t="shared" si="345"/>
        <v>14106.044123015834</v>
      </c>
      <c r="T201" s="217">
        <f t="shared" si="345"/>
        <v>17070.576554530016</v>
      </c>
      <c r="U201" s="217">
        <f t="shared" si="345"/>
        <v>20631.015358880213</v>
      </c>
      <c r="V201" s="217">
        <f t="shared" si="345"/>
        <v>23912.394091077651</v>
      </c>
      <c r="W201" s="217">
        <f t="shared" si="345"/>
        <v>28619.644222574861</v>
      </c>
      <c r="X201" s="217">
        <f t="shared" si="345"/>
        <v>34059.373338258956</v>
      </c>
      <c r="Y201" s="217">
        <f t="shared" si="345"/>
        <v>38127.047102722347</v>
      </c>
    </row>
    <row r="202" spans="2:26" ht="16.8" thickTop="1" x14ac:dyDescent="0.35">
      <c r="B202" s="6"/>
      <c r="C202" s="195"/>
      <c r="D202" s="203"/>
      <c r="E202" s="203"/>
      <c r="F202" s="79"/>
      <c r="G202" s="79"/>
      <c r="H202" s="79"/>
      <c r="I202" s="79"/>
      <c r="J202" s="203"/>
      <c r="K202" s="79"/>
      <c r="L202" s="79"/>
      <c r="M202" s="79"/>
      <c r="N202" s="79"/>
      <c r="O202" s="203"/>
      <c r="P202" s="200"/>
      <c r="Q202" s="200"/>
      <c r="R202" s="200"/>
      <c r="S202" s="200"/>
      <c r="T202" s="200"/>
      <c r="U202" s="200"/>
      <c r="V202" s="200"/>
      <c r="W202" s="200"/>
      <c r="X202" s="200"/>
      <c r="Y202" s="200"/>
    </row>
    <row r="203" spans="2:26" ht="16.2" x14ac:dyDescent="0.35">
      <c r="B203" s="60" t="s">
        <v>68</v>
      </c>
      <c r="C203" s="197">
        <v>2759</v>
      </c>
      <c r="D203" s="221">
        <v>3978</v>
      </c>
      <c r="E203" s="221">
        <v>5033</v>
      </c>
      <c r="F203" s="93">
        <v>4515</v>
      </c>
      <c r="G203" s="93">
        <v>4152</v>
      </c>
      <c r="H203" s="93">
        <v>5210</v>
      </c>
      <c r="I203" s="93">
        <f>J203</f>
        <v>8101</v>
      </c>
      <c r="J203" s="221">
        <v>8101</v>
      </c>
      <c r="K203" s="93">
        <v>7179</v>
      </c>
      <c r="L203" s="93">
        <v>7884</v>
      </c>
      <c r="M203" s="93">
        <v>10643</v>
      </c>
      <c r="N203" s="93">
        <f>O203</f>
        <v>10502</v>
      </c>
      <c r="O203" s="221">
        <v>10502</v>
      </c>
      <c r="P203" s="203">
        <f t="shared" ref="P203:Y203" si="346">(P206*(P$39+P$45+P$51+P$56+P$59)/365)</f>
        <v>12771.632363037828</v>
      </c>
      <c r="Q203" s="203">
        <f t="shared" si="346"/>
        <v>16945.374722730041</v>
      </c>
      <c r="R203" s="203">
        <f t="shared" si="346"/>
        <v>22081.375361208175</v>
      </c>
      <c r="S203" s="203">
        <f t="shared" si="346"/>
        <v>28132.74944318389</v>
      </c>
      <c r="T203" s="203">
        <f t="shared" si="346"/>
        <v>35628.78435278136</v>
      </c>
      <c r="U203" s="203">
        <f t="shared" si="346"/>
        <v>44913.949226617187</v>
      </c>
      <c r="V203" s="203">
        <f t="shared" si="346"/>
        <v>55991.113066742866</v>
      </c>
      <c r="W203" s="203">
        <f t="shared" si="346"/>
        <v>69598.772280343299</v>
      </c>
      <c r="X203" s="203">
        <f t="shared" si="346"/>
        <v>86234.032855446407</v>
      </c>
      <c r="Y203" s="203">
        <f t="shared" si="346"/>
        <v>105535.27667000992</v>
      </c>
    </row>
    <row r="204" spans="2:26" ht="16.2" x14ac:dyDescent="0.35">
      <c r="B204" s="64" t="s">
        <v>123</v>
      </c>
      <c r="C204" s="203"/>
      <c r="D204" s="213">
        <f>D203-C203</f>
        <v>1219</v>
      </c>
      <c r="E204" s="213">
        <f>E203-D203</f>
        <v>1055</v>
      </c>
      <c r="F204" s="79"/>
      <c r="G204" s="79"/>
      <c r="H204" s="79"/>
      <c r="I204" s="79"/>
      <c r="J204" s="213">
        <f>J203-E203</f>
        <v>3068</v>
      </c>
      <c r="K204" s="105"/>
      <c r="L204" s="105"/>
      <c r="M204" s="105"/>
      <c r="N204" s="105"/>
      <c r="O204" s="213">
        <f>O203-J203</f>
        <v>2401</v>
      </c>
      <c r="P204" s="213">
        <f>P203-O203</f>
        <v>2269.6323630378283</v>
      </c>
      <c r="Q204" s="213">
        <f t="shared" ref="Q204" si="347">Q203-P203</f>
        <v>4173.7423596922126</v>
      </c>
      <c r="R204" s="213">
        <f t="shared" ref="R204" si="348">R203-Q203</f>
        <v>5136.0006384781336</v>
      </c>
      <c r="S204" s="213">
        <f t="shared" ref="S204" si="349">S203-R203</f>
        <v>6051.3740819757149</v>
      </c>
      <c r="T204" s="213">
        <f t="shared" ref="T204" si="350">T203-S203</f>
        <v>7496.0349095974707</v>
      </c>
      <c r="U204" s="213">
        <f t="shared" ref="U204" si="351">U203-T203</f>
        <v>9285.1648738358272</v>
      </c>
      <c r="V204" s="213">
        <f t="shared" ref="V204" si="352">V203-U203</f>
        <v>11077.163840125679</v>
      </c>
      <c r="W204" s="213">
        <f t="shared" ref="W204" si="353">W203-V203</f>
        <v>13607.659213600433</v>
      </c>
      <c r="X204" s="213">
        <f t="shared" ref="X204" si="354">X203-W203</f>
        <v>16635.260575103108</v>
      </c>
      <c r="Y204" s="213">
        <f t="shared" ref="Y204" si="355">Y203-X203</f>
        <v>19301.24381456351</v>
      </c>
    </row>
    <row r="205" spans="2:26" x14ac:dyDescent="0.3">
      <c r="B205" s="64" t="s">
        <v>174</v>
      </c>
      <c r="C205" s="202">
        <f t="shared" ref="C205:Y205" si="356">C203/(C$39+C$45+C$51+C$56+C$59)</f>
        <v>7.7852083862411464E-2</v>
      </c>
      <c r="D205" s="202">
        <f t="shared" si="356"/>
        <v>7.9799398194583746E-2</v>
      </c>
      <c r="E205" s="202">
        <f t="shared" si="356"/>
        <v>7.4503360274743163E-2</v>
      </c>
      <c r="F205" s="705">
        <f t="shared" si="356"/>
        <v>0.24826789838337182</v>
      </c>
      <c r="G205" s="649">
        <f t="shared" si="356"/>
        <v>0.16786609525349722</v>
      </c>
      <c r="H205" s="649">
        <f t="shared" si="356"/>
        <v>0.19720655588780803</v>
      </c>
      <c r="I205" s="711">
        <f t="shared" si="356"/>
        <v>0.31485871973259744</v>
      </c>
      <c r="J205" s="202">
        <f t="shared" si="356"/>
        <v>8.5212689864097274E-2</v>
      </c>
      <c r="K205" s="705">
        <f t="shared" si="356"/>
        <v>0.26887640449438205</v>
      </c>
      <c r="L205" s="649">
        <f t="shared" si="356"/>
        <v>0.22714569708144861</v>
      </c>
      <c r="M205" s="649">
        <f t="shared" si="356"/>
        <v>0.28578717005450982</v>
      </c>
      <c r="N205" s="711">
        <f t="shared" si="356"/>
        <v>0.30204199022145528</v>
      </c>
      <c r="O205" s="202">
        <f t="shared" si="356"/>
        <v>7.8713836006595719E-2</v>
      </c>
      <c r="P205" s="202">
        <f t="shared" si="356"/>
        <v>7.0684931506849305E-2</v>
      </c>
      <c r="Q205" s="202">
        <f t="shared" si="356"/>
        <v>7.1232876712328766E-2</v>
      </c>
      <c r="R205" s="202">
        <f t="shared" si="356"/>
        <v>7.1780821917808213E-2</v>
      </c>
      <c r="S205" s="202">
        <f t="shared" si="356"/>
        <v>7.232876712328766E-2</v>
      </c>
      <c r="T205" s="202">
        <f t="shared" si="356"/>
        <v>7.2876712328767121E-2</v>
      </c>
      <c r="U205" s="202">
        <f t="shared" si="356"/>
        <v>7.3424657534246568E-2</v>
      </c>
      <c r="V205" s="202">
        <f t="shared" si="356"/>
        <v>7.3972602739726015E-2</v>
      </c>
      <c r="W205" s="202">
        <f t="shared" si="356"/>
        <v>7.4520547945205462E-2</v>
      </c>
      <c r="X205" s="202">
        <f t="shared" si="356"/>
        <v>7.5068493150684909E-2</v>
      </c>
      <c r="Y205" s="202">
        <f t="shared" si="356"/>
        <v>7.561643835616437E-2</v>
      </c>
    </row>
    <row r="206" spans="2:26" ht="16.2" x14ac:dyDescent="0.35">
      <c r="B206" s="64" t="s">
        <v>316</v>
      </c>
      <c r="C206" s="195"/>
      <c r="D206" s="214">
        <f>(AVERAGE(D203,C203)/(D$39+D$45+D$51+D$56+D$59))*365</f>
        <v>24.664042126379137</v>
      </c>
      <c r="E206" s="214">
        <f>(AVERAGE(E203,D203)/(E$39+E$45+E$51+E$56+E$59))*365</f>
        <v>24.343599194718301</v>
      </c>
      <c r="F206" s="105"/>
      <c r="G206" s="105"/>
      <c r="H206" s="105"/>
      <c r="I206" s="105"/>
      <c r="J206" s="201">
        <f>(AVERAGE(J203,E203)/(J$39+J$45+J$51+J$56+J$59))*365</f>
        <v>25.213058021626622</v>
      </c>
      <c r="K206" s="649"/>
      <c r="L206" s="649"/>
      <c r="M206" s="649"/>
      <c r="N206" s="649"/>
      <c r="O206" s="201">
        <f>(AVERAGE(O203,J203)/(O$39+O$45+O$51+O$56+O$59))*365</f>
        <v>25.446316144506067</v>
      </c>
      <c r="P206" s="449">
        <v>25.8</v>
      </c>
      <c r="Q206" s="237">
        <f>P206+$Z$206</f>
        <v>26</v>
      </c>
      <c r="R206" s="237">
        <f t="shared" ref="R206:Y206" si="357">Q206+$Z$206</f>
        <v>26.2</v>
      </c>
      <c r="S206" s="237">
        <f t="shared" si="357"/>
        <v>26.4</v>
      </c>
      <c r="T206" s="237">
        <f t="shared" si="357"/>
        <v>26.599999999999998</v>
      </c>
      <c r="U206" s="237">
        <f t="shared" si="357"/>
        <v>26.799999999999997</v>
      </c>
      <c r="V206" s="237">
        <f t="shared" si="357"/>
        <v>26.999999999999996</v>
      </c>
      <c r="W206" s="237">
        <f t="shared" si="357"/>
        <v>27.199999999999996</v>
      </c>
      <c r="X206" s="237">
        <f t="shared" si="357"/>
        <v>27.399999999999995</v>
      </c>
      <c r="Y206" s="237">
        <f t="shared" si="357"/>
        <v>27.599999999999994</v>
      </c>
      <c r="Z206" s="447">
        <v>0.2</v>
      </c>
    </row>
    <row r="207" spans="2:26" ht="16.2" x14ac:dyDescent="0.35">
      <c r="B207" s="60" t="s">
        <v>69</v>
      </c>
      <c r="C207" s="197">
        <v>418</v>
      </c>
      <c r="D207" s="221">
        <v>376</v>
      </c>
      <c r="E207" s="221">
        <v>923</v>
      </c>
      <c r="F207" s="93">
        <v>1119</v>
      </c>
      <c r="G207" s="93">
        <v>1488</v>
      </c>
      <c r="H207" s="93">
        <v>1378</v>
      </c>
      <c r="I207" s="93">
        <f>J207</f>
        <v>1323</v>
      </c>
      <c r="J207" s="221">
        <v>1323</v>
      </c>
      <c r="K207" s="93">
        <v>1158</v>
      </c>
      <c r="L207" s="93">
        <v>1551</v>
      </c>
      <c r="M207" s="93">
        <v>1179</v>
      </c>
      <c r="N207" s="93">
        <f>O207</f>
        <v>1953</v>
      </c>
      <c r="O207" s="221">
        <v>1953</v>
      </c>
      <c r="P207" s="203">
        <f t="shared" ref="P207:Y207" si="358">(P210*(P$39+P$45+P$51+P$56+P$59)/365)</f>
        <v>2252.9121257754505</v>
      </c>
      <c r="Q207" s="203">
        <f t="shared" si="358"/>
        <v>3011.7876603811965</v>
      </c>
      <c r="R207" s="203">
        <f t="shared" si="358"/>
        <v>3953.6721774980629</v>
      </c>
      <c r="S207" s="203">
        <f t="shared" si="358"/>
        <v>5073.6052560707831</v>
      </c>
      <c r="T207" s="203">
        <f t="shared" si="358"/>
        <v>6470.9269737600735</v>
      </c>
      <c r="U207" s="203">
        <f t="shared" si="358"/>
        <v>8213.7428344784967</v>
      </c>
      <c r="V207" s="203">
        <f t="shared" si="358"/>
        <v>10308.818872966556</v>
      </c>
      <c r="W207" s="203">
        <f t="shared" si="358"/>
        <v>12899.089169410065</v>
      </c>
      <c r="X207" s="203">
        <f t="shared" si="358"/>
        <v>16085.832993591717</v>
      </c>
      <c r="Y207" s="203">
        <f t="shared" si="358"/>
        <v>19811.236145423354</v>
      </c>
    </row>
    <row r="208" spans="2:26" ht="16.2" x14ac:dyDescent="0.35">
      <c r="B208" s="64" t="s">
        <v>123</v>
      </c>
      <c r="C208" s="203"/>
      <c r="D208" s="213">
        <f>D207-C207</f>
        <v>-42</v>
      </c>
      <c r="E208" s="213">
        <f>E207-D207</f>
        <v>547</v>
      </c>
      <c r="F208" s="79"/>
      <c r="G208" s="79"/>
      <c r="H208" s="79"/>
      <c r="I208" s="79"/>
      <c r="J208" s="213">
        <f>J207-E207</f>
        <v>400</v>
      </c>
      <c r="K208" s="105"/>
      <c r="L208" s="105"/>
      <c r="M208" s="105"/>
      <c r="N208" s="105"/>
      <c r="O208" s="213">
        <f>O207-J207</f>
        <v>630</v>
      </c>
      <c r="P208" s="213">
        <f>P207-O207</f>
        <v>299.91212577545048</v>
      </c>
      <c r="Q208" s="213">
        <f t="shared" ref="Q208" si="359">Q207-P207</f>
        <v>758.875534605746</v>
      </c>
      <c r="R208" s="213">
        <f t="shared" ref="R208" si="360">R207-Q207</f>
        <v>941.88451711686639</v>
      </c>
      <c r="S208" s="213">
        <f t="shared" ref="S208" si="361">S207-R207</f>
        <v>1119.9330785727202</v>
      </c>
      <c r="T208" s="213">
        <f t="shared" ref="T208" si="362">T207-S207</f>
        <v>1397.3217176892904</v>
      </c>
      <c r="U208" s="213">
        <f t="shared" ref="U208" si="363">U207-T207</f>
        <v>1742.8158607184232</v>
      </c>
      <c r="V208" s="213">
        <f t="shared" ref="V208" si="364">V207-U207</f>
        <v>2095.0760384880596</v>
      </c>
      <c r="W208" s="213">
        <f t="shared" ref="W208" si="365">W207-V207</f>
        <v>2590.2702964435084</v>
      </c>
      <c r="X208" s="213">
        <f t="shared" ref="X208" si="366">X207-W207</f>
        <v>3186.7438241816526</v>
      </c>
      <c r="Y208" s="213">
        <f t="shared" ref="Y208" si="367">Y207-X207</f>
        <v>3725.4031518316369</v>
      </c>
    </row>
    <row r="209" spans="2:26" x14ac:dyDescent="0.3">
      <c r="B209" s="64" t="s">
        <v>174</v>
      </c>
      <c r="C209" s="202">
        <f t="shared" ref="C209:Y209" si="368">C207/(C$39+C$45+C$51+C$56+C$59)</f>
        <v>1.1794915206411016E-2</v>
      </c>
      <c r="D209" s="202">
        <f t="shared" si="368"/>
        <v>7.5426278836509533E-3</v>
      </c>
      <c r="E209" s="202">
        <f t="shared" si="368"/>
        <v>1.3663143559226692E-2</v>
      </c>
      <c r="F209" s="705">
        <f t="shared" si="368"/>
        <v>6.1530847904981853E-2</v>
      </c>
      <c r="G209" s="649">
        <f t="shared" si="368"/>
        <v>6.0160103501253337E-2</v>
      </c>
      <c r="H209" s="649">
        <f t="shared" si="368"/>
        <v>5.2159430712744613E-2</v>
      </c>
      <c r="I209" s="711">
        <f t="shared" si="368"/>
        <v>5.1420576003731198E-2</v>
      </c>
      <c r="J209" s="202">
        <f t="shared" si="368"/>
        <v>1.3916354609332268E-2</v>
      </c>
      <c r="K209" s="705">
        <f t="shared" si="368"/>
        <v>4.3370786516853929E-2</v>
      </c>
      <c r="L209" s="649">
        <f t="shared" si="368"/>
        <v>4.4685816358869458E-2</v>
      </c>
      <c r="M209" s="649">
        <f t="shared" si="368"/>
        <v>3.165865578260519E-2</v>
      </c>
      <c r="N209" s="711">
        <f t="shared" si="368"/>
        <v>5.6169111302847283E-2</v>
      </c>
      <c r="O209" s="202">
        <f t="shared" si="368"/>
        <v>1.4637985309548794E-2</v>
      </c>
      <c r="P209" s="202">
        <f t="shared" si="368"/>
        <v>1.2468800758958733E-2</v>
      </c>
      <c r="Q209" s="202">
        <f t="shared" si="368"/>
        <v>1.266058158087654E-2</v>
      </c>
      <c r="R209" s="202">
        <f t="shared" si="368"/>
        <v>1.2852362402794351E-2</v>
      </c>
      <c r="S209" s="202">
        <f t="shared" si="368"/>
        <v>1.304414322471216E-2</v>
      </c>
      <c r="T209" s="202">
        <f t="shared" si="368"/>
        <v>1.323592404662997E-2</v>
      </c>
      <c r="U209" s="202">
        <f t="shared" si="368"/>
        <v>1.3427704868547777E-2</v>
      </c>
      <c r="V209" s="202">
        <f t="shared" si="368"/>
        <v>1.3619485690465586E-2</v>
      </c>
      <c r="W209" s="202">
        <f t="shared" si="368"/>
        <v>1.3811266512383397E-2</v>
      </c>
      <c r="X209" s="202">
        <f t="shared" si="368"/>
        <v>1.4003047334301204E-2</v>
      </c>
      <c r="Y209" s="202">
        <f t="shared" si="368"/>
        <v>1.4194828156219013E-2</v>
      </c>
    </row>
    <row r="210" spans="2:26" ht="16.2" x14ac:dyDescent="0.35">
      <c r="B210" s="64" t="s">
        <v>316</v>
      </c>
      <c r="C210" s="195"/>
      <c r="D210" s="214">
        <f>(AVERAGE(D207,C207)/(D$39+D$45+D$51+D$56+D$59))*365</f>
        <v>2.9068204613841524</v>
      </c>
      <c r="E210" s="214">
        <f>(AVERAGE(E207,D207)/(E$39+E$45+E$51+E$56+E$59))*365</f>
        <v>3.5093036681765701</v>
      </c>
      <c r="F210" s="105"/>
      <c r="G210" s="105"/>
      <c r="H210" s="105"/>
      <c r="I210" s="105"/>
      <c r="J210" s="201">
        <f>(AVERAGE(J207,E207)/(J$39+J$45+J$51+J$56+J$59))*365</f>
        <v>4.3115980140530992</v>
      </c>
      <c r="K210" s="649"/>
      <c r="L210" s="649"/>
      <c r="M210" s="649"/>
      <c r="N210" s="649"/>
      <c r="O210" s="201">
        <f>(AVERAGE(O207,J207)/(O$39+O$45+O$51+O$56+O$59))*365</f>
        <v>4.4811122770199372</v>
      </c>
      <c r="P210" s="449">
        <f>O210+$Z$210</f>
        <v>4.5511122770199375</v>
      </c>
      <c r="Q210" s="449">
        <f t="shared" ref="Q210:Y210" si="369">P210+$Z$210</f>
        <v>4.6211122770199378</v>
      </c>
      <c r="R210" s="449">
        <f t="shared" si="369"/>
        <v>4.691112277019938</v>
      </c>
      <c r="S210" s="449">
        <f t="shared" si="369"/>
        <v>4.7611122770199383</v>
      </c>
      <c r="T210" s="449">
        <f t="shared" si="369"/>
        <v>4.8311122770199386</v>
      </c>
      <c r="U210" s="449">
        <f t="shared" si="369"/>
        <v>4.9011122770199389</v>
      </c>
      <c r="V210" s="449">
        <f t="shared" si="369"/>
        <v>4.9711122770199392</v>
      </c>
      <c r="W210" s="449">
        <f t="shared" si="369"/>
        <v>5.0411122770199395</v>
      </c>
      <c r="X210" s="449">
        <f t="shared" si="369"/>
        <v>5.1111122770199398</v>
      </c>
      <c r="Y210" s="449">
        <f t="shared" si="369"/>
        <v>5.18111227701994</v>
      </c>
      <c r="Z210" s="447">
        <v>7.0000000000000007E-2</v>
      </c>
    </row>
    <row r="211" spans="2:26" ht="16.2" hidden="1" outlineLevel="1" x14ac:dyDescent="0.35">
      <c r="B211" s="60" t="s">
        <v>79</v>
      </c>
      <c r="C211" s="195">
        <v>1062</v>
      </c>
      <c r="D211" s="203">
        <v>530</v>
      </c>
      <c r="E211" s="203">
        <v>0</v>
      </c>
      <c r="F211" s="79">
        <v>0</v>
      </c>
      <c r="G211" s="79">
        <v>0</v>
      </c>
      <c r="H211" s="79">
        <v>0</v>
      </c>
      <c r="I211" s="79">
        <f>J211</f>
        <v>0</v>
      </c>
      <c r="J211" s="203">
        <v>0</v>
      </c>
      <c r="K211" s="79"/>
      <c r="L211" s="79"/>
      <c r="M211" s="79"/>
      <c r="N211" s="79"/>
      <c r="O211" s="203">
        <v>0</v>
      </c>
      <c r="P211" s="200"/>
      <c r="Q211" s="200"/>
      <c r="R211" s="200"/>
      <c r="S211" s="200"/>
      <c r="T211" s="200"/>
      <c r="U211" s="200"/>
      <c r="V211" s="200"/>
      <c r="W211" s="200"/>
      <c r="X211" s="200"/>
      <c r="Y211" s="200"/>
    </row>
    <row r="212" spans="2:26" ht="16.2" collapsed="1" x14ac:dyDescent="0.35">
      <c r="B212" s="60" t="s">
        <v>70</v>
      </c>
      <c r="C212" s="197">
        <v>478</v>
      </c>
      <c r="D212" s="221">
        <v>428</v>
      </c>
      <c r="E212" s="221">
        <v>0</v>
      </c>
      <c r="F212" s="93">
        <v>0</v>
      </c>
      <c r="G212" s="93">
        <v>0</v>
      </c>
      <c r="H212" s="93">
        <v>0</v>
      </c>
      <c r="I212" s="93">
        <f>J212</f>
        <v>3203</v>
      </c>
      <c r="J212" s="221">
        <v>3203</v>
      </c>
      <c r="K212" s="93">
        <v>3358</v>
      </c>
      <c r="L212" s="93">
        <v>4360</v>
      </c>
      <c r="M212" s="93">
        <v>4400</v>
      </c>
      <c r="N212" s="93">
        <f>O212</f>
        <v>4893</v>
      </c>
      <c r="O212" s="221">
        <v>4893</v>
      </c>
      <c r="P212" s="444">
        <v>5680</v>
      </c>
      <c r="Q212" s="446">
        <f>14974/2</f>
        <v>7487</v>
      </c>
      <c r="R212" s="446">
        <f>14974/2</f>
        <v>7487</v>
      </c>
      <c r="S212" s="446">
        <f>15000/2</f>
        <v>7500</v>
      </c>
      <c r="T212" s="446">
        <f>15000/2</f>
        <v>7500</v>
      </c>
      <c r="U212" s="445">
        <f>T212</f>
        <v>7500</v>
      </c>
      <c r="V212" s="445">
        <f t="shared" ref="V212:Y212" si="370">U212</f>
        <v>7500</v>
      </c>
      <c r="W212" s="445">
        <f t="shared" si="370"/>
        <v>7500</v>
      </c>
      <c r="X212" s="445">
        <f t="shared" si="370"/>
        <v>7500</v>
      </c>
      <c r="Y212" s="445">
        <f t="shared" si="370"/>
        <v>7500</v>
      </c>
    </row>
    <row r="213" spans="2:26" ht="16.2" x14ac:dyDescent="0.35">
      <c r="B213" s="64" t="s">
        <v>123</v>
      </c>
      <c r="C213" s="203"/>
      <c r="D213" s="213">
        <f>D212-C212</f>
        <v>-50</v>
      </c>
      <c r="E213" s="213">
        <f>E212-D212</f>
        <v>-428</v>
      </c>
      <c r="F213" s="79"/>
      <c r="G213" s="79"/>
      <c r="H213" s="79"/>
      <c r="I213" s="79"/>
      <c r="J213" s="213">
        <f>J212-E212</f>
        <v>3203</v>
      </c>
      <c r="K213" s="105"/>
      <c r="L213" s="105"/>
      <c r="M213" s="105"/>
      <c r="N213" s="105"/>
      <c r="O213" s="213">
        <f>O212-J212</f>
        <v>1690</v>
      </c>
      <c r="P213" s="213">
        <f t="shared" ref="P213:Y213" si="371">P212-O212</f>
        <v>787</v>
      </c>
      <c r="Q213" s="213">
        <f t="shared" si="371"/>
        <v>1807</v>
      </c>
      <c r="R213" s="213">
        <f t="shared" si="371"/>
        <v>0</v>
      </c>
      <c r="S213" s="213">
        <f t="shared" si="371"/>
        <v>13</v>
      </c>
      <c r="T213" s="213">
        <f t="shared" si="371"/>
        <v>0</v>
      </c>
      <c r="U213" s="213">
        <f t="shared" si="371"/>
        <v>0</v>
      </c>
      <c r="V213" s="213">
        <f t="shared" si="371"/>
        <v>0</v>
      </c>
      <c r="W213" s="213">
        <f t="shared" si="371"/>
        <v>0</v>
      </c>
      <c r="X213" s="213">
        <f t="shared" si="371"/>
        <v>0</v>
      </c>
      <c r="Y213" s="213">
        <f t="shared" si="371"/>
        <v>0</v>
      </c>
    </row>
    <row r="214" spans="2:26" ht="16.2" x14ac:dyDescent="0.35">
      <c r="B214" s="64" t="s">
        <v>178</v>
      </c>
      <c r="C214" s="195"/>
      <c r="D214" s="215">
        <f>(D212/C212)-1</f>
        <v>-0.10460251046025104</v>
      </c>
      <c r="E214" s="215">
        <f>(E212/D212)-1</f>
        <v>-1</v>
      </c>
      <c r="F214" s="79"/>
      <c r="G214" s="79"/>
      <c r="H214" s="79"/>
      <c r="I214" s="79"/>
      <c r="J214" s="213"/>
      <c r="K214" s="79"/>
      <c r="L214" s="79"/>
      <c r="M214" s="79"/>
      <c r="N214" s="79"/>
      <c r="O214" s="215">
        <f>(O212/J212)-1</f>
        <v>0.52763034655010932</v>
      </c>
      <c r="P214" s="215">
        <f t="shared" ref="P214:Y214" si="372">(P212/O212)-1</f>
        <v>0.16084201921111796</v>
      </c>
      <c r="Q214" s="215">
        <f t="shared" si="372"/>
        <v>0.3181338028169014</v>
      </c>
      <c r="R214" s="215">
        <f t="shared" si="372"/>
        <v>0</v>
      </c>
      <c r="S214" s="215">
        <f t="shared" si="372"/>
        <v>1.736342994523854E-3</v>
      </c>
      <c r="T214" s="215">
        <f t="shared" si="372"/>
        <v>0</v>
      </c>
      <c r="U214" s="215">
        <f t="shared" si="372"/>
        <v>0</v>
      </c>
      <c r="V214" s="215">
        <f t="shared" si="372"/>
        <v>0</v>
      </c>
      <c r="W214" s="215">
        <f t="shared" si="372"/>
        <v>0</v>
      </c>
      <c r="X214" s="215">
        <f t="shared" si="372"/>
        <v>0</v>
      </c>
      <c r="Y214" s="215">
        <f t="shared" si="372"/>
        <v>0</v>
      </c>
    </row>
    <row r="215" spans="2:26" ht="16.2" hidden="1" outlineLevel="1" x14ac:dyDescent="0.35">
      <c r="B215" s="60" t="s">
        <v>85</v>
      </c>
      <c r="C215" s="195"/>
      <c r="D215" s="203"/>
      <c r="E215" s="203">
        <v>683</v>
      </c>
      <c r="F215" s="79">
        <v>703</v>
      </c>
      <c r="G215" s="79">
        <v>881</v>
      </c>
      <c r="H215" s="79">
        <v>881</v>
      </c>
      <c r="I215" s="79">
        <f>J215</f>
        <v>0</v>
      </c>
      <c r="J215" s="203">
        <v>0</v>
      </c>
      <c r="K215" s="79"/>
      <c r="L215" s="79"/>
      <c r="M215" s="79"/>
      <c r="N215" s="79"/>
      <c r="O215" s="203">
        <v>0</v>
      </c>
      <c r="P215" s="200"/>
      <c r="Q215" s="200"/>
      <c r="R215" s="200"/>
      <c r="S215" s="200"/>
      <c r="T215" s="200"/>
      <c r="U215" s="200"/>
      <c r="V215" s="200"/>
      <c r="W215" s="200"/>
      <c r="X215" s="200"/>
      <c r="Y215" s="200"/>
    </row>
    <row r="216" spans="2:26" ht="16.2" hidden="1" outlineLevel="1" x14ac:dyDescent="0.35">
      <c r="B216" s="60" t="s">
        <v>80</v>
      </c>
      <c r="C216" s="195">
        <v>550</v>
      </c>
      <c r="D216" s="203">
        <v>0</v>
      </c>
      <c r="E216" s="203">
        <v>0</v>
      </c>
      <c r="F216" s="79">
        <v>0</v>
      </c>
      <c r="G216" s="79">
        <v>0</v>
      </c>
      <c r="H216" s="79">
        <v>0</v>
      </c>
      <c r="I216" s="79">
        <f>J216</f>
        <v>0</v>
      </c>
      <c r="J216" s="203"/>
      <c r="K216" s="79"/>
      <c r="L216" s="79"/>
      <c r="M216" s="79"/>
      <c r="N216" s="79"/>
      <c r="O216" s="203">
        <v>0</v>
      </c>
      <c r="P216" s="200"/>
      <c r="Q216" s="200"/>
      <c r="R216" s="200"/>
      <c r="S216" s="200"/>
      <c r="T216" s="200"/>
      <c r="U216" s="200"/>
      <c r="V216" s="200"/>
      <c r="W216" s="200"/>
      <c r="X216" s="200"/>
      <c r="Y216" s="200"/>
    </row>
    <row r="217" spans="2:26" ht="16.2" collapsed="1" x14ac:dyDescent="0.35">
      <c r="B217" s="60" t="s">
        <v>71</v>
      </c>
      <c r="C217" s="195"/>
      <c r="D217" s="203"/>
      <c r="E217" s="221">
        <v>2771</v>
      </c>
      <c r="F217" s="93">
        <v>3006</v>
      </c>
      <c r="G217" s="93">
        <v>3365</v>
      </c>
      <c r="H217" s="93">
        <v>3729</v>
      </c>
      <c r="I217" s="93">
        <f>J217</f>
        <v>4233</v>
      </c>
      <c r="J217" s="221">
        <v>4233</v>
      </c>
      <c r="K217" s="93">
        <v>4744</v>
      </c>
      <c r="L217" s="93">
        <v>5189</v>
      </c>
      <c r="M217" s="93">
        <v>5646</v>
      </c>
      <c r="N217" s="93">
        <f>O217</f>
        <v>6054</v>
      </c>
      <c r="O217" s="221">
        <v>6054</v>
      </c>
      <c r="P217" s="203">
        <f t="shared" ref="P217:Y217" si="373">P219*(P$39+P$45+P$51+P$56+P$59)</f>
        <v>8198.6254716202839</v>
      </c>
      <c r="Q217" s="203">
        <f t="shared" si="373"/>
        <v>10794.242582291838</v>
      </c>
      <c r="R217" s="203">
        <f t="shared" si="373"/>
        <v>13958.513592905638</v>
      </c>
      <c r="S217" s="203">
        <f t="shared" si="373"/>
        <v>17649.101314854968</v>
      </c>
      <c r="T217" s="203">
        <f t="shared" si="373"/>
        <v>22183.68616945541</v>
      </c>
      <c r="U217" s="203">
        <f t="shared" si="373"/>
        <v>27756.250250457055</v>
      </c>
      <c r="V217" s="203">
        <f t="shared" si="373"/>
        <v>34345.487226278579</v>
      </c>
      <c r="W217" s="203">
        <f t="shared" si="373"/>
        <v>42378.640399070777</v>
      </c>
      <c r="X217" s="203">
        <f t="shared" si="373"/>
        <v>52124.569232829454</v>
      </c>
      <c r="Y217" s="203">
        <f t="shared" si="373"/>
        <v>63329.04161493064</v>
      </c>
    </row>
    <row r="218" spans="2:26" ht="16.2" x14ac:dyDescent="0.35">
      <c r="B218" s="64" t="s">
        <v>123</v>
      </c>
      <c r="C218" s="203"/>
      <c r="D218" s="213">
        <f>D217-C217</f>
        <v>0</v>
      </c>
      <c r="E218" s="213">
        <f>E217-D217</f>
        <v>2771</v>
      </c>
      <c r="F218" s="79"/>
      <c r="G218" s="79"/>
      <c r="H218" s="79"/>
      <c r="I218" s="79"/>
      <c r="J218" s="213">
        <f>J217-E217</f>
        <v>1462</v>
      </c>
      <c r="K218" s="105"/>
      <c r="L218" s="105"/>
      <c r="M218" s="105"/>
      <c r="N218" s="105"/>
      <c r="O218" s="213">
        <f>O217-J217</f>
        <v>1821</v>
      </c>
      <c r="P218" s="213">
        <f>P217-O217</f>
        <v>2144.6254716202839</v>
      </c>
      <c r="Q218" s="213">
        <f t="shared" ref="Q218" si="374">Q217-P217</f>
        <v>2595.6171106715537</v>
      </c>
      <c r="R218" s="213">
        <f t="shared" ref="R218" si="375">R217-Q217</f>
        <v>3164.2710106138002</v>
      </c>
      <c r="S218" s="213">
        <f t="shared" ref="S218" si="376">S217-R217</f>
        <v>3690.5877219493304</v>
      </c>
      <c r="T218" s="213">
        <f t="shared" ref="T218" si="377">T217-S217</f>
        <v>4534.5848546004418</v>
      </c>
      <c r="U218" s="213">
        <f t="shared" ref="U218" si="378">U217-T217</f>
        <v>5572.5640810016448</v>
      </c>
      <c r="V218" s="213">
        <f t="shared" ref="V218" si="379">V217-U217</f>
        <v>6589.2369758215245</v>
      </c>
      <c r="W218" s="213">
        <f t="shared" ref="W218" si="380">W217-V217</f>
        <v>8033.1531727921974</v>
      </c>
      <c r="X218" s="213">
        <f t="shared" ref="X218" si="381">X217-W217</f>
        <v>9745.9288337586768</v>
      </c>
      <c r="Y218" s="213">
        <f t="shared" ref="Y218" si="382">Y217-X217</f>
        <v>11204.472382101187</v>
      </c>
    </row>
    <row r="219" spans="2:26" ht="16.2" x14ac:dyDescent="0.35">
      <c r="B219" s="64" t="s">
        <v>174</v>
      </c>
      <c r="C219" s="203"/>
      <c r="D219" s="213"/>
      <c r="E219" s="215">
        <f t="shared" ref="E219:O219" si="383">E217/(E$39+E$45+E$51+E$56+E$59)</f>
        <v>4.1019036622553809E-2</v>
      </c>
      <c r="F219" s="82">
        <f t="shared" si="383"/>
        <v>0.16529198284394589</v>
      </c>
      <c r="G219" s="82">
        <f t="shared" si="383"/>
        <v>0.13604754588825099</v>
      </c>
      <c r="H219" s="82">
        <f t="shared" si="383"/>
        <v>0.14114841591279004</v>
      </c>
      <c r="I219" s="82">
        <f t="shared" si="383"/>
        <v>0.16452252322282249</v>
      </c>
      <c r="J219" s="215">
        <f t="shared" si="383"/>
        <v>4.4526023477931588E-2</v>
      </c>
      <c r="K219" s="82">
        <f t="shared" si="383"/>
        <v>0.17767790262172284</v>
      </c>
      <c r="L219" s="82">
        <f t="shared" si="383"/>
        <v>0.14950012964937048</v>
      </c>
      <c r="M219" s="82">
        <f t="shared" si="383"/>
        <v>0.15160709970194142</v>
      </c>
      <c r="N219" s="82">
        <f t="shared" si="383"/>
        <v>0.17411561691113028</v>
      </c>
      <c r="O219" s="215">
        <f t="shared" si="383"/>
        <v>4.5375505921151249E-2</v>
      </c>
      <c r="P219" s="233">
        <f>O219</f>
        <v>4.5375505921151249E-2</v>
      </c>
      <c r="Q219" s="233">
        <f t="shared" ref="Q219:Y219" si="384">P219</f>
        <v>4.5375505921151249E-2</v>
      </c>
      <c r="R219" s="233">
        <f t="shared" si="384"/>
        <v>4.5375505921151249E-2</v>
      </c>
      <c r="S219" s="233">
        <f t="shared" si="384"/>
        <v>4.5375505921151249E-2</v>
      </c>
      <c r="T219" s="233">
        <f t="shared" si="384"/>
        <v>4.5375505921151249E-2</v>
      </c>
      <c r="U219" s="233">
        <f t="shared" si="384"/>
        <v>4.5375505921151249E-2</v>
      </c>
      <c r="V219" s="233">
        <f t="shared" si="384"/>
        <v>4.5375505921151249E-2</v>
      </c>
      <c r="W219" s="233">
        <f t="shared" si="384"/>
        <v>4.5375505921151249E-2</v>
      </c>
      <c r="X219" s="233">
        <f t="shared" si="384"/>
        <v>4.5375505921151249E-2</v>
      </c>
      <c r="Y219" s="233">
        <f t="shared" si="384"/>
        <v>4.5375505921151249E-2</v>
      </c>
    </row>
    <row r="220" spans="2:26" ht="16.2" x14ac:dyDescent="0.35">
      <c r="B220" s="60" t="s">
        <v>72</v>
      </c>
      <c r="C220" s="197">
        <v>500</v>
      </c>
      <c r="D220" s="221">
        <v>2500</v>
      </c>
      <c r="E220" s="221">
        <v>4000</v>
      </c>
      <c r="F220" s="93">
        <v>2000</v>
      </c>
      <c r="G220" s="93">
        <v>2500</v>
      </c>
      <c r="H220" s="93">
        <v>3000</v>
      </c>
      <c r="I220" s="93">
        <f>J220</f>
        <v>3500</v>
      </c>
      <c r="J220" s="221">
        <v>3500</v>
      </c>
      <c r="K220" s="93">
        <v>4000</v>
      </c>
      <c r="L220" s="93">
        <v>5000</v>
      </c>
      <c r="M220" s="93">
        <v>3750</v>
      </c>
      <c r="N220" s="93">
        <f>O220</f>
        <v>4375</v>
      </c>
      <c r="O220" s="221">
        <v>4375</v>
      </c>
      <c r="P220" s="379">
        <f>26250/3</f>
        <v>8750</v>
      </c>
      <c r="Q220" s="379">
        <f t="shared" ref="Q220:R220" si="385">26250/3</f>
        <v>8750</v>
      </c>
      <c r="R220" s="379">
        <f t="shared" si="385"/>
        <v>8750</v>
      </c>
      <c r="S220" s="379">
        <f>68125/7</f>
        <v>9732.1428571428569</v>
      </c>
      <c r="T220" s="379">
        <f t="shared" ref="T220:Y220" si="386">68125/7</f>
        <v>9732.1428571428569</v>
      </c>
      <c r="U220" s="379">
        <f t="shared" si="386"/>
        <v>9732.1428571428569</v>
      </c>
      <c r="V220" s="379">
        <f t="shared" si="386"/>
        <v>9732.1428571428569</v>
      </c>
      <c r="W220" s="379">
        <f t="shared" si="386"/>
        <v>9732.1428571428569</v>
      </c>
      <c r="X220" s="379">
        <f t="shared" si="386"/>
        <v>9732.1428571428569</v>
      </c>
      <c r="Y220" s="379">
        <f t="shared" si="386"/>
        <v>9732.1428571428569</v>
      </c>
    </row>
    <row r="221" spans="2:26" ht="16.2" x14ac:dyDescent="0.35">
      <c r="B221" s="64" t="s">
        <v>123</v>
      </c>
      <c r="C221" s="203"/>
      <c r="D221" s="213">
        <f>D220-C220</f>
        <v>2000</v>
      </c>
      <c r="E221" s="213">
        <f>E220-D220</f>
        <v>1500</v>
      </c>
      <c r="F221" s="79"/>
      <c r="G221" s="79"/>
      <c r="H221" s="79"/>
      <c r="I221" s="79"/>
      <c r="J221" s="213">
        <f>J220-E220</f>
        <v>-500</v>
      </c>
      <c r="K221" s="105"/>
      <c r="L221" s="105"/>
      <c r="M221" s="105"/>
      <c r="N221" s="105"/>
      <c r="O221" s="213">
        <f>O220-J220</f>
        <v>875</v>
      </c>
      <c r="P221" s="213">
        <f>P220-O220</f>
        <v>4375</v>
      </c>
      <c r="Q221" s="213">
        <f t="shared" ref="Q221" si="387">Q220-P220</f>
        <v>0</v>
      </c>
      <c r="R221" s="213">
        <f t="shared" ref="R221" si="388">R220-Q220</f>
        <v>0</v>
      </c>
      <c r="S221" s="213">
        <f t="shared" ref="S221" si="389">S220-R220</f>
        <v>982.14285714285688</v>
      </c>
      <c r="T221" s="213">
        <f t="shared" ref="T221" si="390">T220-S220</f>
        <v>0</v>
      </c>
      <c r="U221" s="213">
        <f t="shared" ref="U221" si="391">U220-T220</f>
        <v>0</v>
      </c>
      <c r="V221" s="213">
        <f t="shared" ref="V221" si="392">V220-U220</f>
        <v>0</v>
      </c>
      <c r="W221" s="213">
        <f t="shared" ref="W221" si="393">W220-V220</f>
        <v>0</v>
      </c>
      <c r="X221" s="213">
        <f t="shared" ref="X221" si="394">X220-W220</f>
        <v>0</v>
      </c>
      <c r="Y221" s="213">
        <f t="shared" ref="Y221" si="395">Y220-X220</f>
        <v>0</v>
      </c>
    </row>
    <row r="222" spans="2:26" ht="16.2" x14ac:dyDescent="0.35">
      <c r="B222" s="60" t="s">
        <v>315</v>
      </c>
      <c r="C222" s="203"/>
      <c r="D222" s="213"/>
      <c r="E222" s="213"/>
      <c r="F222" s="79"/>
      <c r="G222" s="79"/>
      <c r="H222" s="79"/>
      <c r="I222" s="79"/>
      <c r="J222" s="213"/>
      <c r="K222" s="105"/>
      <c r="L222" s="105"/>
      <c r="M222" s="105"/>
      <c r="N222" s="105"/>
      <c r="O222" s="213"/>
      <c r="P222" s="203">
        <f>10521/3</f>
        <v>3507</v>
      </c>
      <c r="Q222" s="203">
        <f t="shared" ref="Q222:R222" si="396">10521/3</f>
        <v>3507</v>
      </c>
      <c r="R222" s="203">
        <f t="shared" si="396"/>
        <v>3507</v>
      </c>
      <c r="S222" s="203">
        <f>11436/3</f>
        <v>3812</v>
      </c>
      <c r="T222" s="203">
        <f t="shared" ref="T222:U222" si="397">11436/3</f>
        <v>3812</v>
      </c>
      <c r="U222" s="203">
        <f t="shared" si="397"/>
        <v>3812</v>
      </c>
      <c r="V222" s="203">
        <f>79002/4</f>
        <v>19750.5</v>
      </c>
      <c r="W222" s="203">
        <f t="shared" ref="W222:Y222" si="398">79002/4</f>
        <v>19750.5</v>
      </c>
      <c r="X222" s="203">
        <f t="shared" si="398"/>
        <v>19750.5</v>
      </c>
      <c r="Y222" s="203">
        <f t="shared" si="398"/>
        <v>19750.5</v>
      </c>
    </row>
    <row r="223" spans="2:26" ht="16.2" x14ac:dyDescent="0.35">
      <c r="B223" s="64" t="s">
        <v>123</v>
      </c>
      <c r="C223" s="203"/>
      <c r="D223" s="213"/>
      <c r="E223" s="213"/>
      <c r="F223" s="79"/>
      <c r="G223" s="79"/>
      <c r="H223" s="79"/>
      <c r="I223" s="79"/>
      <c r="J223" s="213"/>
      <c r="K223" s="105"/>
      <c r="L223" s="105"/>
      <c r="M223" s="105"/>
      <c r="N223" s="105"/>
      <c r="O223" s="213"/>
      <c r="P223" s="213">
        <f t="shared" ref="P223:Y223" si="399">P222-O222</f>
        <v>3507</v>
      </c>
      <c r="Q223" s="213">
        <f t="shared" si="399"/>
        <v>0</v>
      </c>
      <c r="R223" s="213">
        <f t="shared" si="399"/>
        <v>0</v>
      </c>
      <c r="S223" s="213">
        <f t="shared" si="399"/>
        <v>305</v>
      </c>
      <c r="T223" s="213">
        <f t="shared" si="399"/>
        <v>0</v>
      </c>
      <c r="U223" s="213">
        <f t="shared" si="399"/>
        <v>0</v>
      </c>
      <c r="V223" s="213">
        <f t="shared" si="399"/>
        <v>15938.5</v>
      </c>
      <c r="W223" s="213">
        <f t="shared" si="399"/>
        <v>0</v>
      </c>
      <c r="X223" s="213">
        <f t="shared" si="399"/>
        <v>0</v>
      </c>
      <c r="Y223" s="213">
        <f t="shared" si="399"/>
        <v>0</v>
      </c>
    </row>
    <row r="224" spans="2:26" ht="16.8" thickBot="1" x14ac:dyDescent="0.4">
      <c r="B224" s="179" t="s">
        <v>171</v>
      </c>
      <c r="C224" s="217"/>
      <c r="D224" s="217">
        <f t="shared" ref="D224:Y224" si="400">D204+D208+D213+D218+D221</f>
        <v>3127</v>
      </c>
      <c r="E224" s="217">
        <f t="shared" si="400"/>
        <v>5445</v>
      </c>
      <c r="F224" s="654">
        <f t="shared" si="400"/>
        <v>0</v>
      </c>
      <c r="G224" s="654">
        <f t="shared" si="400"/>
        <v>0</v>
      </c>
      <c r="H224" s="654">
        <f t="shared" si="400"/>
        <v>0</v>
      </c>
      <c r="I224" s="654">
        <f t="shared" si="400"/>
        <v>0</v>
      </c>
      <c r="J224" s="217">
        <f t="shared" si="400"/>
        <v>7633</v>
      </c>
      <c r="K224" s="654">
        <f t="shared" si="400"/>
        <v>0</v>
      </c>
      <c r="L224" s="654">
        <f t="shared" si="400"/>
        <v>0</v>
      </c>
      <c r="M224" s="654">
        <f t="shared" si="400"/>
        <v>0</v>
      </c>
      <c r="N224" s="654">
        <f t="shared" si="400"/>
        <v>0</v>
      </c>
      <c r="O224" s="217">
        <f t="shared" si="400"/>
        <v>7417</v>
      </c>
      <c r="P224" s="217">
        <f t="shared" si="400"/>
        <v>9876.1699604335627</v>
      </c>
      <c r="Q224" s="217">
        <f t="shared" si="400"/>
        <v>9335.2350049695124</v>
      </c>
      <c r="R224" s="217">
        <f t="shared" si="400"/>
        <v>9242.1561662088006</v>
      </c>
      <c r="S224" s="217">
        <f t="shared" si="400"/>
        <v>11857.037739640622</v>
      </c>
      <c r="T224" s="217">
        <f t="shared" si="400"/>
        <v>13427.941481887203</v>
      </c>
      <c r="U224" s="217">
        <f t="shared" si="400"/>
        <v>16600.544815555895</v>
      </c>
      <c r="V224" s="217">
        <f t="shared" si="400"/>
        <v>19761.476854435263</v>
      </c>
      <c r="W224" s="217">
        <f t="shared" si="400"/>
        <v>24231.082682836139</v>
      </c>
      <c r="X224" s="217">
        <f t="shared" si="400"/>
        <v>29567.933233043437</v>
      </c>
      <c r="Y224" s="217">
        <f t="shared" si="400"/>
        <v>34231.11934849633</v>
      </c>
    </row>
    <row r="225" spans="2:29" ht="16.8" thickTop="1" x14ac:dyDescent="0.35">
      <c r="B225" s="180" t="s">
        <v>172</v>
      </c>
      <c r="C225" s="203"/>
      <c r="D225" s="203">
        <f t="shared" ref="D225:Y225" si="401">-D201+D224</f>
        <v>1694</v>
      </c>
      <c r="E225" s="203">
        <f t="shared" si="401"/>
        <v>-2747</v>
      </c>
      <c r="F225" s="79">
        <f t="shared" si="401"/>
        <v>0</v>
      </c>
      <c r="G225" s="79">
        <f t="shared" si="401"/>
        <v>0</v>
      </c>
      <c r="H225" s="79">
        <f t="shared" si="401"/>
        <v>0</v>
      </c>
      <c r="I225" s="79">
        <f t="shared" si="401"/>
        <v>0</v>
      </c>
      <c r="J225" s="203">
        <f t="shared" si="401"/>
        <v>-5703</v>
      </c>
      <c r="K225" s="79">
        <f t="shared" si="401"/>
        <v>0</v>
      </c>
      <c r="L225" s="79">
        <f t="shared" si="401"/>
        <v>0</v>
      </c>
      <c r="M225" s="79">
        <f t="shared" si="401"/>
        <v>0</v>
      </c>
      <c r="N225" s="79">
        <f t="shared" si="401"/>
        <v>0</v>
      </c>
      <c r="O225" s="203">
        <f t="shared" si="401"/>
        <v>13862</v>
      </c>
      <c r="P225" s="203">
        <f t="shared" si="401"/>
        <v>-3533.1142048399961</v>
      </c>
      <c r="Q225" s="203">
        <f t="shared" si="401"/>
        <v>-848.69544953137665</v>
      </c>
      <c r="R225" s="203">
        <f t="shared" si="401"/>
        <v>-3042.6545021882393</v>
      </c>
      <c r="S225" s="203">
        <f t="shared" si="401"/>
        <v>-2249.006383375212</v>
      </c>
      <c r="T225" s="203">
        <f t="shared" si="401"/>
        <v>-3642.6350726428136</v>
      </c>
      <c r="U225" s="203">
        <f t="shared" si="401"/>
        <v>-4030.470543324318</v>
      </c>
      <c r="V225" s="203">
        <f t="shared" si="401"/>
        <v>-4150.9172366423882</v>
      </c>
      <c r="W225" s="203">
        <f t="shared" si="401"/>
        <v>-4388.5615397387228</v>
      </c>
      <c r="X225" s="203">
        <f t="shared" si="401"/>
        <v>-4491.440105215519</v>
      </c>
      <c r="Y225" s="203">
        <f t="shared" si="401"/>
        <v>-3895.927754226017</v>
      </c>
    </row>
    <row r="226" spans="2:29" x14ac:dyDescent="0.3">
      <c r="B226" s="64" t="s">
        <v>318</v>
      </c>
      <c r="C226" s="201"/>
      <c r="D226" s="201">
        <f t="shared" ref="D226:Y226" si="402">ABS(D$36/D225)</f>
        <v>35.506493506493506</v>
      </c>
      <c r="E226" s="201">
        <f t="shared" si="402"/>
        <v>28.207499089916272</v>
      </c>
      <c r="F226" s="719"/>
      <c r="G226" s="668"/>
      <c r="H226" s="668"/>
      <c r="I226" s="720"/>
      <c r="J226" s="201">
        <f t="shared" si="402"/>
        <v>20.517972996668419</v>
      </c>
      <c r="K226" s="719"/>
      <c r="L226" s="668"/>
      <c r="M226" s="668"/>
      <c r="N226" s="720"/>
      <c r="O226" s="201">
        <f t="shared" si="402"/>
        <v>10.915596595007935</v>
      </c>
      <c r="P226" s="201">
        <f t="shared" ca="1" si="402"/>
        <v>57.899084209831912</v>
      </c>
      <c r="Q226" s="201">
        <f t="shared" ca="1" si="402"/>
        <v>316.23186001760121</v>
      </c>
      <c r="R226" s="201">
        <f t="shared" ca="1" si="402"/>
        <v>113.6330318602902</v>
      </c>
      <c r="S226" s="201">
        <f t="shared" ca="1" si="402"/>
        <v>193.68238064634966</v>
      </c>
      <c r="T226" s="201">
        <f t="shared" ca="1" si="402"/>
        <v>149.76890405308652</v>
      </c>
      <c r="U226" s="201">
        <f t="shared" ca="1" si="402"/>
        <v>168.77514292904016</v>
      </c>
      <c r="V226" s="201">
        <f t="shared" ca="1" si="402"/>
        <v>202.14676379167528</v>
      </c>
      <c r="W226" s="201">
        <f t="shared" ca="1" si="402"/>
        <v>235.19655922624929</v>
      </c>
      <c r="X226" s="201">
        <f t="shared" ca="1" si="402"/>
        <v>281.91771933770247</v>
      </c>
      <c r="Y226" s="201">
        <f t="shared" ca="1" si="402"/>
        <v>393.96799693997025</v>
      </c>
    </row>
    <row r="227" spans="2:29" ht="16.2" x14ac:dyDescent="0.35">
      <c r="B227" s="180" t="s">
        <v>317</v>
      </c>
      <c r="C227" s="203">
        <f>C184+C187+C190+C194+C198-C203-C207-C212-C217-C220-C222</f>
        <v>3564</v>
      </c>
      <c r="D227" s="203">
        <f t="shared" ref="D227:Y227" si="403">D184+D187+D190+D194+D198-D203-D207-D212-D217-D220-D222</f>
        <v>15557</v>
      </c>
      <c r="E227" s="203">
        <f t="shared" si="403"/>
        <v>14006</v>
      </c>
      <c r="F227" s="699">
        <f t="shared" si="403"/>
        <v>14579</v>
      </c>
      <c r="G227" s="79">
        <f t="shared" si="403"/>
        <v>60854</v>
      </c>
      <c r="H227" s="79">
        <f t="shared" si="403"/>
        <v>26128</v>
      </c>
      <c r="I227" s="700">
        <f t="shared" si="403"/>
        <v>30285</v>
      </c>
      <c r="J227" s="203">
        <f t="shared" si="403"/>
        <v>30285</v>
      </c>
      <c r="K227" s="699">
        <f t="shared" si="403"/>
        <v>27365</v>
      </c>
      <c r="L227" s="79">
        <f t="shared" si="403"/>
        <v>28723</v>
      </c>
      <c r="M227" s="79">
        <f t="shared" si="403"/>
        <v>16775</v>
      </c>
      <c r="N227" s="700">
        <f t="shared" si="403"/>
        <v>20036</v>
      </c>
      <c r="O227" s="203">
        <f t="shared" si="403"/>
        <v>20036</v>
      </c>
      <c r="P227" s="203">
        <f t="shared" ca="1" si="403"/>
        <v>30782.57165543548</v>
      </c>
      <c r="Q227" s="203">
        <f t="shared" ca="1" si="403"/>
        <v>49870.973525149275</v>
      </c>
      <c r="R227" s="203">
        <f t="shared" ca="1" si="403"/>
        <v>85173.700933533415</v>
      </c>
      <c r="S227" s="203">
        <f t="shared" ca="1" si="403"/>
        <v>143418.47046801765</v>
      </c>
      <c r="T227" s="203">
        <f t="shared" ca="1" si="403"/>
        <v>238295.42114383171</v>
      </c>
      <c r="U227" s="203">
        <f t="shared" ca="1" si="403"/>
        <v>369981.08251846628</v>
      </c>
      <c r="V227" s="203">
        <f t="shared" ca="1" si="403"/>
        <v>546995.81983213534</v>
      </c>
      <c r="W227" s="203">
        <f t="shared" ca="1" si="403"/>
        <v>820671.90553569898</v>
      </c>
      <c r="X227" s="203">
        <f t="shared" ca="1" si="403"/>
        <v>1200736.9762017641</v>
      </c>
      <c r="Y227" s="203">
        <f t="shared" ca="1" si="403"/>
        <v>1721209.6352159146</v>
      </c>
    </row>
    <row r="228" spans="2:29" x14ac:dyDescent="0.3">
      <c r="B228" s="64" t="s">
        <v>173</v>
      </c>
      <c r="C228" s="201">
        <f t="shared" ref="C228:Y228" si="404">C$36/C227</f>
        <v>11.984006734006734</v>
      </c>
      <c r="D228" s="201">
        <f t="shared" si="404"/>
        <v>3.8662981294594072</v>
      </c>
      <c r="E228" s="201">
        <f t="shared" si="404"/>
        <v>5.5323432814508067</v>
      </c>
      <c r="F228" s="719">
        <f t="shared" si="404"/>
        <v>1.4009877220659854</v>
      </c>
      <c r="G228" s="668">
        <f t="shared" si="404"/>
        <v>0.49173431491767178</v>
      </c>
      <c r="H228" s="668">
        <f t="shared" si="404"/>
        <v>1.2253138395590937</v>
      </c>
      <c r="I228" s="720">
        <f t="shared" si="404"/>
        <v>1.1441307578008915</v>
      </c>
      <c r="J228" s="201">
        <f t="shared" si="404"/>
        <v>3.863760937757966</v>
      </c>
      <c r="K228" s="719">
        <f t="shared" si="404"/>
        <v>1.1411657226384067</v>
      </c>
      <c r="L228" s="668">
        <f t="shared" si="404"/>
        <v>1.3290046304355394</v>
      </c>
      <c r="M228" s="668">
        <f t="shared" si="404"/>
        <v>2.4847093889716843</v>
      </c>
      <c r="N228" s="720">
        <f t="shared" si="404"/>
        <v>2.0078858055500102</v>
      </c>
      <c r="O228" s="201">
        <f t="shared" si="404"/>
        <v>7.5520063885006987</v>
      </c>
      <c r="P228" s="201">
        <f t="shared" ca="1" si="404"/>
        <v>6.6454511714866102</v>
      </c>
      <c r="Q228" s="201">
        <f t="shared" ca="1" si="404"/>
        <v>5.3815781329882935</v>
      </c>
      <c r="R228" s="201">
        <f t="shared" ca="1" si="404"/>
        <v>4.0593053043077205</v>
      </c>
      <c r="S228" s="201">
        <f t="shared" ca="1" si="404"/>
        <v>3.0372162595199712</v>
      </c>
      <c r="T228" s="201">
        <f t="shared" ca="1" si="404"/>
        <v>2.2893996874818718</v>
      </c>
      <c r="U228" s="201">
        <f t="shared" ca="1" si="404"/>
        <v>1.8385892527002268</v>
      </c>
      <c r="V228" s="201">
        <f t="shared" ca="1" si="404"/>
        <v>1.5340052990018234</v>
      </c>
      <c r="W228" s="201">
        <f t="shared" ca="1" si="404"/>
        <v>1.2577189095140762</v>
      </c>
      <c r="X228" s="201">
        <f t="shared" ca="1" si="404"/>
        <v>1.0545328211758864</v>
      </c>
      <c r="Y228" s="201">
        <f t="shared" ca="1" si="404"/>
        <v>0.89173963598148298</v>
      </c>
    </row>
    <row r="229" spans="2:29" ht="16.2" x14ac:dyDescent="0.35">
      <c r="B229" s="64"/>
      <c r="C229" s="195"/>
      <c r="D229" s="203"/>
      <c r="E229" s="200"/>
      <c r="F229" s="80"/>
      <c r="G229" s="80"/>
      <c r="H229" s="80"/>
      <c r="I229" s="80"/>
      <c r="J229" s="200"/>
      <c r="K229" s="79"/>
      <c r="L229" s="79"/>
      <c r="M229" s="79"/>
      <c r="N229" s="79"/>
      <c r="O229" s="203"/>
      <c r="P229" s="200"/>
      <c r="Q229" s="200"/>
      <c r="R229" s="200"/>
      <c r="S229" s="200"/>
      <c r="T229" s="200"/>
      <c r="U229" s="200"/>
      <c r="V229" s="200"/>
      <c r="W229" s="200"/>
      <c r="X229" s="200"/>
      <c r="Y229" s="200"/>
    </row>
    <row r="230" spans="2:29" ht="16.2" x14ac:dyDescent="0.35">
      <c r="B230" s="63" t="s">
        <v>2</v>
      </c>
      <c r="C230" s="218"/>
      <c r="D230" s="218"/>
      <c r="E230" s="225"/>
      <c r="F230" s="87"/>
      <c r="G230" s="87"/>
      <c r="H230" s="87"/>
      <c r="I230" s="87"/>
      <c r="J230" s="225"/>
      <c r="K230" s="92"/>
      <c r="L230" s="92"/>
      <c r="M230" s="92"/>
      <c r="N230" s="92"/>
      <c r="O230" s="195"/>
      <c r="P230" s="219"/>
      <c r="Q230" s="219"/>
      <c r="R230" s="219"/>
      <c r="S230" s="219"/>
      <c r="T230" s="219"/>
      <c r="U230" s="219"/>
      <c r="V230" s="219"/>
      <c r="W230" s="219"/>
      <c r="X230" s="219"/>
      <c r="Y230" s="219"/>
      <c r="Z230" s="6"/>
      <c r="AA230" s="6"/>
      <c r="AB230" s="6"/>
      <c r="AC230" s="6"/>
    </row>
    <row r="231" spans="2:29" ht="16.2" x14ac:dyDescent="0.35">
      <c r="B231" s="60" t="s">
        <v>73</v>
      </c>
      <c r="C231" s="197">
        <v>299</v>
      </c>
      <c r="D231" s="221">
        <v>22</v>
      </c>
      <c r="E231" s="221">
        <v>19</v>
      </c>
      <c r="F231" s="93">
        <v>9</v>
      </c>
      <c r="G231" s="93">
        <v>18</v>
      </c>
      <c r="H231" s="93">
        <v>26</v>
      </c>
      <c r="I231" s="93"/>
      <c r="J231" s="221">
        <v>35</v>
      </c>
      <c r="K231" s="93">
        <v>10</v>
      </c>
      <c r="L231" s="93">
        <v>17</v>
      </c>
      <c r="M231" s="93">
        <v>24</v>
      </c>
      <c r="N231" s="93"/>
      <c r="O231" s="221">
        <v>32</v>
      </c>
      <c r="P231" s="243">
        <f t="shared" ref="P231:Y231" si="405">AVERAGE($E$231:$O$231)</f>
        <v>21.111111111111111</v>
      </c>
      <c r="Q231" s="243">
        <f t="shared" si="405"/>
        <v>21.111111111111111</v>
      </c>
      <c r="R231" s="243">
        <f t="shared" si="405"/>
        <v>21.111111111111111</v>
      </c>
      <c r="S231" s="243">
        <f t="shared" si="405"/>
        <v>21.111111111111111</v>
      </c>
      <c r="T231" s="243">
        <f t="shared" si="405"/>
        <v>21.111111111111111</v>
      </c>
      <c r="U231" s="243">
        <f t="shared" si="405"/>
        <v>21.111111111111111</v>
      </c>
      <c r="V231" s="243">
        <f t="shared" si="405"/>
        <v>21.111111111111111</v>
      </c>
      <c r="W231" s="243">
        <f t="shared" si="405"/>
        <v>21.111111111111111</v>
      </c>
      <c r="X231" s="243">
        <f t="shared" si="405"/>
        <v>21.111111111111111</v>
      </c>
      <c r="Y231" s="243">
        <f t="shared" si="405"/>
        <v>21.111111111111111</v>
      </c>
      <c r="Z231" s="6"/>
      <c r="AA231" s="6"/>
      <c r="AB231" s="6"/>
      <c r="AC231" s="6"/>
    </row>
    <row r="232" spans="2:29" ht="16.2" x14ac:dyDescent="0.35">
      <c r="B232" s="64" t="s">
        <v>169</v>
      </c>
      <c r="C232" s="219"/>
      <c r="D232" s="215">
        <f>(D231/C231)-1</f>
        <v>-0.9264214046822743</v>
      </c>
      <c r="E232" s="215">
        <f>(E231/D231)-1</f>
        <v>-0.13636363636363635</v>
      </c>
      <c r="F232" s="83"/>
      <c r="G232" s="83"/>
      <c r="H232" s="83"/>
      <c r="I232" s="83"/>
      <c r="J232" s="215">
        <f>(J231/E231)-1</f>
        <v>0.84210526315789469</v>
      </c>
      <c r="K232" s="96"/>
      <c r="L232" s="96"/>
      <c r="M232" s="96"/>
      <c r="N232" s="96"/>
      <c r="O232" s="215">
        <f>(O231/J231)-1</f>
        <v>-8.5714285714285743E-2</v>
      </c>
      <c r="P232" s="215">
        <f>(P231/O231)-1</f>
        <v>-0.34027777777777779</v>
      </c>
      <c r="Q232" s="215">
        <f t="shared" ref="Q232:Y232" si="406">(Q231/P231)-1</f>
        <v>0</v>
      </c>
      <c r="R232" s="215">
        <f t="shared" si="406"/>
        <v>0</v>
      </c>
      <c r="S232" s="215">
        <f t="shared" si="406"/>
        <v>0</v>
      </c>
      <c r="T232" s="215">
        <f t="shared" si="406"/>
        <v>0</v>
      </c>
      <c r="U232" s="215">
        <f t="shared" si="406"/>
        <v>0</v>
      </c>
      <c r="V232" s="215">
        <f t="shared" si="406"/>
        <v>0</v>
      </c>
      <c r="W232" s="215">
        <f t="shared" si="406"/>
        <v>0</v>
      </c>
      <c r="X232" s="215">
        <f t="shared" si="406"/>
        <v>0</v>
      </c>
      <c r="Y232" s="215">
        <f t="shared" si="406"/>
        <v>0</v>
      </c>
      <c r="Z232" s="6"/>
      <c r="AA232" s="6"/>
      <c r="AB232" s="6"/>
      <c r="AC232" s="6"/>
    </row>
    <row r="233" spans="2:29" ht="16.2" x14ac:dyDescent="0.35">
      <c r="B233" s="60" t="s">
        <v>74</v>
      </c>
      <c r="C233" s="197">
        <v>-236</v>
      </c>
      <c r="D233" s="221">
        <v>-148</v>
      </c>
      <c r="E233" s="221">
        <v>-403</v>
      </c>
      <c r="F233" s="93">
        <v>-60</v>
      </c>
      <c r="G233" s="93">
        <v>-142</v>
      </c>
      <c r="H233" s="93">
        <v>-318</v>
      </c>
      <c r="I233" s="93"/>
      <c r="J233" s="221">
        <v>-393</v>
      </c>
      <c r="K233" s="93">
        <v>-165</v>
      </c>
      <c r="L233" s="93">
        <v>-1369</v>
      </c>
      <c r="M233" s="93">
        <v>-1989</v>
      </c>
      <c r="N233" s="93"/>
      <c r="O233" s="221">
        <v>-2669</v>
      </c>
      <c r="P233" s="379">
        <f>O233*(1+P234)</f>
        <v>-3202.7999999999997</v>
      </c>
      <c r="Q233" s="379">
        <f t="shared" ref="Q233:Y233" si="407">P233*(1+Q234)</f>
        <v>-3843.3599999999997</v>
      </c>
      <c r="R233" s="379">
        <f t="shared" si="407"/>
        <v>-4612.0319999999992</v>
      </c>
      <c r="S233" s="379">
        <f t="shared" si="407"/>
        <v>-5534.4383999999991</v>
      </c>
      <c r="T233" s="379">
        <f t="shared" si="407"/>
        <v>-6641.3260799999989</v>
      </c>
      <c r="U233" s="379">
        <f t="shared" si="407"/>
        <v>-7969.5912959999987</v>
      </c>
      <c r="V233" s="379">
        <f t="shared" si="407"/>
        <v>-9563.5095551999984</v>
      </c>
      <c r="W233" s="379">
        <f t="shared" si="407"/>
        <v>-11476.211466239998</v>
      </c>
      <c r="X233" s="379">
        <f t="shared" si="407"/>
        <v>-13771.453759487997</v>
      </c>
      <c r="Y233" s="379">
        <f t="shared" si="407"/>
        <v>-16525.744511385594</v>
      </c>
      <c r="Z233" s="6"/>
      <c r="AA233" s="6"/>
      <c r="AB233" s="6"/>
      <c r="AC233" s="6"/>
    </row>
    <row r="234" spans="2:29" ht="16.2" x14ac:dyDescent="0.35">
      <c r="B234" s="64" t="s">
        <v>169</v>
      </c>
      <c r="C234" s="219"/>
      <c r="D234" s="215">
        <f>(D233/C233)-1</f>
        <v>-0.3728813559322034</v>
      </c>
      <c r="E234" s="215">
        <f>(E233/D233)-1</f>
        <v>1.7229729729729728</v>
      </c>
      <c r="F234" s="83"/>
      <c r="G234" s="83"/>
      <c r="H234" s="83"/>
      <c r="I234" s="83"/>
      <c r="J234" s="215">
        <f>(J233/E233)-1</f>
        <v>-2.4813895781637729E-2</v>
      </c>
      <c r="K234" s="96"/>
      <c r="L234" s="96"/>
      <c r="M234" s="96"/>
      <c r="N234" s="96"/>
      <c r="O234" s="215">
        <f>(O233/J233)-1</f>
        <v>5.7913486005089059</v>
      </c>
      <c r="P234" s="233">
        <v>0.2</v>
      </c>
      <c r="Q234" s="233">
        <v>0.2</v>
      </c>
      <c r="R234" s="233">
        <v>0.2</v>
      </c>
      <c r="S234" s="233">
        <v>0.2</v>
      </c>
      <c r="T234" s="233">
        <v>0.2</v>
      </c>
      <c r="U234" s="233">
        <v>0.2</v>
      </c>
      <c r="V234" s="233">
        <v>0.2</v>
      </c>
      <c r="W234" s="233">
        <v>0.2</v>
      </c>
      <c r="X234" s="233">
        <v>0.2</v>
      </c>
      <c r="Y234" s="233">
        <v>0.2</v>
      </c>
      <c r="Z234" s="6"/>
      <c r="AA234" s="6"/>
      <c r="AB234" s="6"/>
      <c r="AC234" s="6"/>
    </row>
    <row r="235" spans="2:29" ht="16.2" x14ac:dyDescent="0.35">
      <c r="B235" s="60" t="s">
        <v>75</v>
      </c>
      <c r="C235" s="197">
        <v>-6216</v>
      </c>
      <c r="D235" s="221">
        <v>-2096</v>
      </c>
      <c r="E235" s="221">
        <v>-3694</v>
      </c>
      <c r="F235" s="294">
        <v>-967</v>
      </c>
      <c r="G235" s="294">
        <v>-3969</v>
      </c>
      <c r="H235" s="294">
        <v>-4765</v>
      </c>
      <c r="I235" s="294"/>
      <c r="J235" s="221">
        <v>-9975</v>
      </c>
      <c r="K235" s="294">
        <v>-1945</v>
      </c>
      <c r="L235" s="294">
        <v>-7934</v>
      </c>
      <c r="M235" s="294">
        <v>-8181</v>
      </c>
      <c r="N235" s="294"/>
      <c r="O235" s="221">
        <v>-12738</v>
      </c>
      <c r="P235" s="203">
        <f t="shared" ref="P235:Y235" si="408">-(P168-O168)</f>
        <v>-10231.952519732709</v>
      </c>
      <c r="Q235" s="203">
        <f t="shared" si="408"/>
        <v>-12699.386378018462</v>
      </c>
      <c r="R235" s="203">
        <f t="shared" si="408"/>
        <v>-13866.805238200592</v>
      </c>
      <c r="S235" s="203">
        <f t="shared" si="408"/>
        <v>-13542.655503579139</v>
      </c>
      <c r="T235" s="203">
        <f t="shared" si="408"/>
        <v>-14370.561733240422</v>
      </c>
      <c r="U235" s="203">
        <f t="shared" si="408"/>
        <v>-15002.02052739702</v>
      </c>
      <c r="V235" s="203">
        <f t="shared" si="408"/>
        <v>-14340.638200739399</v>
      </c>
      <c r="W235" s="203">
        <f t="shared" si="408"/>
        <v>-14528.367386880593</v>
      </c>
      <c r="X235" s="203">
        <f t="shared" si="408"/>
        <v>-14393.644197036338</v>
      </c>
      <c r="Y235" s="203">
        <f t="shared" si="408"/>
        <v>-11124.152036647225</v>
      </c>
      <c r="Z235" s="6"/>
      <c r="AA235" s="6"/>
      <c r="AB235" s="6"/>
      <c r="AC235" s="6"/>
    </row>
    <row r="236" spans="2:29" x14ac:dyDescent="0.3">
      <c r="B236" s="64" t="s">
        <v>168</v>
      </c>
      <c r="C236" s="198">
        <f t="shared" ref="C236:Y236" si="409">C235/C123</f>
        <v>-7.095890410958904</v>
      </c>
      <c r="D236" s="198">
        <f t="shared" si="409"/>
        <v>-1.4316939890710383</v>
      </c>
      <c r="E236" s="198">
        <f t="shared" si="409"/>
        <v>-1.9129984464008285</v>
      </c>
      <c r="F236" s="651">
        <f t="shared" si="409"/>
        <v>-1.7907407407407407</v>
      </c>
      <c r="G236" s="651">
        <f t="shared" si="409"/>
        <v>-5.5744382022471912</v>
      </c>
      <c r="H236" s="651">
        <f t="shared" si="409"/>
        <v>-5.2944444444444443</v>
      </c>
      <c r="I236" s="651">
        <f t="shared" si="409"/>
        <v>0</v>
      </c>
      <c r="J236" s="198">
        <f t="shared" si="409"/>
        <v>-3.1696854146806483</v>
      </c>
      <c r="K236" s="651">
        <f t="shared" si="409"/>
        <v>-1.9450000000000001</v>
      </c>
      <c r="L236" s="651">
        <f t="shared" si="409"/>
        <v>-7.0088339222614842</v>
      </c>
      <c r="M236" s="651">
        <f t="shared" si="409"/>
        <v>-6.8863636363636367</v>
      </c>
      <c r="N236" s="651">
        <f t="shared" si="409"/>
        <v>0</v>
      </c>
      <c r="O236" s="198">
        <f t="shared" si="409"/>
        <v>-2.613995485327314</v>
      </c>
      <c r="P236" s="198">
        <f t="shared" si="409"/>
        <v>-1.647935913820086</v>
      </c>
      <c r="Q236" s="198">
        <f t="shared" si="409"/>
        <v>-1.6135018323516517</v>
      </c>
      <c r="R236" s="198">
        <f t="shared" si="409"/>
        <v>-1.4317511597116459</v>
      </c>
      <c r="S236" s="198">
        <f t="shared" si="409"/>
        <v>-1.1820112675713987</v>
      </c>
      <c r="T236" s="198">
        <f t="shared" si="409"/>
        <v>-1.0774373486673434</v>
      </c>
      <c r="U236" s="198">
        <f t="shared" si="409"/>
        <v>-0.98047439746460641</v>
      </c>
      <c r="V236" s="198">
        <f t="shared" si="409"/>
        <v>-0.83486046450324558</v>
      </c>
      <c r="W236" s="198">
        <f t="shared" si="409"/>
        <v>-0.76151019133719589</v>
      </c>
      <c r="X236" s="198">
        <f t="shared" si="409"/>
        <v>-0.68666042165151053</v>
      </c>
      <c r="Y236" s="198">
        <f t="shared" si="409"/>
        <v>-0.49622774055667307</v>
      </c>
      <c r="Z236" s="6"/>
      <c r="AA236" s="6"/>
      <c r="AB236" s="6"/>
      <c r="AC236" s="6"/>
    </row>
    <row r="237" spans="2:29" ht="16.2" x14ac:dyDescent="0.35">
      <c r="B237" s="64" t="s">
        <v>169</v>
      </c>
      <c r="C237" s="219"/>
      <c r="D237" s="215">
        <f>(D235/C235)-1</f>
        <v>-0.66280566280566289</v>
      </c>
      <c r="E237" s="215">
        <f>(E235/D235)-1</f>
        <v>0.76240458015267176</v>
      </c>
      <c r="F237" s="83"/>
      <c r="G237" s="83"/>
      <c r="H237" s="83"/>
      <c r="I237" s="83"/>
      <c r="J237" s="215">
        <f>(J235/E235)-1</f>
        <v>1.7003248511099081</v>
      </c>
      <c r="K237" s="96"/>
      <c r="L237" s="96"/>
      <c r="M237" s="96"/>
      <c r="N237" s="96"/>
      <c r="O237" s="215">
        <f>(O235/J235)-1</f>
        <v>0.27699248120300757</v>
      </c>
      <c r="P237" s="215">
        <f>(P235/O235)-1</f>
        <v>-0.19673790864086127</v>
      </c>
      <c r="Q237" s="215">
        <f t="shared" ref="Q237:Y237" si="410">(Q235/P235)-1</f>
        <v>0.24114985419715462</v>
      </c>
      <c r="R237" s="215">
        <f t="shared" si="410"/>
        <v>9.1927186513738324E-2</v>
      </c>
      <c r="S237" s="215">
        <f t="shared" si="410"/>
        <v>-2.3375949186080547E-2</v>
      </c>
      <c r="T237" s="215">
        <f t="shared" si="410"/>
        <v>6.1133226747330127E-2</v>
      </c>
      <c r="U237" s="215">
        <f t="shared" si="410"/>
        <v>4.3941135070313608E-2</v>
      </c>
      <c r="V237" s="215">
        <f t="shared" si="410"/>
        <v>-4.4086216616607832E-2</v>
      </c>
      <c r="W237" s="215">
        <f t="shared" si="410"/>
        <v>1.309071350335822E-2</v>
      </c>
      <c r="X237" s="215">
        <f t="shared" si="410"/>
        <v>-9.2731128183001221E-3</v>
      </c>
      <c r="Y237" s="215">
        <f t="shared" si="410"/>
        <v>-0.22714832433208987</v>
      </c>
      <c r="Z237" s="6"/>
      <c r="AA237" s="6"/>
      <c r="AB237" s="6"/>
      <c r="AC237" s="6"/>
    </row>
    <row r="238" spans="2:29" ht="16.2" x14ac:dyDescent="0.35">
      <c r="B238" s="176" t="s">
        <v>167</v>
      </c>
      <c r="C238" s="209">
        <f t="shared" ref="C238:Y238" si="411">SUM(C235+C233+C231)</f>
        <v>-6153</v>
      </c>
      <c r="D238" s="209">
        <f t="shared" si="411"/>
        <v>-2222</v>
      </c>
      <c r="E238" s="209">
        <f t="shared" si="411"/>
        <v>-4078</v>
      </c>
      <c r="F238" s="168">
        <f t="shared" si="411"/>
        <v>-1018</v>
      </c>
      <c r="G238" s="168">
        <f t="shared" si="411"/>
        <v>-4093</v>
      </c>
      <c r="H238" s="168">
        <f t="shared" si="411"/>
        <v>-5057</v>
      </c>
      <c r="I238" s="168">
        <f t="shared" si="411"/>
        <v>0</v>
      </c>
      <c r="J238" s="209">
        <f t="shared" si="411"/>
        <v>-10333</v>
      </c>
      <c r="K238" s="168">
        <f t="shared" si="411"/>
        <v>-2100</v>
      </c>
      <c r="L238" s="168">
        <f t="shared" si="411"/>
        <v>-9286</v>
      </c>
      <c r="M238" s="168">
        <f t="shared" si="411"/>
        <v>-10146</v>
      </c>
      <c r="N238" s="168">
        <f t="shared" si="411"/>
        <v>0</v>
      </c>
      <c r="O238" s="209">
        <f t="shared" si="411"/>
        <v>-15375</v>
      </c>
      <c r="P238" s="209">
        <f t="shared" si="411"/>
        <v>-13413.641408621597</v>
      </c>
      <c r="Q238" s="209">
        <f t="shared" si="411"/>
        <v>-16521.635266907353</v>
      </c>
      <c r="R238" s="209">
        <f t="shared" si="411"/>
        <v>-18457.726127089481</v>
      </c>
      <c r="S238" s="209">
        <f t="shared" si="411"/>
        <v>-19055.982792468028</v>
      </c>
      <c r="T238" s="209">
        <f t="shared" si="411"/>
        <v>-20990.776702129311</v>
      </c>
      <c r="U238" s="209">
        <f t="shared" si="411"/>
        <v>-22950.50071228591</v>
      </c>
      <c r="V238" s="209">
        <f t="shared" si="411"/>
        <v>-23883.036644828288</v>
      </c>
      <c r="W238" s="209">
        <f t="shared" si="411"/>
        <v>-25983.467742009481</v>
      </c>
      <c r="X238" s="209">
        <f t="shared" si="411"/>
        <v>-28143.986845413223</v>
      </c>
      <c r="Y238" s="209">
        <f t="shared" si="411"/>
        <v>-27628.785436921709</v>
      </c>
      <c r="Z238" s="6"/>
      <c r="AA238" s="6"/>
      <c r="AB238" s="6"/>
      <c r="AC238" s="6"/>
    </row>
    <row r="239" spans="2:29" x14ac:dyDescent="0.3">
      <c r="B239" s="64" t="s">
        <v>168</v>
      </c>
      <c r="C239" s="198">
        <f t="shared" ref="C239:Y239" si="412">C238/C123</f>
        <v>-7.0239726027397262</v>
      </c>
      <c r="D239" s="198">
        <f t="shared" si="412"/>
        <v>-1.5177595628415301</v>
      </c>
      <c r="E239" s="198">
        <f t="shared" si="412"/>
        <v>-2.1118591403417919</v>
      </c>
      <c r="F239" s="651">
        <f t="shared" si="412"/>
        <v>-1.8851851851851851</v>
      </c>
      <c r="G239" s="651">
        <f t="shared" si="412"/>
        <v>-5.7485955056179776</v>
      </c>
      <c r="H239" s="651">
        <f t="shared" si="412"/>
        <v>-5.6188888888888888</v>
      </c>
      <c r="I239" s="651">
        <f t="shared" si="412"/>
        <v>0</v>
      </c>
      <c r="J239" s="198">
        <f t="shared" si="412"/>
        <v>-3.2834445503654273</v>
      </c>
      <c r="K239" s="651">
        <f t="shared" si="412"/>
        <v>-2.1</v>
      </c>
      <c r="L239" s="651">
        <f t="shared" si="412"/>
        <v>-8.2031802120141339</v>
      </c>
      <c r="M239" s="651">
        <f t="shared" si="412"/>
        <v>-8.5404040404040398</v>
      </c>
      <c r="N239" s="651">
        <f t="shared" si="412"/>
        <v>0</v>
      </c>
      <c r="O239" s="198">
        <f t="shared" si="412"/>
        <v>-3.1551405704904578</v>
      </c>
      <c r="P239" s="198">
        <f t="shared" si="412"/>
        <v>-2.1603717735927517</v>
      </c>
      <c r="Q239" s="198">
        <f t="shared" si="412"/>
        <v>-2.0991320354456522</v>
      </c>
      <c r="R239" s="198">
        <f t="shared" si="412"/>
        <v>-1.9057649064904267</v>
      </c>
      <c r="S239" s="198">
        <f t="shared" si="412"/>
        <v>-1.6632178503980262</v>
      </c>
      <c r="T239" s="198">
        <f t="shared" si="412"/>
        <v>-1.5737900310533446</v>
      </c>
      <c r="U239" s="198">
        <f t="shared" si="412"/>
        <v>-1.4999565102777461</v>
      </c>
      <c r="V239" s="198">
        <f t="shared" si="412"/>
        <v>-1.3903846389501222</v>
      </c>
      <c r="W239" s="198">
        <f t="shared" si="412"/>
        <v>-1.3619338611776339</v>
      </c>
      <c r="X239" s="198">
        <f t="shared" si="412"/>
        <v>-1.342631623352557</v>
      </c>
      <c r="Y239" s="198">
        <f t="shared" si="412"/>
        <v>-1.2324687514627823</v>
      </c>
      <c r="Z239" s="6"/>
      <c r="AA239" s="6"/>
      <c r="AB239" s="6"/>
      <c r="AC239" s="6"/>
    </row>
    <row r="240" spans="2:29" ht="16.2" x14ac:dyDescent="0.35">
      <c r="B240" s="64" t="s">
        <v>169</v>
      </c>
      <c r="C240" s="219"/>
      <c r="D240" s="215">
        <f>(D238/C238)-1</f>
        <v>-0.63887534535998702</v>
      </c>
      <c r="E240" s="215">
        <f>(E238/D238)-1</f>
        <v>0.83528352835283526</v>
      </c>
      <c r="F240" s="83"/>
      <c r="G240" s="83"/>
      <c r="H240" s="83"/>
      <c r="I240" s="83"/>
      <c r="J240" s="215">
        <f>(J238/E238)-1</f>
        <v>1.5338401177047571</v>
      </c>
      <c r="K240" s="96"/>
      <c r="L240" s="96"/>
      <c r="M240" s="96"/>
      <c r="N240" s="96"/>
      <c r="O240" s="215">
        <f>(O238/J238)-1</f>
        <v>0.48795122423303972</v>
      </c>
      <c r="P240" s="215">
        <f>(P238/O238)-1</f>
        <v>-0.12756803846363596</v>
      </c>
      <c r="Q240" s="215">
        <f t="shared" ref="Q240:Y240" si="413">(Q238/P238)-1</f>
        <v>0.23170396192998699</v>
      </c>
      <c r="R240" s="215">
        <f t="shared" si="413"/>
        <v>0.11718518348241802</v>
      </c>
      <c r="S240" s="215">
        <f t="shared" si="413"/>
        <v>3.2412262553864313E-2</v>
      </c>
      <c r="T240" s="215">
        <f t="shared" si="413"/>
        <v>0.10153209785779294</v>
      </c>
      <c r="U240" s="215">
        <f t="shared" si="413"/>
        <v>9.3361195632070348E-2</v>
      </c>
      <c r="V240" s="215">
        <f t="shared" si="413"/>
        <v>4.0632487466522704E-2</v>
      </c>
      <c r="W240" s="215">
        <f t="shared" si="413"/>
        <v>8.794656761689601E-2</v>
      </c>
      <c r="X240" s="215">
        <f t="shared" si="413"/>
        <v>8.3149759872530815E-2</v>
      </c>
      <c r="Y240" s="215">
        <f t="shared" si="413"/>
        <v>-1.8305914201899198E-2</v>
      </c>
      <c r="Z240" s="6"/>
      <c r="AA240" s="6"/>
      <c r="AB240" s="6"/>
      <c r="AC240" s="6"/>
    </row>
    <row r="241" spans="2:29" x14ac:dyDescent="0.3">
      <c r="B241" s="6"/>
      <c r="C241" s="219"/>
      <c r="D241" s="200"/>
      <c r="E241" s="200"/>
      <c r="F241" s="83"/>
      <c r="G241" s="83"/>
      <c r="H241" s="83"/>
      <c r="I241" s="83"/>
      <c r="J241" s="200"/>
      <c r="K241" s="83"/>
      <c r="L241" s="83"/>
      <c r="M241" s="83"/>
      <c r="N241" s="83"/>
      <c r="O241" s="200"/>
      <c r="P241" s="200"/>
      <c r="Q241" s="200"/>
      <c r="R241" s="200"/>
      <c r="S241" s="200"/>
      <c r="T241" s="200"/>
      <c r="U241" s="200"/>
      <c r="V241" s="200"/>
      <c r="W241" s="200"/>
      <c r="X241" s="200"/>
      <c r="Y241" s="200"/>
      <c r="Z241" s="6"/>
      <c r="AA241" s="6"/>
      <c r="AB241" s="6"/>
      <c r="AC241" s="6"/>
    </row>
    <row r="242" spans="2:29" x14ac:dyDescent="0.3">
      <c r="B242" s="62"/>
      <c r="C242" s="219"/>
      <c r="D242" s="200"/>
      <c r="E242" s="200"/>
      <c r="F242" s="80"/>
      <c r="G242" s="80"/>
      <c r="H242" s="80"/>
      <c r="I242" s="80"/>
      <c r="J242" s="200"/>
      <c r="K242" s="80"/>
      <c r="L242" s="80"/>
      <c r="M242" s="80"/>
      <c r="N242" s="80"/>
      <c r="O242" s="200"/>
      <c r="P242" s="200"/>
      <c r="Q242" s="200"/>
      <c r="R242" s="200"/>
      <c r="S242" s="200"/>
      <c r="T242" s="200"/>
      <c r="U242" s="200"/>
      <c r="V242" s="200"/>
      <c r="W242" s="200"/>
      <c r="X242" s="430"/>
      <c r="Y242" s="200"/>
      <c r="Z242" s="6"/>
      <c r="AA242" s="6"/>
      <c r="AB242" s="6"/>
      <c r="AC242" s="6"/>
    </row>
    <row r="243" spans="2:29" ht="16.2" x14ac:dyDescent="0.35">
      <c r="B243" s="63" t="s">
        <v>460</v>
      </c>
      <c r="C243" s="218"/>
      <c r="D243" s="218"/>
      <c r="E243" s="225"/>
      <c r="F243" s="87"/>
      <c r="G243" s="87"/>
      <c r="H243" s="87"/>
      <c r="I243" s="87"/>
      <c r="J243" s="225"/>
      <c r="K243" s="92"/>
      <c r="L243" s="92"/>
      <c r="M243" s="92"/>
      <c r="N243" s="92"/>
      <c r="O243" s="195"/>
      <c r="P243" s="219"/>
      <c r="Q243" s="219"/>
      <c r="R243" s="219"/>
      <c r="S243" s="219"/>
      <c r="T243" s="219"/>
      <c r="U243" s="219"/>
      <c r="V243" s="219"/>
      <c r="W243" s="219"/>
      <c r="X243" s="219"/>
      <c r="Y243" s="219"/>
      <c r="Z243" s="6"/>
      <c r="AA243" s="6"/>
      <c r="AB243" s="6"/>
      <c r="AC243" s="6"/>
    </row>
    <row r="244" spans="2:29" ht="16.2" x14ac:dyDescent="0.35">
      <c r="B244" s="60" t="s">
        <v>188</v>
      </c>
      <c r="C244" s="230">
        <f>C220+C176</f>
        <v>48656</v>
      </c>
      <c r="D244" s="230">
        <f>D220+D176</f>
        <v>48447</v>
      </c>
      <c r="E244" s="230">
        <f t="shared" ref="E244:O244" si="414">E220+E176</f>
        <v>46161</v>
      </c>
      <c r="F244" s="726"/>
      <c r="G244" s="95"/>
      <c r="H244" s="95"/>
      <c r="I244" s="727"/>
      <c r="J244" s="230">
        <f t="shared" si="414"/>
        <v>82908</v>
      </c>
      <c r="K244" s="726"/>
      <c r="L244" s="95"/>
      <c r="M244" s="95"/>
      <c r="N244" s="727"/>
      <c r="O244" s="230">
        <f t="shared" si="414"/>
        <v>122736</v>
      </c>
      <c r="P244" s="230">
        <f t="shared" ref="P244:Y244" si="415">P220+P176</f>
        <v>122736</v>
      </c>
      <c r="Q244" s="230">
        <f t="shared" si="415"/>
        <v>115861</v>
      </c>
      <c r="R244" s="230">
        <f t="shared" si="415"/>
        <v>106486</v>
      </c>
      <c r="S244" s="230">
        <f t="shared" si="415"/>
        <v>97468.142857142855</v>
      </c>
      <c r="T244" s="230">
        <f t="shared" si="415"/>
        <v>29343.142857142855</v>
      </c>
      <c r="U244" s="230">
        <f t="shared" si="415"/>
        <v>9732.1428571428569</v>
      </c>
      <c r="V244" s="230">
        <f t="shared" si="415"/>
        <v>9732.1428571428569</v>
      </c>
      <c r="W244" s="230">
        <f t="shared" si="415"/>
        <v>9732.1428571428569</v>
      </c>
      <c r="X244" s="230">
        <f t="shared" si="415"/>
        <v>9732.1428571428569</v>
      </c>
      <c r="Y244" s="230">
        <f t="shared" si="415"/>
        <v>9732.1428571428569</v>
      </c>
      <c r="Z244" s="6"/>
      <c r="AA244" s="6"/>
      <c r="AB244" s="6"/>
      <c r="AC244" s="6"/>
    </row>
    <row r="245" spans="2:29" ht="16.2" x14ac:dyDescent="0.35">
      <c r="B245" s="60" t="s">
        <v>456</v>
      </c>
      <c r="C245" s="674">
        <v>-41130</v>
      </c>
      <c r="D245" s="675">
        <v>82600</v>
      </c>
      <c r="E245" s="197">
        <v>-9010</v>
      </c>
      <c r="F245" s="93"/>
      <c r="G245" s="93"/>
      <c r="H245" s="93"/>
      <c r="I245" s="712"/>
      <c r="J245" s="676">
        <v>-4880</v>
      </c>
      <c r="K245" s="93"/>
      <c r="L245" s="93"/>
      <c r="M245" s="93"/>
      <c r="N245" s="712"/>
      <c r="O245" s="674">
        <v>-14020</v>
      </c>
      <c r="P245" s="689">
        <v>10100</v>
      </c>
      <c r="Q245" s="689">
        <v>55200</v>
      </c>
      <c r="R245" s="677">
        <f>Q245*5</f>
        <v>276000</v>
      </c>
      <c r="S245" s="677">
        <f>R245*1.5</f>
        <v>414000</v>
      </c>
      <c r="T245" s="677">
        <f t="shared" ref="T245:Y245" si="416">S245*1.5</f>
        <v>621000</v>
      </c>
      <c r="U245" s="677">
        <f t="shared" si="416"/>
        <v>931500</v>
      </c>
      <c r="V245" s="677">
        <f t="shared" si="416"/>
        <v>1397250</v>
      </c>
      <c r="W245" s="677">
        <f t="shared" si="416"/>
        <v>2095875</v>
      </c>
      <c r="X245" s="677">
        <f t="shared" si="416"/>
        <v>3143812.5</v>
      </c>
      <c r="Y245" s="670">
        <f t="shared" si="416"/>
        <v>4715718.75</v>
      </c>
      <c r="Z245" s="6"/>
      <c r="AA245" s="6"/>
      <c r="AB245" s="6"/>
      <c r="AC245" s="6"/>
    </row>
    <row r="246" spans="2:29" ht="16.2" x14ac:dyDescent="0.35">
      <c r="B246" s="60" t="s">
        <v>457</v>
      </c>
      <c r="C246" s="671">
        <f>C212+C173</f>
        <v>4394</v>
      </c>
      <c r="D246" s="669">
        <f>D212+D173</f>
        <v>4976</v>
      </c>
      <c r="E246" s="195">
        <f t="shared" ref="E246:O246" si="417">E212+E173</f>
        <v>0</v>
      </c>
      <c r="F246" s="96"/>
      <c r="G246" s="96"/>
      <c r="H246" s="96"/>
      <c r="I246" s="700"/>
      <c r="J246" s="672">
        <f t="shared" si="417"/>
        <v>36136</v>
      </c>
      <c r="K246" s="96"/>
      <c r="L246" s="96"/>
      <c r="M246" s="96"/>
      <c r="N246" s="700"/>
      <c r="O246" s="671">
        <f t="shared" si="417"/>
        <v>52228</v>
      </c>
      <c r="P246" s="669">
        <f t="shared" ref="P246:Y246" si="418">P212+P173</f>
        <v>73154</v>
      </c>
      <c r="Q246" s="669">
        <f t="shared" si="418"/>
        <v>84961</v>
      </c>
      <c r="R246" s="669">
        <f t="shared" si="418"/>
        <v>84961</v>
      </c>
      <c r="S246" s="669">
        <f t="shared" si="418"/>
        <v>84974</v>
      </c>
      <c r="T246" s="669">
        <f t="shared" si="418"/>
        <v>84974</v>
      </c>
      <c r="U246" s="669">
        <f t="shared" si="418"/>
        <v>84974</v>
      </c>
      <c r="V246" s="669">
        <f t="shared" si="418"/>
        <v>84974</v>
      </c>
      <c r="W246" s="673">
        <f t="shared" si="418"/>
        <v>84974</v>
      </c>
      <c r="X246" s="669">
        <f t="shared" si="418"/>
        <v>84974</v>
      </c>
      <c r="Y246" s="195">
        <f t="shared" si="418"/>
        <v>84974</v>
      </c>
      <c r="Z246" s="6"/>
      <c r="AA246" s="6"/>
      <c r="AB246" s="6"/>
      <c r="AC246" s="6"/>
    </row>
    <row r="247" spans="2:29" ht="16.2" x14ac:dyDescent="0.35">
      <c r="B247" s="60" t="s">
        <v>458</v>
      </c>
      <c r="C247" s="671">
        <f>C184</f>
        <v>4948</v>
      </c>
      <c r="D247" s="669">
        <f>D184</f>
        <v>18635</v>
      </c>
      <c r="E247" s="195">
        <f t="shared" ref="E247:O247" si="419">E184</f>
        <v>14337</v>
      </c>
      <c r="F247" s="96"/>
      <c r="G247" s="96"/>
      <c r="H247" s="96"/>
      <c r="I247" s="700"/>
      <c r="J247" s="672">
        <f t="shared" si="419"/>
        <v>24913</v>
      </c>
      <c r="K247" s="96"/>
      <c r="L247" s="96"/>
      <c r="M247" s="96"/>
      <c r="N247" s="700"/>
      <c r="O247" s="671">
        <f t="shared" si="419"/>
        <v>28526</v>
      </c>
      <c r="P247" s="669">
        <f t="shared" ref="P247:Y247" ca="1" si="420">P184</f>
        <v>39246.457450595502</v>
      </c>
      <c r="Q247" s="669">
        <f t="shared" ca="1" si="420"/>
        <v>57486.163870777891</v>
      </c>
      <c r="R247" s="669">
        <f t="shared" ca="1" si="420"/>
        <v>89746.236776973834</v>
      </c>
      <c r="S247" s="669">
        <f t="shared" ca="1" si="420"/>
        <v>146046.99992808286</v>
      </c>
      <c r="T247" s="669">
        <f t="shared" ca="1" si="420"/>
        <v>237281.31553125411</v>
      </c>
      <c r="U247" s="669">
        <f t="shared" ca="1" si="420"/>
        <v>364936.50636256428</v>
      </c>
      <c r="V247" s="669">
        <f t="shared" ca="1" si="420"/>
        <v>553738.82643959112</v>
      </c>
      <c r="W247" s="673">
        <f t="shared" ca="1" si="420"/>
        <v>823026.35060341598</v>
      </c>
      <c r="X247" s="669">
        <f t="shared" ca="1" si="420"/>
        <v>1198599.9811642654</v>
      </c>
      <c r="Y247" s="195">
        <f t="shared" ca="1" si="420"/>
        <v>1715176.7124241898</v>
      </c>
      <c r="Z247" s="6"/>
      <c r="AA247" s="6"/>
      <c r="AB247" s="6"/>
      <c r="AC247" s="6"/>
    </row>
    <row r="248" spans="2:29" ht="16.2" x14ac:dyDescent="0.35">
      <c r="B248" s="176" t="s">
        <v>459</v>
      </c>
      <c r="C248" s="678">
        <f>C244+C245+C246-C247</f>
        <v>6972</v>
      </c>
      <c r="D248" s="679">
        <f t="shared" ref="D248:O248" si="421">D244+D245+D246-D247</f>
        <v>117388</v>
      </c>
      <c r="E248" s="680">
        <f t="shared" si="421"/>
        <v>22814</v>
      </c>
      <c r="F248" s="721"/>
      <c r="G248" s="721"/>
      <c r="H248" s="721"/>
      <c r="I248" s="723"/>
      <c r="J248" s="681">
        <f t="shared" si="421"/>
        <v>89251</v>
      </c>
      <c r="K248" s="721"/>
      <c r="L248" s="721"/>
      <c r="M248" s="721"/>
      <c r="N248" s="723"/>
      <c r="O248" s="678">
        <f t="shared" si="421"/>
        <v>132418</v>
      </c>
      <c r="P248" s="679">
        <f ca="1">P244+P245+P246-P247</f>
        <v>166743.54254940449</v>
      </c>
      <c r="Q248" s="679">
        <f t="shared" ref="Q248" ca="1" si="422">Q244+Q245+Q246-Q247</f>
        <v>198535.83612922212</v>
      </c>
      <c r="R248" s="679">
        <f t="shared" ref="R248" ca="1" si="423">R244+R245+R246-R247</f>
        <v>377700.76322302618</v>
      </c>
      <c r="S248" s="679">
        <f t="shared" ref="S248" ca="1" si="424">S244+S245+S246-S247</f>
        <v>450395.14292905998</v>
      </c>
      <c r="T248" s="679">
        <f t="shared" ref="T248" ca="1" si="425">T244+T245+T246-T247</f>
        <v>498035.82732588873</v>
      </c>
      <c r="U248" s="679">
        <f t="shared" ref="U248" ca="1" si="426">U244+U245+U246-U247</f>
        <v>661269.63649457856</v>
      </c>
      <c r="V248" s="679">
        <f t="shared" ref="V248" ca="1" si="427">V244+V245+V246-V247</f>
        <v>938217.31641755183</v>
      </c>
      <c r="W248" s="679">
        <f t="shared" ref="W248" ca="1" si="428">W244+W245+W246-W247</f>
        <v>1367554.7922537266</v>
      </c>
      <c r="X248" s="679">
        <f t="shared" ref="X248" ca="1" si="429">X244+X245+X246-X247</f>
        <v>2039918.6616928773</v>
      </c>
      <c r="Y248" s="680">
        <f t="shared" ref="Y248" ca="1" si="430">Y244+Y245+Y246-Y247</f>
        <v>3095248.1804329529</v>
      </c>
    </row>
    <row r="249" spans="2:29" ht="16.2" x14ac:dyDescent="0.35">
      <c r="B249" s="60" t="s">
        <v>461</v>
      </c>
      <c r="C249" s="62"/>
      <c r="D249" s="430"/>
      <c r="E249" s="203">
        <f>AVERAGE(E248,D248,C248)</f>
        <v>49058</v>
      </c>
      <c r="F249" s="83"/>
      <c r="G249" s="83"/>
      <c r="H249" s="83"/>
      <c r="I249" s="724"/>
      <c r="J249" s="687">
        <f>(AVERAGE(J248,E248,D248))</f>
        <v>76484.333333333328</v>
      </c>
      <c r="K249" s="83"/>
      <c r="L249" s="83"/>
      <c r="M249" s="83"/>
      <c r="N249" s="724"/>
      <c r="O249" s="70">
        <f>AVERAGE(O248,J248,E248)</f>
        <v>81494.333333333328</v>
      </c>
      <c r="P249" s="688">
        <f ca="1">AVERAGE(P248,O248,J248)</f>
        <v>129470.84751646816</v>
      </c>
      <c r="Q249" s="688">
        <f ca="1">AVERAGE(O248:Q248)</f>
        <v>165899.12622620887</v>
      </c>
      <c r="R249" s="688">
        <f t="shared" ref="R249:Y249" ca="1" si="431">AVERAGE(P248:R248)</f>
        <v>247660.04730055094</v>
      </c>
      <c r="S249" s="688">
        <f t="shared" ca="1" si="431"/>
        <v>342210.58076043607</v>
      </c>
      <c r="T249" s="688">
        <f t="shared" ca="1" si="431"/>
        <v>442043.91115932493</v>
      </c>
      <c r="U249" s="688">
        <f t="shared" ca="1" si="431"/>
        <v>536566.86891650909</v>
      </c>
      <c r="V249" s="688">
        <f t="shared" ca="1" si="431"/>
        <v>699174.26007933973</v>
      </c>
      <c r="W249" s="688">
        <f t="shared" ca="1" si="431"/>
        <v>989013.91505528567</v>
      </c>
      <c r="X249" s="688">
        <f t="shared" ca="1" si="431"/>
        <v>1448563.5901213854</v>
      </c>
      <c r="Y249" s="203">
        <f t="shared" ca="1" si="431"/>
        <v>2167573.8781265188</v>
      </c>
    </row>
    <row r="250" spans="2:29" ht="16.2" x14ac:dyDescent="0.35">
      <c r="B250" s="60"/>
      <c r="C250" s="62"/>
      <c r="D250" s="430"/>
      <c r="E250" s="200"/>
      <c r="F250" s="83"/>
      <c r="G250" s="83"/>
      <c r="H250" s="83"/>
      <c r="I250" s="724"/>
      <c r="J250" s="685"/>
      <c r="K250" s="83"/>
      <c r="L250" s="83"/>
      <c r="M250" s="83"/>
      <c r="N250" s="724"/>
      <c r="O250" s="7"/>
      <c r="P250" s="430"/>
      <c r="Q250" s="430"/>
      <c r="R250" s="430"/>
      <c r="S250" s="430"/>
      <c r="T250" s="430"/>
      <c r="U250" s="430"/>
      <c r="V250" s="430"/>
      <c r="W250" s="430"/>
      <c r="X250" s="430"/>
      <c r="Y250" s="200"/>
    </row>
    <row r="251" spans="2:29" ht="16.2" x14ac:dyDescent="0.35">
      <c r="B251" s="60" t="s">
        <v>462</v>
      </c>
      <c r="C251" s="62"/>
      <c r="D251" s="430"/>
      <c r="E251" s="683">
        <f>E113/E249</f>
        <v>0.28248933857046632</v>
      </c>
      <c r="F251" s="722"/>
      <c r="G251" s="722"/>
      <c r="H251" s="722"/>
      <c r="I251" s="725"/>
      <c r="J251" s="686">
        <f t="shared" ref="J251:Y251" si="432">J113/J249</f>
        <v>0.34159695987746069</v>
      </c>
      <c r="K251" s="722"/>
      <c r="L251" s="722"/>
      <c r="M251" s="722"/>
      <c r="N251" s="725"/>
      <c r="O251" s="684">
        <f t="shared" si="432"/>
        <v>0.27068835406179276</v>
      </c>
      <c r="P251" s="682">
        <f t="shared" ca="1" si="432"/>
        <v>0.20984159156247364</v>
      </c>
      <c r="Q251" s="682">
        <f t="shared" ca="1" si="432"/>
        <v>0.22636662166438379</v>
      </c>
      <c r="R251" s="682">
        <f t="shared" ca="1" si="432"/>
        <v>0.21476407248044932</v>
      </c>
      <c r="S251" s="682">
        <f t="shared" ca="1" si="432"/>
        <v>0.22640539749262192</v>
      </c>
      <c r="T251" s="682">
        <f t="shared" ca="1" si="432"/>
        <v>0.25417066306867497</v>
      </c>
      <c r="U251" s="682">
        <f t="shared" ca="1" si="432"/>
        <v>0.27970882812729991</v>
      </c>
      <c r="V251" s="682">
        <f t="shared" ca="1" si="432"/>
        <v>0.30327200063932236</v>
      </c>
      <c r="W251" s="682">
        <f t="shared" ca="1" si="432"/>
        <v>0.29774819340393005</v>
      </c>
      <c r="X251" s="682">
        <f t="shared" ca="1" si="432"/>
        <v>0.27802971437074425</v>
      </c>
      <c r="Y251" s="683">
        <f t="shared" ca="1" si="432"/>
        <v>0.25052202074822938</v>
      </c>
    </row>
    <row r="252" spans="2:29" x14ac:dyDescent="0.3">
      <c r="B252" s="6"/>
      <c r="C252" s="6"/>
    </row>
    <row r="253" spans="2:29" x14ac:dyDescent="0.3">
      <c r="B253" s="6"/>
      <c r="C253" s="6"/>
    </row>
    <row r="254" spans="2:29" x14ac:dyDescent="0.3">
      <c r="B254" s="6"/>
      <c r="C254" s="6"/>
    </row>
    <row r="255" spans="2:29" ht="16.2" x14ac:dyDescent="0.35">
      <c r="B255" s="11"/>
    </row>
    <row r="256" spans="2:29" x14ac:dyDescent="0.3">
      <c r="B256" s="10"/>
      <c r="M256" s="8"/>
    </row>
    <row r="257" spans="2:13" x14ac:dyDescent="0.3">
      <c r="B257" s="10"/>
      <c r="M257" s="8"/>
    </row>
  </sheetData>
  <mergeCells count="1">
    <mergeCell ref="B2:B3"/>
  </mergeCells>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990F5-40DB-4F6B-BACE-ACC3B67E0008}">
  <sheetPr>
    <pageSetUpPr autoPageBreaks="0"/>
  </sheetPr>
  <dimension ref="B2:Y61"/>
  <sheetViews>
    <sheetView showGridLines="0" zoomScale="60" zoomScaleNormal="60" workbookViewId="0">
      <pane xSplit="2" ySplit="3" topLeftCell="C4" activePane="bottomRight" state="frozen"/>
      <selection pane="topRight" activeCell="C1" sqref="C1"/>
      <selection pane="bottomLeft" activeCell="A4" sqref="A4"/>
      <selection pane="bottomRight" activeCell="K5" sqref="K5"/>
    </sheetView>
  </sheetViews>
  <sheetFormatPr defaultRowHeight="15.6" x14ac:dyDescent="0.3"/>
  <cols>
    <col min="1" max="1" width="8.88671875" style="1"/>
    <col min="2" max="2" width="50.44140625" style="1" bestFit="1" customWidth="1"/>
    <col min="3" max="10" width="12" style="1" customWidth="1"/>
    <col min="11" max="11" width="11.88671875" style="7" bestFit="1" customWidth="1"/>
    <col min="12" max="13" width="11.88671875" style="7" customWidth="1"/>
    <col min="14" max="14" width="11.88671875" style="1" customWidth="1"/>
    <col min="15" max="15" width="12" style="1" bestFit="1" customWidth="1"/>
    <col min="16" max="17" width="11.88671875" style="1" bestFit="1" customWidth="1"/>
    <col min="18" max="19" width="8.88671875" style="1"/>
    <col min="20" max="20" width="27.44140625" style="1" bestFit="1" customWidth="1"/>
    <col min="21" max="23" width="27.44140625" style="1" customWidth="1"/>
    <col min="24" max="24" width="11.88671875" style="1" bestFit="1" customWidth="1"/>
    <col min="25" max="25" width="8.88671875" style="1"/>
    <col min="26" max="26" width="10.5546875" style="1" bestFit="1" customWidth="1"/>
    <col min="27" max="16384" width="8.88671875" style="1"/>
  </cols>
  <sheetData>
    <row r="2" spans="2:18" ht="16.2" x14ac:dyDescent="0.35">
      <c r="B2" s="5" t="s">
        <v>137</v>
      </c>
    </row>
    <row r="3" spans="2:18" ht="16.2" x14ac:dyDescent="0.35">
      <c r="B3" s="5" t="s">
        <v>98</v>
      </c>
      <c r="C3" s="108">
        <v>43465</v>
      </c>
      <c r="D3" s="108">
        <v>43830</v>
      </c>
      <c r="E3" s="113">
        <v>44196</v>
      </c>
      <c r="F3" s="108">
        <v>44561</v>
      </c>
      <c r="G3" s="113">
        <v>44926</v>
      </c>
      <c r="H3" s="108">
        <v>45291</v>
      </c>
      <c r="I3" s="113">
        <v>45657</v>
      </c>
      <c r="J3" s="108">
        <v>46022</v>
      </c>
      <c r="K3" s="113">
        <v>46387</v>
      </c>
      <c r="L3" s="108">
        <v>46752</v>
      </c>
      <c r="M3" s="113">
        <v>47118</v>
      </c>
      <c r="N3" s="108">
        <v>47483</v>
      </c>
      <c r="O3" s="113">
        <v>47848</v>
      </c>
      <c r="P3" s="108">
        <v>48213</v>
      </c>
      <c r="Q3" s="113">
        <v>48579</v>
      </c>
      <c r="R3" s="112" t="s">
        <v>131</v>
      </c>
    </row>
    <row r="4" spans="2:18" x14ac:dyDescent="0.3">
      <c r="B4" s="100" t="s">
        <v>99</v>
      </c>
      <c r="C4" s="135">
        <v>226</v>
      </c>
      <c r="D4" s="135">
        <v>231</v>
      </c>
      <c r="E4" s="135">
        <v>282</v>
      </c>
      <c r="F4" s="135">
        <v>358</v>
      </c>
      <c r="G4" s="120">
        <f>F4*(1+G5)</f>
        <v>419.1471948416027</v>
      </c>
      <c r="H4" s="120">
        <f t="shared" ref="H4:Q4" si="0">G4*(1+H5)</f>
        <v>478.1640504776135</v>
      </c>
      <c r="I4" s="120">
        <f t="shared" si="0"/>
        <v>531.145688903718</v>
      </c>
      <c r="J4" s="120">
        <f t="shared" si="0"/>
        <v>574.06343983163731</v>
      </c>
      <c r="K4" s="120">
        <f t="shared" si="0"/>
        <v>603.22713712677307</v>
      </c>
      <c r="L4" s="120">
        <f t="shared" si="0"/>
        <v>615.77560088075415</v>
      </c>
      <c r="M4" s="120">
        <f t="shared" si="0"/>
        <v>615.77560088075415</v>
      </c>
      <c r="N4" s="120">
        <f t="shared" si="0"/>
        <v>615.77560088075415</v>
      </c>
      <c r="O4" s="120">
        <f t="shared" si="0"/>
        <v>615.77560088075415</v>
      </c>
      <c r="P4" s="120">
        <f t="shared" si="0"/>
        <v>615.77560088075415</v>
      </c>
      <c r="Q4" s="120">
        <f t="shared" si="0"/>
        <v>615.77560088075415</v>
      </c>
    </row>
    <row r="5" spans="2:18" ht="16.2" x14ac:dyDescent="0.35">
      <c r="B5" s="109" t="s">
        <v>86</v>
      </c>
      <c r="C5" s="137"/>
      <c r="D5" s="139">
        <f>(D4/C4)-1</f>
        <v>2.2123893805309658E-2</v>
      </c>
      <c r="E5" s="139">
        <f t="shared" ref="E5:F5" si="1">(E4/D4)-1</f>
        <v>0.22077922077922074</v>
      </c>
      <c r="F5" s="139">
        <f t="shared" si="1"/>
        <v>0.26950354609929073</v>
      </c>
      <c r="G5" s="138">
        <f>MIN(AVERAGE(D5:F5),F5)</f>
        <v>0.17080222022794037</v>
      </c>
      <c r="H5" s="138">
        <f>IF((G5+$R5)&gt;0,G5+$R5,0)</f>
        <v>0.14080222022794037</v>
      </c>
      <c r="I5" s="138">
        <f t="shared" ref="I5:Q5" si="2">IF((H5+$R5)&gt;0,H5+$R5,0)</f>
        <v>0.11080222022794037</v>
      </c>
      <c r="J5" s="138">
        <f t="shared" si="2"/>
        <v>8.0802220227940369E-2</v>
      </c>
      <c r="K5" s="138">
        <f t="shared" si="2"/>
        <v>5.080222022794037E-2</v>
      </c>
      <c r="L5" s="138">
        <f t="shared" si="2"/>
        <v>2.0802220227940371E-2</v>
      </c>
      <c r="M5" s="138">
        <f t="shared" si="2"/>
        <v>0</v>
      </c>
      <c r="N5" s="138">
        <f t="shared" si="2"/>
        <v>0</v>
      </c>
      <c r="O5" s="138">
        <f t="shared" si="2"/>
        <v>0</v>
      </c>
      <c r="P5" s="138">
        <f t="shared" si="2"/>
        <v>0</v>
      </c>
      <c r="Q5" s="138">
        <f t="shared" si="2"/>
        <v>0</v>
      </c>
      <c r="R5" s="141">
        <f>IF($G5&gt;0.4,-0.06,-0.03)</f>
        <v>-0.03</v>
      </c>
    </row>
    <row r="6" spans="2:18" x14ac:dyDescent="0.3">
      <c r="B6" s="1" t="s">
        <v>100</v>
      </c>
      <c r="C6" s="136">
        <v>72</v>
      </c>
      <c r="D6" s="136">
        <v>101</v>
      </c>
      <c r="E6" s="137">
        <v>148</v>
      </c>
      <c r="F6" s="136">
        <v>198</v>
      </c>
      <c r="G6" s="122">
        <f>F6*(1+G7)</f>
        <v>264.89189189189193</v>
      </c>
      <c r="H6" s="122">
        <f t="shared" ref="H6" si="3">G6*(1+H7)</f>
        <v>346.43563915266623</v>
      </c>
      <c r="I6" s="122">
        <f t="shared" ref="I6" si="4">H6*(1+I7)</f>
        <v>442.6885680848124</v>
      </c>
      <c r="J6" s="122">
        <f t="shared" ref="J6" si="5">I6*(1+J7)</f>
        <v>552.40354563448079</v>
      </c>
      <c r="K6" s="122">
        <f t="shared" ref="K6" si="6">J6*(1+K7)</f>
        <v>672.73793962945149</v>
      </c>
      <c r="L6" s="122">
        <f t="shared" ref="L6" si="7">K6*(1+L7)</f>
        <v>799.10357964092952</v>
      </c>
      <c r="M6" s="122">
        <f t="shared" ref="M6" si="8">L6*(1+M7)</f>
        <v>925.2323608599304</v>
      </c>
      <c r="N6" s="122">
        <f t="shared" ref="N6" si="9">M6*(1+N7)</f>
        <v>1043.5120653698621</v>
      </c>
      <c r="O6" s="122">
        <f t="shared" ref="O6" si="10">N6*(1+O7)</f>
        <v>1145.6070296033461</v>
      </c>
      <c r="P6" s="122">
        <f t="shared" ref="P6" si="11">O6*(1+P7)</f>
        <v>1223.3225335034651</v>
      </c>
      <c r="Q6" s="122">
        <f t="shared" ref="Q6" si="12">P6*(1+Q7)</f>
        <v>1269.6104131495422</v>
      </c>
    </row>
    <row r="7" spans="2:18" ht="16.2" x14ac:dyDescent="0.35">
      <c r="B7" s="109" t="s">
        <v>86</v>
      </c>
      <c r="C7" s="137"/>
      <c r="D7" s="139">
        <f>(D6/C6)-1</f>
        <v>0.40277777777777768</v>
      </c>
      <c r="E7" s="139">
        <f t="shared" ref="E7" si="13">(E6/D6)-1</f>
        <v>0.46534653465346532</v>
      </c>
      <c r="F7" s="139">
        <f t="shared" ref="F7" si="14">(F6/E6)-1</f>
        <v>0.33783783783783794</v>
      </c>
      <c r="G7" s="138">
        <f>MIN(AVERAGE(D7:F7),F7)</f>
        <v>0.33783783783783794</v>
      </c>
      <c r="H7" s="138">
        <f t="shared" ref="H7:Q7" si="15">IF((G7+$R7)&gt;0,G7+$R7,0)</f>
        <v>0.30783783783783791</v>
      </c>
      <c r="I7" s="138">
        <f t="shared" si="15"/>
        <v>0.27783783783783789</v>
      </c>
      <c r="J7" s="138">
        <f t="shared" si="15"/>
        <v>0.24783783783783789</v>
      </c>
      <c r="K7" s="138">
        <f t="shared" si="15"/>
        <v>0.21783783783783789</v>
      </c>
      <c r="L7" s="138">
        <f t="shared" si="15"/>
        <v>0.18783783783783789</v>
      </c>
      <c r="M7" s="138">
        <f t="shared" si="15"/>
        <v>0.15783783783783789</v>
      </c>
      <c r="N7" s="138">
        <f t="shared" si="15"/>
        <v>0.12783783783783789</v>
      </c>
      <c r="O7" s="138">
        <f t="shared" si="15"/>
        <v>9.7837837837837893E-2</v>
      </c>
      <c r="P7" s="138">
        <f t="shared" si="15"/>
        <v>6.7837837837837894E-2</v>
      </c>
      <c r="Q7" s="138">
        <f t="shared" si="15"/>
        <v>3.7837837837837895E-2</v>
      </c>
      <c r="R7" s="141">
        <f>IF($G7&gt;0.4,-0.06,-0.03)</f>
        <v>-0.03</v>
      </c>
    </row>
    <row r="8" spans="2:18" x14ac:dyDescent="0.3">
      <c r="B8" s="1" t="s">
        <v>101</v>
      </c>
      <c r="C8" s="136">
        <v>19</v>
      </c>
      <c r="D8" s="136">
        <v>37</v>
      </c>
      <c r="E8" s="137">
        <v>77</v>
      </c>
      <c r="F8" s="136">
        <v>131</v>
      </c>
      <c r="G8" s="122">
        <f>F8*(1+G9)</f>
        <v>222.87012987012986</v>
      </c>
      <c r="H8" s="122">
        <f t="shared" ref="H8" si="16">G8*(1+H9)</f>
        <v>361.33905211671441</v>
      </c>
      <c r="I8" s="122">
        <f t="shared" ref="I8" si="17">H8*(1+I9)</f>
        <v>556.93141175599567</v>
      </c>
      <c r="J8" s="122">
        <f t="shared" ref="J8" si="18">I8*(1+J9)</f>
        <v>813.84314871148877</v>
      </c>
      <c r="K8" s="122">
        <f t="shared" ref="K8" si="19">J8*(1+K9)</f>
        <v>1124.1604843760254</v>
      </c>
      <c r="L8" s="122">
        <f t="shared" ref="L8" si="20">K8*(1+L9)</f>
        <v>1462.8685783698409</v>
      </c>
      <c r="M8" s="122">
        <f t="shared" ref="M8" si="21">L8*(1+M9)</f>
        <v>1786.5994949337642</v>
      </c>
      <c r="N8" s="122">
        <f t="shared" ref="N8" si="22">M8*(1+N9)</f>
        <v>2039.0436833088206</v>
      </c>
      <c r="O8" s="122">
        <f t="shared" ref="O8" si="23">N8*(1+O9)</f>
        <v>2164.0344129869718</v>
      </c>
      <c r="P8" s="122">
        <f t="shared" ref="P8" si="24">O8*(1+P9)</f>
        <v>2164.0344129869718</v>
      </c>
      <c r="Q8" s="122">
        <f t="shared" ref="Q8" si="25">P8*(1+Q9)</f>
        <v>2164.0344129869718</v>
      </c>
    </row>
    <row r="9" spans="2:18" ht="16.2" x14ac:dyDescent="0.35">
      <c r="B9" s="109" t="s">
        <v>86</v>
      </c>
      <c r="C9" s="137"/>
      <c r="D9" s="139">
        <f>(D8/C8)-1</f>
        <v>0.94736842105263164</v>
      </c>
      <c r="E9" s="139">
        <f t="shared" ref="E9" si="26">(E8/D8)-1</f>
        <v>1.0810810810810811</v>
      </c>
      <c r="F9" s="139">
        <f t="shared" ref="F9" si="27">(F8/E8)-1</f>
        <v>0.70129870129870131</v>
      </c>
      <c r="G9" s="138">
        <f>MIN(AVERAGE(D9:F9),F9)</f>
        <v>0.70129870129870131</v>
      </c>
      <c r="H9" s="138">
        <f t="shared" ref="H9:Q9" si="28">IF((G9+$R9)&gt;0,G9+$R9,0)</f>
        <v>0.62129870129870135</v>
      </c>
      <c r="I9" s="138">
        <f t="shared" si="28"/>
        <v>0.54129870129870139</v>
      </c>
      <c r="J9" s="138">
        <f t="shared" si="28"/>
        <v>0.46129870129870137</v>
      </c>
      <c r="K9" s="138">
        <f t="shared" si="28"/>
        <v>0.38129870129870136</v>
      </c>
      <c r="L9" s="138">
        <f t="shared" si="28"/>
        <v>0.30129870129870134</v>
      </c>
      <c r="M9" s="138">
        <f t="shared" si="28"/>
        <v>0.22129870129870133</v>
      </c>
      <c r="N9" s="138">
        <f t="shared" si="28"/>
        <v>0.14129870129870131</v>
      </c>
      <c r="O9" s="138">
        <f t="shared" si="28"/>
        <v>6.1298701298701311E-2</v>
      </c>
      <c r="P9" s="138">
        <f t="shared" si="28"/>
        <v>0</v>
      </c>
      <c r="Q9" s="138">
        <f t="shared" si="28"/>
        <v>0</v>
      </c>
      <c r="R9" s="141">
        <v>-0.08</v>
      </c>
    </row>
    <row r="10" spans="2:18" x14ac:dyDescent="0.3">
      <c r="B10" s="1" t="s">
        <v>102</v>
      </c>
      <c r="C10" s="136">
        <v>46</v>
      </c>
      <c r="D10" s="136">
        <v>60</v>
      </c>
      <c r="E10" s="137">
        <v>82</v>
      </c>
      <c r="F10" s="136">
        <v>115</v>
      </c>
      <c r="G10" s="122">
        <f>F10*(1+G11)</f>
        <v>156.14905149051489</v>
      </c>
      <c r="H10" s="122">
        <f t="shared" ref="H10" si="29">G10*(1+H11)</f>
        <v>207.33749611952342</v>
      </c>
      <c r="I10" s="122">
        <f t="shared" ref="I10" si="30">H10*(1+I11)</f>
        <v>269.08630116745383</v>
      </c>
      <c r="J10" s="122">
        <f t="shared" ref="J10" si="31">I10*(1+J11)</f>
        <v>341.15241286352864</v>
      </c>
      <c r="K10" s="122">
        <f t="shared" ref="K10" si="32">J10*(1+K11)</f>
        <v>422.28454247672903</v>
      </c>
      <c r="L10" s="122">
        <f t="shared" ref="L10" si="33">K10*(1+L11)</f>
        <v>510.04280355759749</v>
      </c>
      <c r="M10" s="122">
        <f t="shared" ref="M10" si="34">L10*(1+M11)</f>
        <v>600.73751270817047</v>
      </c>
      <c r="N10" s="122">
        <f t="shared" ref="N10" si="35">M10*(1+N11)</f>
        <v>689.53723367173598</v>
      </c>
      <c r="O10" s="122">
        <f t="shared" ref="O10" si="36">N10*(1+O11)</f>
        <v>770.7770204860451</v>
      </c>
      <c r="P10" s="122">
        <f t="shared" ref="P10" si="37">O10*(1+P11)</f>
        <v>838.46499281295144</v>
      </c>
      <c r="Q10" s="122">
        <f t="shared" ref="Q10" si="38">P10*(1+Q11)</f>
        <v>886.94322681475592</v>
      </c>
    </row>
    <row r="11" spans="2:18" ht="16.2" x14ac:dyDescent="0.35">
      <c r="B11" s="109" t="s">
        <v>86</v>
      </c>
      <c r="C11" s="137"/>
      <c r="D11" s="139">
        <f>(D10/C10)-1</f>
        <v>0.30434782608695654</v>
      </c>
      <c r="E11" s="139">
        <f t="shared" ref="E11" si="39">(E10/D10)-1</f>
        <v>0.3666666666666667</v>
      </c>
      <c r="F11" s="139">
        <f t="shared" ref="F11" si="40">(F10/E10)-1</f>
        <v>0.40243902439024382</v>
      </c>
      <c r="G11" s="138">
        <f>MIN(AVERAGE(D11:F11),F11)</f>
        <v>0.35781783904795567</v>
      </c>
      <c r="H11" s="138">
        <f t="shared" ref="H11:Q11" si="41">IF((G11+$R11)&gt;0,G11+$R11,0)</f>
        <v>0.32781783904795569</v>
      </c>
      <c r="I11" s="138">
        <f t="shared" si="41"/>
        <v>0.29781783904795567</v>
      </c>
      <c r="J11" s="138">
        <f t="shared" si="41"/>
        <v>0.26781783904795564</v>
      </c>
      <c r="K11" s="138">
        <f t="shared" si="41"/>
        <v>0.23781783904795564</v>
      </c>
      <c r="L11" s="138">
        <f t="shared" si="41"/>
        <v>0.20781783904795564</v>
      </c>
      <c r="M11" s="138">
        <f t="shared" si="41"/>
        <v>0.17781783904795564</v>
      </c>
      <c r="N11" s="138">
        <f t="shared" si="41"/>
        <v>0.14781783904795565</v>
      </c>
      <c r="O11" s="138">
        <f t="shared" si="41"/>
        <v>0.11781783904795565</v>
      </c>
      <c r="P11" s="138">
        <f t="shared" si="41"/>
        <v>8.7817839047955648E-2</v>
      </c>
      <c r="Q11" s="138">
        <f t="shared" si="41"/>
        <v>5.7817839047955649E-2</v>
      </c>
      <c r="R11" s="141">
        <f>IF($G11&gt;0.4,-0.06,-0.03)</f>
        <v>-0.03</v>
      </c>
    </row>
    <row r="12" spans="2:18" x14ac:dyDescent="0.3">
      <c r="B12" s="1" t="s">
        <v>103</v>
      </c>
      <c r="C12" s="136">
        <v>48</v>
      </c>
      <c r="D12" s="136">
        <v>63</v>
      </c>
      <c r="E12" s="137">
        <v>76</v>
      </c>
      <c r="F12" s="136">
        <v>96</v>
      </c>
      <c r="G12" s="122">
        <f>F12*(1+G13)</f>
        <v>121.02422723475354</v>
      </c>
      <c r="H12" s="122">
        <f t="shared" ref="H12" si="42">G12*(1+H13)</f>
        <v>148.94076878472052</v>
      </c>
      <c r="I12" s="122">
        <f t="shared" ref="I12" si="43">H12*(1+I13)</f>
        <v>178.82856893459285</v>
      </c>
      <c r="J12" s="122">
        <f t="shared" ref="J12" si="44">I12*(1+J13)</f>
        <v>209.34906799178199</v>
      </c>
      <c r="K12" s="122">
        <f t="shared" ref="K12" si="45">J12*(1+K13)</f>
        <v>238.797999091208</v>
      </c>
      <c r="L12" s="122">
        <f t="shared" ref="L12" si="46">K12*(1+L13)</f>
        <v>265.22554289901495</v>
      </c>
      <c r="M12" s="122">
        <f t="shared" ref="M12" si="47">L12*(1+M13)</f>
        <v>286.62103115600297</v>
      </c>
      <c r="N12" s="122">
        <f t="shared" ref="N12" si="48">M12*(1+N13)</f>
        <v>301.14384184144228</v>
      </c>
      <c r="O12" s="122">
        <f t="shared" ref="O12" si="49">N12*(1+O13)</f>
        <v>307.36819405561005</v>
      </c>
      <c r="P12" s="122">
        <f t="shared" ref="P12" si="50">O12*(1+P13)</f>
        <v>307.36819405561005</v>
      </c>
      <c r="Q12" s="122">
        <f t="shared" ref="Q12" si="51">P12*(1+Q13)</f>
        <v>307.36819405561005</v>
      </c>
    </row>
    <row r="13" spans="2:18" ht="16.2" x14ac:dyDescent="0.35">
      <c r="B13" s="109" t="s">
        <v>86</v>
      </c>
      <c r="C13" s="137"/>
      <c r="D13" s="139">
        <f>(D12/C12)-1</f>
        <v>0.3125</v>
      </c>
      <c r="E13" s="139">
        <f t="shared" ref="E13" si="52">(E12/D12)-1</f>
        <v>0.20634920634920628</v>
      </c>
      <c r="F13" s="139">
        <f t="shared" ref="F13" si="53">(F12/E12)-1</f>
        <v>0.26315789473684204</v>
      </c>
      <c r="G13" s="138">
        <f>MIN(AVERAGE(D13:F13),F13)</f>
        <v>0.26066903369534944</v>
      </c>
      <c r="H13" s="138">
        <f t="shared" ref="H13:Q13" si="54">IF((G13+$R13)&gt;0,G13+$R13,0)</f>
        <v>0.23066903369534944</v>
      </c>
      <c r="I13" s="138">
        <f t="shared" si="54"/>
        <v>0.20066903369534944</v>
      </c>
      <c r="J13" s="138">
        <f t="shared" si="54"/>
        <v>0.17066903369534944</v>
      </c>
      <c r="K13" s="138">
        <f t="shared" si="54"/>
        <v>0.14066903369534944</v>
      </c>
      <c r="L13" s="138">
        <f t="shared" si="54"/>
        <v>0.11066903369534944</v>
      </c>
      <c r="M13" s="138">
        <f t="shared" si="54"/>
        <v>8.0669033695349446E-2</v>
      </c>
      <c r="N13" s="138">
        <f t="shared" si="54"/>
        <v>5.0669033695349447E-2</v>
      </c>
      <c r="O13" s="138">
        <f t="shared" si="54"/>
        <v>2.0669033695349448E-2</v>
      </c>
      <c r="P13" s="138">
        <f t="shared" si="54"/>
        <v>0</v>
      </c>
      <c r="Q13" s="138">
        <f t="shared" si="54"/>
        <v>0</v>
      </c>
      <c r="R13" s="141">
        <f>IF($G13&gt;0.4,-0.06,-0.03)</f>
        <v>-0.03</v>
      </c>
    </row>
    <row r="14" spans="2:18" x14ac:dyDescent="0.3">
      <c r="B14" s="1" t="s">
        <v>104</v>
      </c>
      <c r="C14" s="136">
        <v>35</v>
      </c>
      <c r="D14" s="136">
        <v>46</v>
      </c>
      <c r="E14" s="137">
        <v>69</v>
      </c>
      <c r="F14" s="136">
        <v>88</v>
      </c>
      <c r="G14" s="122">
        <f>F14*(1+G15)</f>
        <v>112.231884057971</v>
      </c>
      <c r="H14" s="122">
        <f t="shared" ref="H14" si="55">G14*(1+H15)</f>
        <v>139.76935937828185</v>
      </c>
      <c r="I14" s="122">
        <f t="shared" ref="I14" si="56">H14*(1+I15)</f>
        <v>169.87041271685092</v>
      </c>
      <c r="J14" s="122">
        <f t="shared" ref="J14" si="57">I14*(1+J15)</f>
        <v>201.35798632045268</v>
      </c>
      <c r="K14" s="122">
        <f t="shared" ref="K14" si="58">J14*(1+K15)</f>
        <v>232.64142999226789</v>
      </c>
      <c r="L14" s="122">
        <f t="shared" ref="L14" si="59">K14*(1+L15)</f>
        <v>261.80589911448698</v>
      </c>
      <c r="M14" s="122">
        <f t="shared" ref="M14" si="60">L14*(1+M15)</f>
        <v>286.77231674018731</v>
      </c>
      <c r="N14" s="122">
        <f t="shared" ref="N14" si="61">M14*(1+N15)</f>
        <v>305.51642034161114</v>
      </c>
      <c r="O14" s="122">
        <f t="shared" ref="O14" si="62">N14*(1+O15)</f>
        <v>316.32018940876372</v>
      </c>
      <c r="P14" s="122">
        <f t="shared" ref="P14" si="63">O14*(1+P15)</f>
        <v>318.01639912008602</v>
      </c>
      <c r="Q14" s="122">
        <f t="shared" ref="Q14" si="64">P14*(1+Q15)</f>
        <v>318.01639912008602</v>
      </c>
    </row>
    <row r="15" spans="2:18" ht="16.2" x14ac:dyDescent="0.35">
      <c r="B15" s="109" t="s">
        <v>86</v>
      </c>
      <c r="C15" s="137"/>
      <c r="D15" s="139">
        <f>(D14/C14)-1</f>
        <v>0.31428571428571428</v>
      </c>
      <c r="E15" s="139">
        <f t="shared" ref="E15" si="65">(E14/D14)-1</f>
        <v>0.5</v>
      </c>
      <c r="F15" s="139">
        <f t="shared" ref="F15" si="66">(F14/E14)-1</f>
        <v>0.2753623188405796</v>
      </c>
      <c r="G15" s="138">
        <f>MIN(AVERAGE(D15:F15),F15)</f>
        <v>0.2753623188405796</v>
      </c>
      <c r="H15" s="138">
        <f t="shared" ref="H15:Q15" si="67">IF((G15+$R15)&gt;0,G15+$R15,0)</f>
        <v>0.2453623188405796</v>
      </c>
      <c r="I15" s="138">
        <f t="shared" si="67"/>
        <v>0.2153623188405796</v>
      </c>
      <c r="J15" s="138">
        <f t="shared" si="67"/>
        <v>0.1853623188405796</v>
      </c>
      <c r="K15" s="138">
        <f t="shared" si="67"/>
        <v>0.15536231884057961</v>
      </c>
      <c r="L15" s="138">
        <f t="shared" si="67"/>
        <v>0.12536231884057961</v>
      </c>
      <c r="M15" s="138">
        <f t="shared" si="67"/>
        <v>9.5362318840579607E-2</v>
      </c>
      <c r="N15" s="138">
        <f t="shared" si="67"/>
        <v>6.5362318840579609E-2</v>
      </c>
      <c r="O15" s="138">
        <f t="shared" si="67"/>
        <v>3.536231884057961E-2</v>
      </c>
      <c r="P15" s="138">
        <f t="shared" si="67"/>
        <v>5.3623188405796107E-3</v>
      </c>
      <c r="Q15" s="138">
        <f t="shared" si="67"/>
        <v>0</v>
      </c>
      <c r="R15" s="141">
        <f>IF($G15&gt;0.4,-0.06,-0.03)</f>
        <v>-0.03</v>
      </c>
    </row>
    <row r="16" spans="2:18" x14ac:dyDescent="0.3">
      <c r="B16" s="1" t="s">
        <v>105</v>
      </c>
      <c r="C16" s="136">
        <v>40</v>
      </c>
      <c r="D16" s="136">
        <v>45</v>
      </c>
      <c r="E16" s="137">
        <v>67</v>
      </c>
      <c r="F16" s="136">
        <v>88</v>
      </c>
      <c r="G16" s="122">
        <f>F16*(1+G17)</f>
        <v>115.20143725815367</v>
      </c>
      <c r="H16" s="122">
        <f t="shared" ref="H16" si="68">G16*(1+H17)</f>
        <v>147.35499263616811</v>
      </c>
      <c r="I16" s="122">
        <f t="shared" ref="I16" si="69">H16*(1+I17)</f>
        <v>184.06218838332103</v>
      </c>
      <c r="J16" s="122">
        <f t="shared" ref="J16" si="70">I16*(1+J17)</f>
        <v>224.39154675731498</v>
      </c>
      <c r="K16" s="122">
        <f t="shared" ref="K16" si="71">J16*(1+K17)</f>
        <v>266.82561319620038</v>
      </c>
      <c r="L16" s="122">
        <f t="shared" ref="L16" si="72">K16*(1+L17)</f>
        <v>309.27950049205242</v>
      </c>
      <c r="M16" s="122">
        <f t="shared" ref="M16" si="73">L16*(1+M17)</f>
        <v>349.20972367470654</v>
      </c>
      <c r="N16" s="122">
        <f t="shared" ref="N16" si="74">M16*(1+N17)</f>
        <v>383.81893611750354</v>
      </c>
      <c r="O16" s="122">
        <f t="shared" ref="O16" si="75">N16*(1+O17)</f>
        <v>410.34360405488866</v>
      </c>
      <c r="P16" s="122">
        <f t="shared" ref="P16" si="76">O16*(1+P17)</f>
        <v>426.3910105053381</v>
      </c>
      <c r="Q16" s="122">
        <f t="shared" ref="Q16" si="77">P16*(1+Q17)</f>
        <v>430.27425644125606</v>
      </c>
    </row>
    <row r="17" spans="2:18" ht="16.2" x14ac:dyDescent="0.35">
      <c r="B17" s="109" t="s">
        <v>86</v>
      </c>
      <c r="C17" s="137"/>
      <c r="D17" s="139">
        <f>(D16/C16)-1</f>
        <v>0.125</v>
      </c>
      <c r="E17" s="139">
        <f t="shared" ref="E17" si="78">(E16/D16)-1</f>
        <v>0.48888888888888893</v>
      </c>
      <c r="F17" s="139">
        <f t="shared" ref="F17" si="79">(F16/E16)-1</f>
        <v>0.31343283582089554</v>
      </c>
      <c r="G17" s="138">
        <f>MIN(AVERAGE(D17:F17),F17)</f>
        <v>0.30910724156992814</v>
      </c>
      <c r="H17" s="138">
        <f t="shared" ref="H17:Q17" si="80">IF((G17+$R17)&gt;0,G17+$R17,0)</f>
        <v>0.27910724156992817</v>
      </c>
      <c r="I17" s="138">
        <f t="shared" si="80"/>
        <v>0.24910724156992817</v>
      </c>
      <c r="J17" s="138">
        <f t="shared" si="80"/>
        <v>0.21910724156992817</v>
      </c>
      <c r="K17" s="138">
        <f t="shared" si="80"/>
        <v>0.18910724156992817</v>
      </c>
      <c r="L17" s="138">
        <f t="shared" si="80"/>
        <v>0.15910724156992817</v>
      </c>
      <c r="M17" s="138">
        <f t="shared" si="80"/>
        <v>0.12910724156992817</v>
      </c>
      <c r="N17" s="138">
        <f t="shared" si="80"/>
        <v>9.9107241569928173E-2</v>
      </c>
      <c r="O17" s="138">
        <f t="shared" si="80"/>
        <v>6.9107241569928174E-2</v>
      </c>
      <c r="P17" s="138">
        <f t="shared" si="80"/>
        <v>3.9107241569928175E-2</v>
      </c>
      <c r="Q17" s="138">
        <f t="shared" si="80"/>
        <v>9.1072415699281761E-3</v>
      </c>
      <c r="R17" s="141">
        <f>IF($G17&gt;0.4,-0.06,-0.03)</f>
        <v>-0.03</v>
      </c>
    </row>
    <row r="18" spans="2:18" x14ac:dyDescent="0.3">
      <c r="B18" s="1" t="s">
        <v>106</v>
      </c>
      <c r="C18" s="136"/>
      <c r="D18" s="136">
        <v>37</v>
      </c>
      <c r="E18" s="137">
        <v>58</v>
      </c>
      <c r="F18" s="136">
        <v>88</v>
      </c>
      <c r="G18" s="122">
        <f>F18*(1+G19)</f>
        <v>133.51724137931035</v>
      </c>
      <c r="H18" s="122">
        <f t="shared" ref="H18" si="81">G18*(1+H19)</f>
        <v>194.56684898929845</v>
      </c>
      <c r="I18" s="122">
        <f t="shared" ref="I18" si="82">H18*(1+I19)</f>
        <v>271.85685244987491</v>
      </c>
      <c r="J18" s="122">
        <f t="shared" ref="J18" si="83">I18*(1+J19)</f>
        <v>363.5382323450396</v>
      </c>
      <c r="K18" s="122">
        <f t="shared" ref="K18" si="84">J18*(1+K19)</f>
        <v>464.32607331242298</v>
      </c>
      <c r="L18" s="122">
        <f t="shared" ref="L18" si="85">K18*(1+L19)</f>
        <v>565.19690992856999</v>
      </c>
      <c r="M18" s="122">
        <f t="shared" ref="M18" si="86">L18*(1+M19)</f>
        <v>654.06925162768312</v>
      </c>
      <c r="N18" s="122">
        <f t="shared" ref="N18" si="87">M18*(1+N19)</f>
        <v>717.67184782044399</v>
      </c>
      <c r="O18" s="122">
        <f t="shared" ref="O18" si="88">N18*(1+O19)</f>
        <v>744.39893732548114</v>
      </c>
      <c r="P18" s="122">
        <f t="shared" ref="P18" si="89">O18*(1+P19)</f>
        <v>744.39893732548114</v>
      </c>
      <c r="Q18" s="122">
        <f t="shared" ref="Q18" si="90">P18*(1+Q19)</f>
        <v>744.39893732548114</v>
      </c>
    </row>
    <row r="19" spans="2:18" ht="16.2" x14ac:dyDescent="0.35">
      <c r="B19" s="109" t="s">
        <v>86</v>
      </c>
      <c r="C19" s="137"/>
      <c r="D19" s="139"/>
      <c r="E19" s="139">
        <f t="shared" ref="E19" si="91">(E18/D18)-1</f>
        <v>0.56756756756756754</v>
      </c>
      <c r="F19" s="139">
        <f t="shared" ref="F19" si="92">(F18/E18)-1</f>
        <v>0.51724137931034475</v>
      </c>
      <c r="G19" s="138">
        <f>MIN(AVERAGE(D19:F19),F19)</f>
        <v>0.51724137931034475</v>
      </c>
      <c r="H19" s="138">
        <f t="shared" ref="H19:Q19" si="93">IF((G19+$R19)&gt;0,G19+$R19,0)</f>
        <v>0.45724137931034475</v>
      </c>
      <c r="I19" s="138">
        <f t="shared" si="93"/>
        <v>0.39724137931034476</v>
      </c>
      <c r="J19" s="138">
        <f t="shared" si="93"/>
        <v>0.33724137931034476</v>
      </c>
      <c r="K19" s="138">
        <f t="shared" si="93"/>
        <v>0.27724137931034476</v>
      </c>
      <c r="L19" s="138">
        <f t="shared" si="93"/>
        <v>0.21724137931034476</v>
      </c>
      <c r="M19" s="138">
        <f t="shared" si="93"/>
        <v>0.15724137931034476</v>
      </c>
      <c r="N19" s="138">
        <f t="shared" si="93"/>
        <v>9.7241379310344767E-2</v>
      </c>
      <c r="O19" s="138">
        <f t="shared" si="93"/>
        <v>3.7241379310344769E-2</v>
      </c>
      <c r="P19" s="138">
        <f t="shared" si="93"/>
        <v>0</v>
      </c>
      <c r="Q19" s="138">
        <f t="shared" si="93"/>
        <v>0</v>
      </c>
      <c r="R19" s="141">
        <f>IF($G19&gt;0.4,-0.06,-0.03)</f>
        <v>-0.06</v>
      </c>
    </row>
    <row r="20" spans="2:18" x14ac:dyDescent="0.3">
      <c r="B20" s="1" t="s">
        <v>107</v>
      </c>
      <c r="C20" s="136">
        <v>13</v>
      </c>
      <c r="D20" s="136"/>
      <c r="E20" s="137">
        <v>58</v>
      </c>
      <c r="F20" s="136">
        <v>77</v>
      </c>
      <c r="G20" s="122">
        <f>F20*(1+G21)</f>
        <v>102.22413793103449</v>
      </c>
      <c r="H20" s="122">
        <f t="shared" ref="H20" si="94">G20*(1+H21)</f>
        <v>132.64463139120096</v>
      </c>
      <c r="I20" s="122">
        <f t="shared" ref="I20" si="95">H20*(1+I21)</f>
        <v>168.13850517036371</v>
      </c>
      <c r="J20" s="122">
        <f t="shared" ref="J20" si="96">I20*(1+J21)</f>
        <v>208.08589484704669</v>
      </c>
      <c r="K20" s="122">
        <f t="shared" ref="K20" si="97">J20*(1+K21)</f>
        <v>251.28165646701981</v>
      </c>
      <c r="L20" s="122">
        <f t="shared" ref="L20" si="98">K20*(1+L21)</f>
        <v>295.90581270168025</v>
      </c>
      <c r="M20" s="122">
        <f t="shared" ref="M20" si="99">L20*(1+M21)</f>
        <v>339.57742919696278</v>
      </c>
      <c r="N20" s="122">
        <f t="shared" ref="N20" si="100">M20*(1+N21)</f>
        <v>379.50705104391602</v>
      </c>
      <c r="O20" s="122">
        <f t="shared" ref="O20" si="101">N20*(1+O21)</f>
        <v>412.7466341353487</v>
      </c>
      <c r="P20" s="122">
        <f t="shared" ref="P20" si="102">O20*(1+P21)</f>
        <v>436.51514720452224</v>
      </c>
      <c r="Q20" s="122">
        <f t="shared" ref="Q20" si="103">P20*(1+Q21)</f>
        <v>448.55694436878497</v>
      </c>
    </row>
    <row r="21" spans="2:18" ht="16.2" x14ac:dyDescent="0.35">
      <c r="B21" s="109" t="s">
        <v>86</v>
      </c>
      <c r="C21" s="137"/>
      <c r="D21" s="139"/>
      <c r="E21" s="139"/>
      <c r="F21" s="139">
        <f t="shared" ref="F21" si="104">(F20/E20)-1</f>
        <v>0.32758620689655182</v>
      </c>
      <c r="G21" s="138">
        <f>MIN(AVERAGE(D21:F21),F21)</f>
        <v>0.32758620689655182</v>
      </c>
      <c r="H21" s="138">
        <f t="shared" ref="H21:Q21" si="105">IF((G21+$R21)&gt;0,G21+$R21,0)</f>
        <v>0.2975862068965518</v>
      </c>
      <c r="I21" s="138">
        <f t="shared" si="105"/>
        <v>0.26758620689655177</v>
      </c>
      <c r="J21" s="138">
        <f t="shared" si="105"/>
        <v>0.23758620689655177</v>
      </c>
      <c r="K21" s="138">
        <f t="shared" si="105"/>
        <v>0.20758620689655177</v>
      </c>
      <c r="L21" s="138">
        <f t="shared" si="105"/>
        <v>0.17758620689655177</v>
      </c>
      <c r="M21" s="138">
        <f t="shared" si="105"/>
        <v>0.14758620689655177</v>
      </c>
      <c r="N21" s="138">
        <f t="shared" si="105"/>
        <v>0.11758620689655178</v>
      </c>
      <c r="O21" s="138">
        <f t="shared" si="105"/>
        <v>8.7586206896551777E-2</v>
      </c>
      <c r="P21" s="138">
        <f t="shared" si="105"/>
        <v>5.7586206896551778E-2</v>
      </c>
      <c r="Q21" s="138">
        <f t="shared" si="105"/>
        <v>2.7586206896551779E-2</v>
      </c>
      <c r="R21" s="141">
        <f>IF($G21&gt;0.4,-0.06,-0.03)</f>
        <v>-0.03</v>
      </c>
    </row>
    <row r="22" spans="2:18" x14ac:dyDescent="0.3">
      <c r="B22" s="1" t="s">
        <v>108</v>
      </c>
      <c r="C22" s="136">
        <v>26</v>
      </c>
      <c r="D22" s="136">
        <v>34</v>
      </c>
      <c r="E22" s="137">
        <v>46</v>
      </c>
      <c r="F22" s="136">
        <v>61</v>
      </c>
      <c r="G22" s="122">
        <f>F22*(1+G23)</f>
        <v>80.891304347826079</v>
      </c>
      <c r="H22" s="122">
        <f t="shared" ref="H22" si="106">G22*(1+H23)</f>
        <v>104.84216446124762</v>
      </c>
      <c r="I22" s="122">
        <f t="shared" ref="I22" si="107">H22*(1+I23)</f>
        <v>132.73929691789263</v>
      </c>
      <c r="J22" s="122">
        <f t="shared" ref="J22" si="108">I22*(1+J23)</f>
        <v>164.07731353807335</v>
      </c>
      <c r="K22" s="122">
        <f t="shared" ref="K22" si="109">J22*(1+K23)</f>
        <v>197.89150771939799</v>
      </c>
      <c r="L22" s="122">
        <f t="shared" ref="L22" si="110">K22*(1+L23)</f>
        <v>232.737621035205</v>
      </c>
      <c r="M22" s="122">
        <f t="shared" ref="M22" si="111">L22*(1+M23)</f>
        <v>266.73755176034797</v>
      </c>
      <c r="N22" s="122">
        <f t="shared" ref="N22" si="112">M22*(1+N23)</f>
        <v>297.70230233426662</v>
      </c>
      <c r="O22" s="122">
        <f t="shared" ref="O22" si="113">N22*(1+O23)</f>
        <v>323.33058749173824</v>
      </c>
      <c r="P22" s="122">
        <f t="shared" ref="P22" si="114">O22*(1+P23)</f>
        <v>341.46521609453572</v>
      </c>
      <c r="Q22" s="122">
        <f t="shared" ref="Q22" si="115">P22*(1+Q23)</f>
        <v>350.37300434048007</v>
      </c>
    </row>
    <row r="23" spans="2:18" ht="16.2" x14ac:dyDescent="0.35">
      <c r="B23" s="109" t="s">
        <v>86</v>
      </c>
      <c r="C23" s="137"/>
      <c r="D23" s="139">
        <f>(D22/C22)-1</f>
        <v>0.30769230769230771</v>
      </c>
      <c r="E23" s="139">
        <f t="shared" ref="E23" si="116">(E22/D22)-1</f>
        <v>0.35294117647058831</v>
      </c>
      <c r="F23" s="139">
        <f t="shared" ref="F23" si="117">(F22/E22)-1</f>
        <v>0.32608695652173902</v>
      </c>
      <c r="G23" s="138">
        <f>MIN(AVERAGE(D23:F23),F23)</f>
        <v>0.32608695652173902</v>
      </c>
      <c r="H23" s="138">
        <f t="shared" ref="H23:Q23" si="118">IF((G23+$R23)&gt;0,G23+$R23,0)</f>
        <v>0.296086956521739</v>
      </c>
      <c r="I23" s="138">
        <f t="shared" si="118"/>
        <v>0.26608695652173897</v>
      </c>
      <c r="J23" s="138">
        <f t="shared" si="118"/>
        <v>0.23608695652173897</v>
      </c>
      <c r="K23" s="138">
        <f t="shared" si="118"/>
        <v>0.20608695652173897</v>
      </c>
      <c r="L23" s="138">
        <f t="shared" si="118"/>
        <v>0.17608695652173897</v>
      </c>
      <c r="M23" s="138">
        <f t="shared" si="118"/>
        <v>0.14608695652173898</v>
      </c>
      <c r="N23" s="138">
        <f t="shared" si="118"/>
        <v>0.11608695652173898</v>
      </c>
      <c r="O23" s="138">
        <f t="shared" si="118"/>
        <v>8.6086956521738978E-2</v>
      </c>
      <c r="P23" s="138">
        <f t="shared" si="118"/>
        <v>5.6086956521738979E-2</v>
      </c>
      <c r="Q23" s="138">
        <f t="shared" si="118"/>
        <v>2.608695652173898E-2</v>
      </c>
      <c r="R23" s="141">
        <f>IF($G23&gt;0.4,-0.06,-0.03)</f>
        <v>-0.03</v>
      </c>
    </row>
    <row r="24" spans="2:18" x14ac:dyDescent="0.3">
      <c r="B24" s="1" t="s">
        <v>109</v>
      </c>
      <c r="C24" s="136">
        <v>15</v>
      </c>
      <c r="D24" s="136">
        <v>27</v>
      </c>
      <c r="E24" s="137">
        <v>42</v>
      </c>
      <c r="F24" s="136">
        <v>59</v>
      </c>
      <c r="G24" s="122">
        <f>F24*(1+G25)</f>
        <v>82.88095238095238</v>
      </c>
      <c r="H24" s="122">
        <f t="shared" ref="H24" si="119">G24*(1+H25)</f>
        <v>111.45514739229023</v>
      </c>
      <c r="I24" s="122">
        <f t="shared" ref="I24" si="120">H24*(1+I25)</f>
        <v>143.19332745923762</v>
      </c>
      <c r="J24" s="122">
        <f t="shared" ref="J24" si="121">I24*(1+J25)</f>
        <v>175.37773248817103</v>
      </c>
      <c r="K24" s="122">
        <f t="shared" ref="K24" si="122">J24*(1+K25)</f>
        <v>204.27330174574587</v>
      </c>
      <c r="L24" s="122">
        <f t="shared" ref="L24" si="123">K24*(1+L25)</f>
        <v>225.67336192863351</v>
      </c>
      <c r="M24" s="122">
        <f t="shared" ref="M24" si="124">L24*(1+M25)</f>
        <v>235.77493146258186</v>
      </c>
      <c r="N24" s="122">
        <f t="shared" ref="N24" si="125">M24*(1+N25)</f>
        <v>235.77493146258186</v>
      </c>
      <c r="O24" s="122">
        <f t="shared" ref="O24" si="126">N24*(1+O25)</f>
        <v>235.77493146258186</v>
      </c>
      <c r="P24" s="122">
        <f t="shared" ref="P24" si="127">O24*(1+P25)</f>
        <v>235.77493146258186</v>
      </c>
      <c r="Q24" s="122">
        <f t="shared" ref="Q24" si="128">P24*(1+Q25)</f>
        <v>235.77493146258186</v>
      </c>
    </row>
    <row r="25" spans="2:18" ht="16.2" x14ac:dyDescent="0.35">
      <c r="B25" s="109" t="s">
        <v>86</v>
      </c>
      <c r="C25" s="137"/>
      <c r="D25" s="139">
        <f>(D24/C24)-1</f>
        <v>0.8</v>
      </c>
      <c r="E25" s="139">
        <f t="shared" ref="E25" si="129">(E24/D24)-1</f>
        <v>0.55555555555555558</v>
      </c>
      <c r="F25" s="139">
        <f t="shared" ref="F25" si="130">(F24/E24)-1</f>
        <v>0.40476190476190466</v>
      </c>
      <c r="G25" s="138">
        <f>MIN(AVERAGE(D25:F25),F25)</f>
        <v>0.40476190476190466</v>
      </c>
      <c r="H25" s="138">
        <f t="shared" ref="H25:Q25" si="131">IF((G25+$R25)&gt;0,G25+$R25,0)</f>
        <v>0.34476190476190466</v>
      </c>
      <c r="I25" s="138">
        <f t="shared" si="131"/>
        <v>0.28476190476190466</v>
      </c>
      <c r="J25" s="138">
        <f t="shared" si="131"/>
        <v>0.22476190476190466</v>
      </c>
      <c r="K25" s="138">
        <f t="shared" si="131"/>
        <v>0.16476190476190467</v>
      </c>
      <c r="L25" s="138">
        <f t="shared" si="131"/>
        <v>0.10476190476190467</v>
      </c>
      <c r="M25" s="138">
        <f t="shared" si="131"/>
        <v>4.4761904761904669E-2</v>
      </c>
      <c r="N25" s="138">
        <f t="shared" si="131"/>
        <v>0</v>
      </c>
      <c r="O25" s="138">
        <f t="shared" si="131"/>
        <v>0</v>
      </c>
      <c r="P25" s="138">
        <f t="shared" si="131"/>
        <v>0</v>
      </c>
      <c r="Q25" s="138">
        <f t="shared" si="131"/>
        <v>0</v>
      </c>
      <c r="R25" s="141">
        <f>IF($G25&gt;0.4,-0.06,-0.03)</f>
        <v>-0.06</v>
      </c>
    </row>
    <row r="26" spans="2:18" x14ac:dyDescent="0.3">
      <c r="B26" s="1" t="s">
        <v>110</v>
      </c>
      <c r="C26" s="136"/>
      <c r="D26" s="136"/>
      <c r="E26" s="137"/>
      <c r="F26" s="136">
        <v>56</v>
      </c>
      <c r="G26" s="122">
        <f>F26*(1+G27)</f>
        <v>70</v>
      </c>
      <c r="H26" s="122">
        <f t="shared" ref="H26" si="132">G26*(1+H27)</f>
        <v>85.399999999999991</v>
      </c>
      <c r="I26" s="122">
        <f t="shared" ref="I26" si="133">H26*(1+I27)</f>
        <v>101.62599999999999</v>
      </c>
      <c r="J26" s="122">
        <f t="shared" ref="J26" si="134">I26*(1+J27)</f>
        <v>117.88615999999998</v>
      </c>
      <c r="K26" s="122">
        <f t="shared" ref="K26" si="135">J26*(1+K27)</f>
        <v>133.21136079999997</v>
      </c>
      <c r="L26" s="122">
        <f t="shared" ref="L26" si="136">K26*(1+L27)</f>
        <v>146.53249687999997</v>
      </c>
      <c r="M26" s="122">
        <f t="shared" ref="M26" si="137">L26*(1+M27)</f>
        <v>156.78977166159999</v>
      </c>
      <c r="N26" s="122">
        <f t="shared" ref="N26" si="138">M26*(1+N27)</f>
        <v>163.061362528064</v>
      </c>
      <c r="O26" s="122">
        <f t="shared" ref="O26" si="139">N26*(1+O27)</f>
        <v>164.69197615334463</v>
      </c>
      <c r="P26" s="122">
        <f t="shared" ref="P26" si="140">O26*(1+P27)</f>
        <v>164.69197615334463</v>
      </c>
      <c r="Q26" s="122">
        <f t="shared" ref="Q26" si="141">P26*(1+Q27)</f>
        <v>164.69197615334463</v>
      </c>
    </row>
    <row r="27" spans="2:18" ht="16.2" x14ac:dyDescent="0.35">
      <c r="B27" s="109" t="s">
        <v>86</v>
      </c>
      <c r="C27" s="137"/>
      <c r="D27" s="139"/>
      <c r="E27" s="139"/>
      <c r="F27" s="139"/>
      <c r="G27" s="138">
        <v>0.25</v>
      </c>
      <c r="H27" s="138">
        <f t="shared" ref="H27:Q27" si="142">IF((G27+$R27)&gt;0,G27+$R27,0)</f>
        <v>0.22</v>
      </c>
      <c r="I27" s="138">
        <f t="shared" si="142"/>
        <v>0.19</v>
      </c>
      <c r="J27" s="138">
        <f t="shared" si="142"/>
        <v>0.16</v>
      </c>
      <c r="K27" s="138">
        <f t="shared" si="142"/>
        <v>0.13</v>
      </c>
      <c r="L27" s="138">
        <f t="shared" si="142"/>
        <v>0.1</v>
      </c>
      <c r="M27" s="138">
        <f t="shared" si="142"/>
        <v>7.0000000000000007E-2</v>
      </c>
      <c r="N27" s="138">
        <f t="shared" si="142"/>
        <v>4.0000000000000008E-2</v>
      </c>
      <c r="O27" s="138">
        <f t="shared" si="142"/>
        <v>1.0000000000000009E-2</v>
      </c>
      <c r="P27" s="138">
        <f t="shared" si="142"/>
        <v>0</v>
      </c>
      <c r="Q27" s="138">
        <f t="shared" si="142"/>
        <v>0</v>
      </c>
      <c r="R27" s="141">
        <f>IF($G27&gt;0.4,-0.06,-0.03)</f>
        <v>-0.03</v>
      </c>
    </row>
    <row r="28" spans="2:18" x14ac:dyDescent="0.3">
      <c r="B28" s="1" t="s">
        <v>111</v>
      </c>
      <c r="C28" s="136">
        <v>15</v>
      </c>
      <c r="D28" s="136">
        <v>28</v>
      </c>
      <c r="E28" s="137">
        <v>40</v>
      </c>
      <c r="F28" s="136">
        <v>54</v>
      </c>
      <c r="G28" s="122">
        <f>F28*(1+G29)</f>
        <v>72.900000000000006</v>
      </c>
      <c r="H28" s="122">
        <f t="shared" ref="H28" si="143">G28*(1+H29)</f>
        <v>96.228000000000009</v>
      </c>
      <c r="I28" s="122">
        <f t="shared" ref="I28" si="144">H28*(1+I29)</f>
        <v>124.13412000000001</v>
      </c>
      <c r="J28" s="122">
        <f t="shared" ref="J28" si="145">I28*(1+J29)</f>
        <v>156.4089912</v>
      </c>
      <c r="K28" s="122">
        <f t="shared" ref="K28" si="146">J28*(1+K29)</f>
        <v>192.38305917599999</v>
      </c>
      <c r="L28" s="122">
        <f t="shared" ref="L28" si="147">K28*(1+L29)</f>
        <v>230.85967101119996</v>
      </c>
      <c r="M28" s="122">
        <f t="shared" ref="M28" si="148">L28*(1+M29)</f>
        <v>270.10581508310395</v>
      </c>
      <c r="N28" s="122">
        <f t="shared" ref="N28" si="149">M28*(1+N29)</f>
        <v>307.92062919473852</v>
      </c>
      <c r="O28" s="122">
        <f t="shared" ref="O28" si="150">N28*(1+O29)</f>
        <v>341.79189840615982</v>
      </c>
      <c r="P28" s="122">
        <f t="shared" ref="P28" si="151">O28*(1+P29)</f>
        <v>369.13525027865262</v>
      </c>
      <c r="Q28" s="122">
        <f t="shared" ref="Q28" si="152">P28*(1+Q29)</f>
        <v>387.59201279258525</v>
      </c>
    </row>
    <row r="29" spans="2:18" ht="16.2" x14ac:dyDescent="0.35">
      <c r="B29" s="109" t="s">
        <v>86</v>
      </c>
      <c r="C29" s="137"/>
      <c r="D29" s="139">
        <f>(D28/C28)-1</f>
        <v>0.8666666666666667</v>
      </c>
      <c r="E29" s="139">
        <f t="shared" ref="E29" si="153">(E28/D28)-1</f>
        <v>0.4285714285714286</v>
      </c>
      <c r="F29" s="139">
        <f t="shared" ref="F29" si="154">(F28/E28)-1</f>
        <v>0.35000000000000009</v>
      </c>
      <c r="G29" s="138">
        <f>MIN(AVERAGE(D29:F29),F29)</f>
        <v>0.35000000000000009</v>
      </c>
      <c r="H29" s="138">
        <f t="shared" ref="H29:Q29" si="155">IF((G29+$R29)&gt;0,G29+$R29,0)</f>
        <v>0.32000000000000006</v>
      </c>
      <c r="I29" s="138">
        <f t="shared" si="155"/>
        <v>0.29000000000000004</v>
      </c>
      <c r="J29" s="138">
        <f t="shared" si="155"/>
        <v>0.26</v>
      </c>
      <c r="K29" s="138">
        <f t="shared" si="155"/>
        <v>0.23</v>
      </c>
      <c r="L29" s="138">
        <f t="shared" si="155"/>
        <v>0.2</v>
      </c>
      <c r="M29" s="138">
        <f t="shared" si="155"/>
        <v>0.17</v>
      </c>
      <c r="N29" s="138">
        <f t="shared" si="155"/>
        <v>0.14000000000000001</v>
      </c>
      <c r="O29" s="138">
        <f t="shared" si="155"/>
        <v>0.11000000000000001</v>
      </c>
      <c r="P29" s="138">
        <f t="shared" si="155"/>
        <v>8.0000000000000016E-2</v>
      </c>
      <c r="Q29" s="138">
        <f t="shared" si="155"/>
        <v>5.0000000000000017E-2</v>
      </c>
      <c r="R29" s="141">
        <f>IF($G29&gt;0.4,-0.06,-0.03)</f>
        <v>-0.03</v>
      </c>
    </row>
    <row r="30" spans="2:18" x14ac:dyDescent="0.3">
      <c r="B30" s="1" t="s">
        <v>112</v>
      </c>
      <c r="C30" s="136">
        <v>13</v>
      </c>
      <c r="D30" s="136"/>
      <c r="E30" s="137"/>
      <c r="F30" s="136">
        <v>53</v>
      </c>
      <c r="G30" s="122">
        <f>F30*(1+G31)</f>
        <v>66.25</v>
      </c>
      <c r="H30" s="122">
        <f t="shared" ref="H30" si="156">G30*(1+H31)</f>
        <v>80.825000000000003</v>
      </c>
      <c r="I30" s="122">
        <f t="shared" ref="I30" si="157">H30*(1+I31)</f>
        <v>96.181749999999994</v>
      </c>
      <c r="J30" s="122">
        <f t="shared" ref="J30" si="158">I30*(1+J31)</f>
        <v>111.57082999999999</v>
      </c>
      <c r="K30" s="122">
        <f t="shared" ref="K30" si="159">J30*(1+K31)</f>
        <v>126.07503789999997</v>
      </c>
      <c r="L30" s="122">
        <f t="shared" ref="L30" si="160">K30*(1+L31)</f>
        <v>138.68254168999997</v>
      </c>
      <c r="M30" s="122">
        <f t="shared" ref="M30" si="161">L30*(1+M31)</f>
        <v>148.39031960829996</v>
      </c>
      <c r="N30" s="122">
        <f t="shared" ref="N30" si="162">M30*(1+N31)</f>
        <v>154.32593239263196</v>
      </c>
      <c r="O30" s="122">
        <f t="shared" ref="O30" si="163">N30*(1+O31)</f>
        <v>155.86919171655828</v>
      </c>
      <c r="P30" s="122">
        <f t="shared" ref="P30" si="164">O30*(1+P31)</f>
        <v>155.86919171655828</v>
      </c>
      <c r="Q30" s="122">
        <f t="shared" ref="Q30" si="165">P30*(1+Q31)</f>
        <v>155.86919171655828</v>
      </c>
    </row>
    <row r="31" spans="2:18" ht="16.2" x14ac:dyDescent="0.35">
      <c r="B31" s="109" t="s">
        <v>86</v>
      </c>
      <c r="C31" s="137"/>
      <c r="D31" s="139"/>
      <c r="E31" s="139"/>
      <c r="F31" s="139"/>
      <c r="G31" s="138">
        <v>0.25</v>
      </c>
      <c r="H31" s="138">
        <f t="shared" ref="H31:Q31" si="166">IF((G31+$R31)&gt;0,G31+$R31,0)</f>
        <v>0.22</v>
      </c>
      <c r="I31" s="138">
        <f t="shared" si="166"/>
        <v>0.19</v>
      </c>
      <c r="J31" s="138">
        <f t="shared" si="166"/>
        <v>0.16</v>
      </c>
      <c r="K31" s="138">
        <f t="shared" si="166"/>
        <v>0.13</v>
      </c>
      <c r="L31" s="138">
        <f t="shared" si="166"/>
        <v>0.1</v>
      </c>
      <c r="M31" s="138">
        <f t="shared" si="166"/>
        <v>7.0000000000000007E-2</v>
      </c>
      <c r="N31" s="138">
        <f t="shared" si="166"/>
        <v>4.0000000000000008E-2</v>
      </c>
      <c r="O31" s="138">
        <f t="shared" si="166"/>
        <v>1.0000000000000009E-2</v>
      </c>
      <c r="P31" s="138">
        <f t="shared" si="166"/>
        <v>0</v>
      </c>
      <c r="Q31" s="138">
        <f t="shared" si="166"/>
        <v>0</v>
      </c>
      <c r="R31" s="141">
        <f>IF($G31&gt;0.4,-0.06,-0.03)</f>
        <v>-0.03</v>
      </c>
    </row>
    <row r="32" spans="2:18" x14ac:dyDescent="0.3">
      <c r="B32" s="1" t="s">
        <v>39</v>
      </c>
      <c r="C32" s="136">
        <f>46+13+19</f>
        <v>78</v>
      </c>
      <c r="D32" s="136">
        <f>154+26+29+30</f>
        <v>239</v>
      </c>
      <c r="E32" s="137">
        <f>337+42+44</f>
        <v>423</v>
      </c>
      <c r="F32" s="136">
        <v>629</v>
      </c>
      <c r="G32" s="122">
        <f>F32*(1+G33)</f>
        <v>935.3215130023641</v>
      </c>
      <c r="H32" s="122">
        <f t="shared" ref="H32" si="167">G32*(1+H33)</f>
        <v>1334.7015878924042</v>
      </c>
      <c r="I32" s="122">
        <f t="shared" ref="I32" si="168">H32*(1+I33)</f>
        <v>1824.5339153260136</v>
      </c>
      <c r="J32" s="122">
        <f t="shared" ref="J32" si="169">I32*(1+J33)</f>
        <v>2384.6615140121512</v>
      </c>
      <c r="K32" s="122">
        <f t="shared" ref="K32" si="170">J32*(1+K33)</f>
        <v>2973.6672704754837</v>
      </c>
      <c r="L32" s="122">
        <f t="shared" ref="L32" si="171">K32*(1+L33)</f>
        <v>3529.7360201081333</v>
      </c>
      <c r="M32" s="122">
        <f t="shared" ref="M32" si="172">L32*(1+M33)</f>
        <v>3978.0041501322685</v>
      </c>
      <c r="N32" s="122">
        <f t="shared" ref="N32" si="173">M32*(1+N33)</f>
        <v>4244.5210239260005</v>
      </c>
      <c r="O32" s="122">
        <f t="shared" ref="O32" si="174">N32*(1+O33)</f>
        <v>4274.2226367648209</v>
      </c>
      <c r="P32" s="122">
        <f t="shared" ref="P32" si="175">O32*(1+P33)</f>
        <v>4274.2226367648209</v>
      </c>
      <c r="Q32" s="122">
        <f t="shared" ref="Q32" si="176">P32*(1+Q33)</f>
        <v>4274.2226367648209</v>
      </c>
    </row>
    <row r="33" spans="2:25" ht="16.2" x14ac:dyDescent="0.35">
      <c r="B33" s="109" t="s">
        <v>86</v>
      </c>
      <c r="C33" s="137"/>
      <c r="D33" s="139">
        <f>(D32/C32)-1</f>
        <v>2.0641025641025643</v>
      </c>
      <c r="E33" s="139">
        <f t="shared" ref="E33" si="177">(E32/D32)-1</f>
        <v>0.76987447698744771</v>
      </c>
      <c r="F33" s="139">
        <f t="shared" ref="F33" si="178">(F32/E32)-1</f>
        <v>0.48699763593380618</v>
      </c>
      <c r="G33" s="138">
        <f>MIN(AVERAGE(D33:F33),F33)</f>
        <v>0.48699763593380618</v>
      </c>
      <c r="H33" s="138">
        <f t="shared" ref="H33:Q33" si="179">IF((G33+$R33)&gt;0,G33+$R33,0)</f>
        <v>0.42699763593380619</v>
      </c>
      <c r="I33" s="138">
        <f t="shared" si="179"/>
        <v>0.36699763593380619</v>
      </c>
      <c r="J33" s="138">
        <f t="shared" si="179"/>
        <v>0.30699763593380619</v>
      </c>
      <c r="K33" s="138">
        <f t="shared" si="179"/>
        <v>0.24699763593380619</v>
      </c>
      <c r="L33" s="138">
        <f t="shared" si="179"/>
        <v>0.18699763593380619</v>
      </c>
      <c r="M33" s="138">
        <f t="shared" si="179"/>
        <v>0.1269976359338062</v>
      </c>
      <c r="N33" s="138">
        <f t="shared" si="179"/>
        <v>6.6997635933806199E-2</v>
      </c>
      <c r="O33" s="138">
        <f t="shared" si="179"/>
        <v>6.9976359338062011E-3</v>
      </c>
      <c r="P33" s="138">
        <f t="shared" si="179"/>
        <v>0</v>
      </c>
      <c r="Q33" s="138">
        <f t="shared" si="179"/>
        <v>0</v>
      </c>
      <c r="R33" s="141">
        <f>IF($G33&gt;0.4,-0.06,-0.03)</f>
        <v>-0.06</v>
      </c>
    </row>
    <row r="34" spans="2:25" ht="16.2" x14ac:dyDescent="0.35">
      <c r="B34" s="111" t="s">
        <v>136</v>
      </c>
      <c r="C34" s="140">
        <f>SUM(C4,C6,C8,C10,C12,C14,C16,C18,C20,C22,C24,C26,C28,C30,C32)</f>
        <v>646</v>
      </c>
      <c r="D34" s="140">
        <f t="shared" ref="D34:F34" si="180">SUM(D4,D6,D8,D10,D12,D14,D16,D18,D20,D22,D24,D26,D28,D30,D32)</f>
        <v>948</v>
      </c>
      <c r="E34" s="140">
        <f t="shared" si="180"/>
        <v>1468</v>
      </c>
      <c r="F34" s="140">
        <f t="shared" si="180"/>
        <v>2151</v>
      </c>
      <c r="G34" s="140">
        <f t="shared" ref="G34:Q34" si="181">SUM(G4,G6,G8,G10,G12,G14,G16,G18,G20,G22,G24,G26,G28,G30,G32)</f>
        <v>2955.500965686505</v>
      </c>
      <c r="H34" s="140">
        <f t="shared" si="181"/>
        <v>3970.0047387921295</v>
      </c>
      <c r="I34" s="140">
        <f t="shared" si="181"/>
        <v>5195.0169072701274</v>
      </c>
      <c r="J34" s="140">
        <f t="shared" si="181"/>
        <v>6598.1678165411668</v>
      </c>
      <c r="K34" s="140">
        <f t="shared" si="181"/>
        <v>8103.7844134847255</v>
      </c>
      <c r="L34" s="140">
        <f t="shared" si="181"/>
        <v>9589.4259402380976</v>
      </c>
      <c r="M34" s="140">
        <f t="shared" si="181"/>
        <v>10900.397261486363</v>
      </c>
      <c r="N34" s="140">
        <f t="shared" si="181"/>
        <v>11878.832862234372</v>
      </c>
      <c r="O34" s="140">
        <f t="shared" si="181"/>
        <v>12383.052844932412</v>
      </c>
      <c r="P34" s="140">
        <f t="shared" si="181"/>
        <v>12615.446430865675</v>
      </c>
      <c r="Q34" s="140">
        <f t="shared" si="181"/>
        <v>12753.502138373613</v>
      </c>
    </row>
    <row r="35" spans="2:25" ht="16.2" x14ac:dyDescent="0.35">
      <c r="B35" s="109" t="s">
        <v>86</v>
      </c>
      <c r="C35" s="137"/>
      <c r="D35" s="139">
        <f>(D34/C34)-1</f>
        <v>0.46749226006191957</v>
      </c>
      <c r="E35" s="139">
        <f t="shared" ref="E35" si="182">(E34/D34)-1</f>
        <v>0.54852320675105481</v>
      </c>
      <c r="F35" s="139">
        <f t="shared" ref="F35" si="183">(F34/E34)-1</f>
        <v>0.46525885558583102</v>
      </c>
      <c r="G35" s="139">
        <f t="shared" ref="G35" si="184">(G34/F34)-1</f>
        <v>0.37401253634890974</v>
      </c>
      <c r="H35" s="139">
        <f t="shared" ref="H35" si="185">(H34/G34)-1</f>
        <v>0.3432594964048592</v>
      </c>
      <c r="I35" s="139">
        <f t="shared" ref="I35" si="186">(I34/H34)-1</f>
        <v>0.3085669285248025</v>
      </c>
      <c r="J35" s="139">
        <f t="shared" ref="J35" si="187">(J34/I34)-1</f>
        <v>0.27009554238551381</v>
      </c>
      <c r="K35" s="139">
        <f t="shared" ref="K35" si="188">(K34/J34)-1</f>
        <v>0.22818707235197611</v>
      </c>
      <c r="L35" s="139">
        <f t="shared" ref="L35" si="189">(L34/K34)-1</f>
        <v>0.18332688173210276</v>
      </c>
      <c r="M35" s="139">
        <f t="shared" ref="M35" si="190">(M34/L34)-1</f>
        <v>0.1367100939533108</v>
      </c>
      <c r="N35" s="139">
        <f t="shared" ref="N35" si="191">(N34/M34)-1</f>
        <v>8.9761462566603001E-2</v>
      </c>
      <c r="O35" s="139">
        <f t="shared" ref="O35" si="192">(O34/N34)-1</f>
        <v>4.2446929639112563E-2</v>
      </c>
      <c r="P35" s="139">
        <f t="shared" ref="P35" si="193">(P34/O34)-1</f>
        <v>1.8767067284895411E-2</v>
      </c>
      <c r="Q35" s="139">
        <f t="shared" ref="Q35" si="194">(Q34/P34)-1</f>
        <v>1.0943386606609762E-2</v>
      </c>
      <c r="T35" s="142" t="s">
        <v>130</v>
      </c>
      <c r="U35" s="142"/>
      <c r="V35" s="142"/>
      <c r="W35" s="142"/>
    </row>
    <row r="36" spans="2:25" ht="16.8" thickBot="1" x14ac:dyDescent="0.4">
      <c r="B36" s="111" t="s">
        <v>132</v>
      </c>
      <c r="C36" s="133">
        <f>SUM(C4,C6,C8,C10,C12,C14,C16,C18,C20,C22,C24,C26,C28,C30,C32)</f>
        <v>646</v>
      </c>
      <c r="D36" s="133">
        <f t="shared" ref="D36:F36" si="195">SUM(D4,D6,D8,D10,D12,D14,D16,D18,D20,D22,D24,D26,D28,D30,D32)</f>
        <v>948</v>
      </c>
      <c r="E36" s="133">
        <f>SUM(E4,E6,E8,E10,E12,E14,E16,E18,E20,E22,E24,E26,E28,E30,E32)</f>
        <v>1468</v>
      </c>
      <c r="F36" s="133">
        <f t="shared" si="195"/>
        <v>2151</v>
      </c>
      <c r="G36" s="133">
        <f>F36+G37</f>
        <v>2824.92</v>
      </c>
      <c r="H36" s="133">
        <f t="shared" ref="H36:Q36" si="196">G36+H37</f>
        <v>3544.2622080000001</v>
      </c>
      <c r="I36" s="133">
        <f t="shared" si="196"/>
        <v>4311.9810892799997</v>
      </c>
      <c r="J36" s="133">
        <f t="shared" si="196"/>
        <v>5131.2131214335996</v>
      </c>
      <c r="K36" s="133">
        <f t="shared" si="196"/>
        <v>6005.2870077603839</v>
      </c>
      <c r="L36" s="133">
        <f t="shared" si="196"/>
        <v>6937.7343599222786</v>
      </c>
      <c r="M36" s="133">
        <f t="shared" si="196"/>
        <v>7932.3008595804095</v>
      </c>
      <c r="N36" s="133">
        <f t="shared" si="196"/>
        <v>8992.957907280339</v>
      </c>
      <c r="O36" s="133">
        <f t="shared" si="196"/>
        <v>10123.914765110943</v>
      </c>
      <c r="P36" s="133">
        <f t="shared" si="196"/>
        <v>11329.631197587849</v>
      </c>
      <c r="Q36" s="133">
        <f t="shared" si="196"/>
        <v>12614.83061276435</v>
      </c>
    </row>
    <row r="37" spans="2:25" ht="16.8" thickBot="1" x14ac:dyDescent="0.4">
      <c r="B37" s="109" t="s">
        <v>123</v>
      </c>
      <c r="C37" s="11"/>
      <c r="D37" s="7">
        <f>D36-C36</f>
        <v>302</v>
      </c>
      <c r="E37" s="7">
        <f t="shared" ref="E37:F37" si="197">E36-D36</f>
        <v>520</v>
      </c>
      <c r="F37" s="7">
        <f t="shared" si="197"/>
        <v>683</v>
      </c>
      <c r="G37" s="122">
        <f>G38*G39</f>
        <v>673.92000000000007</v>
      </c>
      <c r="H37" s="122">
        <f t="shared" ref="H37:Q37" si="198">H38*H39</f>
        <v>719.34220800000003</v>
      </c>
      <c r="I37" s="122">
        <f>I38*I39</f>
        <v>767.71888128000001</v>
      </c>
      <c r="J37" s="122">
        <f t="shared" si="198"/>
        <v>819.23203215360002</v>
      </c>
      <c r="K37" s="122">
        <f t="shared" si="198"/>
        <v>874.07388632678408</v>
      </c>
      <c r="L37" s="122">
        <f t="shared" si="198"/>
        <v>932.4473521618944</v>
      </c>
      <c r="M37" s="122">
        <f t="shared" si="198"/>
        <v>994.56649965813108</v>
      </c>
      <c r="N37" s="122">
        <f t="shared" si="198"/>
        <v>1060.6570476999295</v>
      </c>
      <c r="O37" s="122">
        <f t="shared" si="198"/>
        <v>1130.9568578306037</v>
      </c>
      <c r="P37" s="122">
        <f t="shared" si="198"/>
        <v>1205.716432476906</v>
      </c>
      <c r="Q37" s="122">
        <f t="shared" si="198"/>
        <v>1285.1994151765009</v>
      </c>
      <c r="T37" s="145" t="s">
        <v>134</v>
      </c>
      <c r="U37" s="143"/>
      <c r="V37" s="144"/>
    </row>
    <row r="38" spans="2:25" ht="16.2" x14ac:dyDescent="0.35">
      <c r="B38" s="109" t="s">
        <v>127</v>
      </c>
      <c r="C38" s="7">
        <f>C56</f>
        <v>31</v>
      </c>
      <c r="D38" s="7">
        <f>G56</f>
        <v>61</v>
      </c>
      <c r="E38" s="7">
        <f>K56</f>
        <v>98</v>
      </c>
      <c r="F38" s="7">
        <f>O56</f>
        <v>104</v>
      </c>
      <c r="G38" s="130">
        <f>F38*(1+$V$38)</f>
        <v>112.32000000000001</v>
      </c>
      <c r="H38" s="130">
        <f t="shared" ref="H38:Q38" si="199">G38*(1+$V$38)</f>
        <v>121.30560000000001</v>
      </c>
      <c r="I38" s="130">
        <f t="shared" si="199"/>
        <v>131.01004800000001</v>
      </c>
      <c r="J38" s="130">
        <f t="shared" si="199"/>
        <v>141.49085184000003</v>
      </c>
      <c r="K38" s="130">
        <f t="shared" si="199"/>
        <v>152.81011998720004</v>
      </c>
      <c r="L38" s="130">
        <f t="shared" si="199"/>
        <v>165.03492958617605</v>
      </c>
      <c r="M38" s="130">
        <f t="shared" si="199"/>
        <v>178.23772395307014</v>
      </c>
      <c r="N38" s="130">
        <f t="shared" si="199"/>
        <v>192.49674186931577</v>
      </c>
      <c r="O38" s="130">
        <f t="shared" si="199"/>
        <v>207.89648121886106</v>
      </c>
      <c r="P38" s="130">
        <f t="shared" si="199"/>
        <v>224.52819971636995</v>
      </c>
      <c r="Q38" s="130">
        <f t="shared" si="199"/>
        <v>242.49045569367956</v>
      </c>
      <c r="T38" s="146" t="s">
        <v>133</v>
      </c>
      <c r="U38" s="147"/>
      <c r="V38" s="162">
        <f>8%</f>
        <v>0.08</v>
      </c>
    </row>
    <row r="39" spans="2:25" ht="16.2" x14ac:dyDescent="0.35">
      <c r="B39" s="109" t="s">
        <v>125</v>
      </c>
      <c r="C39" s="126">
        <f>C37/F56</f>
        <v>0</v>
      </c>
      <c r="D39" s="126">
        <f>D37/G56</f>
        <v>4.9508196721311473</v>
      </c>
      <c r="E39" s="126">
        <f>E37/K56</f>
        <v>5.3061224489795915</v>
      </c>
      <c r="F39" s="126">
        <f>F37/O56</f>
        <v>6.5673076923076925</v>
      </c>
      <c r="G39" s="127">
        <f>$V$39*4</f>
        <v>6</v>
      </c>
      <c r="H39" s="127">
        <f>G39-$R$39</f>
        <v>5.93</v>
      </c>
      <c r="I39" s="127">
        <f t="shared" ref="I39:Q39" si="200">H39-$R$39</f>
        <v>5.8599999999999994</v>
      </c>
      <c r="J39" s="127">
        <f t="shared" si="200"/>
        <v>5.7899999999999991</v>
      </c>
      <c r="K39" s="127">
        <f t="shared" si="200"/>
        <v>5.7199999999999989</v>
      </c>
      <c r="L39" s="127">
        <f t="shared" si="200"/>
        <v>5.6499999999999986</v>
      </c>
      <c r="M39" s="127">
        <f t="shared" si="200"/>
        <v>5.5799999999999983</v>
      </c>
      <c r="N39" s="127">
        <f t="shared" si="200"/>
        <v>5.509999999999998</v>
      </c>
      <c r="O39" s="127">
        <f t="shared" si="200"/>
        <v>5.4399999999999977</v>
      </c>
      <c r="P39" s="127">
        <f t="shared" si="200"/>
        <v>5.3699999999999974</v>
      </c>
      <c r="Q39" s="127">
        <f t="shared" si="200"/>
        <v>5.2999999999999972</v>
      </c>
      <c r="R39" s="336">
        <v>7.0000000000000007E-2</v>
      </c>
      <c r="T39" s="151" t="s">
        <v>487</v>
      </c>
      <c r="U39" s="150"/>
      <c r="V39" s="163">
        <f>CHOOSE('Pro Forma'!$B$1,'Franchise Revenue'!V40,'Franchise Revenue'!V41)</f>
        <v>1.5</v>
      </c>
    </row>
    <row r="40" spans="2:25" ht="16.2" x14ac:dyDescent="0.35">
      <c r="B40" s="134" t="s">
        <v>128</v>
      </c>
      <c r="C40" s="69">
        <f>'Pro Forma'!D56/'Franchise Revenue'!C36</f>
        <v>7.5433436532507736</v>
      </c>
      <c r="D40" s="69">
        <f>'Pro Forma'!E56/'Franchise Revenue'!D36</f>
        <v>7.5411392405063289</v>
      </c>
      <c r="E40" s="69">
        <f>'Pro Forma'!J56/'Franchise Revenue'!E36</f>
        <v>7.2363760217983648</v>
      </c>
      <c r="F40" s="69">
        <f>'Pro Forma'!O56/'Franchise Revenue'!F36</f>
        <v>6.7949790794979084</v>
      </c>
      <c r="G40" s="127">
        <f>F40*(1+G41)</f>
        <v>6.2446064274578914</v>
      </c>
      <c r="H40" s="127">
        <f t="shared" ref="H40:Q40" si="201">G40*(1+H41)</f>
        <v>5.6139201588213901</v>
      </c>
      <c r="I40" s="127">
        <f>H40*(1+I41)</f>
        <v>4.9346528831642278</v>
      </c>
      <c r="J40" s="127">
        <f t="shared" si="201"/>
        <v>4.2388818255593756</v>
      </c>
      <c r="K40" s="127">
        <f t="shared" si="201"/>
        <v>3.5564347357633053</v>
      </c>
      <c r="L40" s="127">
        <f t="shared" si="201"/>
        <v>2.9127308584051401</v>
      </c>
      <c r="M40" s="127">
        <f t="shared" si="201"/>
        <v>2.3272808091370427</v>
      </c>
      <c r="N40" s="127">
        <f t="shared" si="201"/>
        <v>1.8129588241084633</v>
      </c>
      <c r="O40" s="127">
        <f t="shared" si="201"/>
        <v>1.3760412580027854</v>
      </c>
      <c r="P40" s="127">
        <f>O40*(1+P41)</f>
        <v>1.0168986721536941</v>
      </c>
      <c r="Q40" s="127">
        <f t="shared" si="201"/>
        <v>0.73115323615105954</v>
      </c>
      <c r="S40" s="1">
        <f>R39/4</f>
        <v>1.7500000000000002E-2</v>
      </c>
      <c r="T40" s="151" t="s">
        <v>488</v>
      </c>
      <c r="U40" s="150"/>
      <c r="V40" s="163">
        <v>1.5</v>
      </c>
    </row>
    <row r="41" spans="2:25" ht="16.2" x14ac:dyDescent="0.35">
      <c r="B41" s="109" t="s">
        <v>129</v>
      </c>
      <c r="C41" s="11"/>
      <c r="D41" s="106">
        <f>(D40/C40)-1</f>
        <v>-2.9223284073698341E-4</v>
      </c>
      <c r="E41" s="106">
        <f t="shared" ref="E41:F41" si="202">(E40/D40)-1</f>
        <v>-4.041341884671279E-2</v>
      </c>
      <c r="F41" s="106">
        <f t="shared" si="202"/>
        <v>-6.0996960491110808E-2</v>
      </c>
      <c r="G41" s="138">
        <f t="shared" ref="G41:Q41" si="203">F41-$V$42</f>
        <v>-8.0996960491110812E-2</v>
      </c>
      <c r="H41" s="138">
        <f t="shared" si="203"/>
        <v>-0.10099696049111082</v>
      </c>
      <c r="I41" s="138">
        <f t="shared" si="203"/>
        <v>-0.12099696049111082</v>
      </c>
      <c r="J41" s="138">
        <f t="shared" si="203"/>
        <v>-0.14099696049111082</v>
      </c>
      <c r="K41" s="138">
        <f t="shared" si="203"/>
        <v>-0.16099696049111081</v>
      </c>
      <c r="L41" s="138">
        <f t="shared" si="203"/>
        <v>-0.1809969604911108</v>
      </c>
      <c r="M41" s="138">
        <f t="shared" si="203"/>
        <v>-0.20099696049111079</v>
      </c>
      <c r="N41" s="138">
        <f t="shared" si="203"/>
        <v>-0.22099696049111078</v>
      </c>
      <c r="O41" s="138">
        <f t="shared" si="203"/>
        <v>-0.24099696049111077</v>
      </c>
      <c r="P41" s="138">
        <f t="shared" si="203"/>
        <v>-0.26099696049111076</v>
      </c>
      <c r="Q41" s="138">
        <f t="shared" si="203"/>
        <v>-0.28099696049111078</v>
      </c>
      <c r="T41" s="758" t="s">
        <v>486</v>
      </c>
      <c r="U41" s="759"/>
      <c r="V41" s="760">
        <v>1.5</v>
      </c>
    </row>
    <row r="42" spans="2:25" ht="16.8" thickBot="1" x14ac:dyDescent="0.4">
      <c r="B42" s="134" t="s">
        <v>138</v>
      </c>
      <c r="C42" s="70">
        <f>C40*C36</f>
        <v>4873</v>
      </c>
      <c r="D42" s="70">
        <f>D40*D36</f>
        <v>7149</v>
      </c>
      <c r="E42" s="70">
        <f>E40*E36</f>
        <v>10623</v>
      </c>
      <c r="F42" s="70">
        <f>F40*F36</f>
        <v>14616</v>
      </c>
      <c r="G42" s="70">
        <f t="shared" ref="G42:Q42" si="204">G40*G36</f>
        <v>17640.513589054346</v>
      </c>
      <c r="H42" s="70">
        <f>H40*H36</f>
        <v>19897.205057640011</v>
      </c>
      <c r="I42" s="70">
        <f t="shared" si="204"/>
        <v>21278.129914365178</v>
      </c>
      <c r="J42" s="70">
        <f t="shared" si="204"/>
        <v>21750.60604351668</v>
      </c>
      <c r="K42" s="70">
        <f t="shared" si="204"/>
        <v>21357.411312627111</v>
      </c>
      <c r="L42" s="70">
        <f t="shared" si="204"/>
        <v>20207.752957563254</v>
      </c>
      <c r="M42" s="70">
        <f t="shared" si="204"/>
        <v>18460.691562802756</v>
      </c>
      <c r="N42" s="70">
        <f t="shared" si="204"/>
        <v>16303.86239283987</v>
      </c>
      <c r="O42" s="70">
        <f t="shared" si="204"/>
        <v>13930.924409296236</v>
      </c>
      <c r="P42" s="70">
        <f t="shared" si="204"/>
        <v>11521.08692081815</v>
      </c>
      <c r="Q42" s="70">
        <f t="shared" si="204"/>
        <v>9223.374226020107</v>
      </c>
      <c r="T42" s="148" t="s">
        <v>135</v>
      </c>
      <c r="U42" s="149"/>
      <c r="V42" s="164">
        <v>0.02</v>
      </c>
    </row>
    <row r="43" spans="2:25" ht="16.2" x14ac:dyDescent="0.35">
      <c r="B43" s="109" t="s">
        <v>86</v>
      </c>
      <c r="C43" s="11"/>
      <c r="D43" s="106">
        <f>(D42/C42)-1</f>
        <v>0.46706341063000201</v>
      </c>
      <c r="E43" s="106">
        <f t="shared" ref="E43:Q43" si="205">(E42/D42)-1</f>
        <v>0.48594208980276954</v>
      </c>
      <c r="F43" s="106">
        <f t="shared" si="205"/>
        <v>0.37588251906241177</v>
      </c>
      <c r="G43" s="106">
        <f t="shared" si="205"/>
        <v>0.20693169054832694</v>
      </c>
      <c r="H43" s="106">
        <f t="shared" si="205"/>
        <v>0.12792663077484923</v>
      </c>
      <c r="I43" s="106">
        <f t="shared" si="205"/>
        <v>6.940295648181638E-2</v>
      </c>
      <c r="J43" s="106">
        <f t="shared" si="205"/>
        <v>2.2204776973023588E-2</v>
      </c>
      <c r="K43" s="106">
        <f t="shared" si="205"/>
        <v>-1.8077414951238602E-2</v>
      </c>
      <c r="L43" s="106">
        <f t="shared" si="205"/>
        <v>-5.382948046630287E-2</v>
      </c>
      <c r="M43" s="106">
        <f t="shared" si="205"/>
        <v>-8.6455005582726896E-2</v>
      </c>
      <c r="N43" s="106">
        <f t="shared" si="205"/>
        <v>-0.11683360629396866</v>
      </c>
      <c r="O43" s="106">
        <f t="shared" si="205"/>
        <v>-0.14554452965609865</v>
      </c>
      <c r="P43" s="106">
        <f t="shared" si="205"/>
        <v>-0.17298475088056464</v>
      </c>
      <c r="Q43" s="106">
        <f t="shared" si="205"/>
        <v>-0.19943541009539356</v>
      </c>
    </row>
    <row r="44" spans="2:25" x14ac:dyDescent="0.3">
      <c r="B44" s="100" t="s">
        <v>114</v>
      </c>
      <c r="C44" s="135">
        <f>C36-C45</f>
        <v>457</v>
      </c>
      <c r="D44" s="135">
        <f>D36-D45</f>
        <v>614</v>
      </c>
      <c r="E44" s="135">
        <f>E36-E45</f>
        <v>891</v>
      </c>
      <c r="F44" s="135">
        <v>1198</v>
      </c>
    </row>
    <row r="45" spans="2:25" x14ac:dyDescent="0.3">
      <c r="B45" s="1" t="s">
        <v>124</v>
      </c>
      <c r="C45" s="136">
        <v>189</v>
      </c>
      <c r="D45" s="136">
        <v>334</v>
      </c>
      <c r="E45" s="137">
        <v>577</v>
      </c>
      <c r="F45" s="136">
        <v>953</v>
      </c>
    </row>
    <row r="46" spans="2:25" x14ac:dyDescent="0.3">
      <c r="B46" s="110"/>
    </row>
    <row r="47" spans="2:25" ht="16.2" x14ac:dyDescent="0.35">
      <c r="B47" s="5" t="s">
        <v>121</v>
      </c>
      <c r="C47" s="108">
        <v>43465</v>
      </c>
      <c r="D47" s="108">
        <v>43555</v>
      </c>
      <c r="E47" s="108">
        <v>43646</v>
      </c>
      <c r="F47" s="108">
        <v>43738</v>
      </c>
      <c r="G47" s="108">
        <v>43830</v>
      </c>
      <c r="H47" s="108">
        <v>43921</v>
      </c>
      <c r="I47" s="108">
        <v>44012</v>
      </c>
      <c r="J47" s="108">
        <v>44104</v>
      </c>
      <c r="K47" s="113">
        <v>44196</v>
      </c>
      <c r="L47" s="114">
        <v>44286</v>
      </c>
      <c r="M47" s="113">
        <v>44377</v>
      </c>
      <c r="N47" s="108">
        <v>44469</v>
      </c>
      <c r="O47" s="108">
        <v>44561</v>
      </c>
      <c r="W47" s="161"/>
      <c r="X47" s="161"/>
      <c r="Y47" s="161"/>
    </row>
    <row r="48" spans="2:25" x14ac:dyDescent="0.3">
      <c r="B48" s="115" t="s">
        <v>115</v>
      </c>
      <c r="C48" s="117">
        <f>C45</f>
        <v>189</v>
      </c>
      <c r="D48" s="117">
        <v>197</v>
      </c>
      <c r="E48" s="117">
        <v>230</v>
      </c>
      <c r="F48" s="117">
        <v>245</v>
      </c>
      <c r="G48" s="117">
        <f>D45</f>
        <v>334</v>
      </c>
      <c r="H48" s="117">
        <v>333</v>
      </c>
      <c r="I48" s="117">
        <v>402</v>
      </c>
      <c r="J48" s="117">
        <v>438</v>
      </c>
      <c r="K48" s="117">
        <f>E45</f>
        <v>577</v>
      </c>
      <c r="L48" s="117">
        <v>641</v>
      </c>
      <c r="M48" s="117">
        <v>729</v>
      </c>
      <c r="N48" s="117">
        <v>819</v>
      </c>
      <c r="O48" s="117">
        <f>F45</f>
        <v>953</v>
      </c>
      <c r="W48" s="62"/>
      <c r="X48" s="62"/>
      <c r="Y48" s="62"/>
    </row>
    <row r="49" spans="2:25" ht="16.2" x14ac:dyDescent="0.35">
      <c r="B49" s="119" t="s">
        <v>116</v>
      </c>
      <c r="C49" s="117">
        <v>393</v>
      </c>
      <c r="D49" s="117">
        <v>404</v>
      </c>
      <c r="E49" s="117">
        <v>439</v>
      </c>
      <c r="F49" s="117">
        <v>474</v>
      </c>
      <c r="G49" s="117">
        <v>567</v>
      </c>
      <c r="H49" s="117">
        <v>588</v>
      </c>
      <c r="I49" s="117">
        <v>663</v>
      </c>
      <c r="J49" s="117">
        <v>740</v>
      </c>
      <c r="K49" s="117">
        <v>905</v>
      </c>
      <c r="L49" s="117">
        <v>1001</v>
      </c>
      <c r="M49" s="117">
        <v>1135</v>
      </c>
      <c r="N49" s="117">
        <v>1210</v>
      </c>
      <c r="O49" s="118">
        <v>1343</v>
      </c>
      <c r="W49" s="62"/>
      <c r="X49" s="62"/>
      <c r="Y49" s="62"/>
    </row>
    <row r="50" spans="2:25" ht="16.2" x14ac:dyDescent="0.35">
      <c r="B50" s="119" t="s">
        <v>117</v>
      </c>
      <c r="C50" s="117">
        <v>110</v>
      </c>
      <c r="D50" s="117">
        <v>131</v>
      </c>
      <c r="E50" s="117">
        <v>140</v>
      </c>
      <c r="F50" s="117">
        <v>152</v>
      </c>
      <c r="G50" s="117">
        <v>156</v>
      </c>
      <c r="H50" s="117">
        <v>160</v>
      </c>
      <c r="I50" s="117">
        <v>176</v>
      </c>
      <c r="J50" s="117">
        <v>197</v>
      </c>
      <c r="K50" s="117">
        <v>208</v>
      </c>
      <c r="L50" s="117">
        <v>238</v>
      </c>
      <c r="M50" s="117">
        <v>236</v>
      </c>
      <c r="N50" s="117">
        <v>270</v>
      </c>
      <c r="O50" s="117">
        <v>295</v>
      </c>
      <c r="W50" s="62"/>
      <c r="X50" s="62"/>
      <c r="Y50" s="62"/>
    </row>
    <row r="51" spans="2:25" ht="16.2" x14ac:dyDescent="0.35">
      <c r="B51" s="119" t="s">
        <v>118</v>
      </c>
      <c r="C51" s="117">
        <v>58</v>
      </c>
      <c r="D51" s="117">
        <v>65</v>
      </c>
      <c r="E51" s="117">
        <v>79</v>
      </c>
      <c r="F51" s="117">
        <v>80</v>
      </c>
      <c r="G51" s="117">
        <v>96</v>
      </c>
      <c r="H51" s="117">
        <v>113</v>
      </c>
      <c r="I51" s="117">
        <v>119</v>
      </c>
      <c r="J51" s="117">
        <v>133</v>
      </c>
      <c r="K51" s="117">
        <v>140</v>
      </c>
      <c r="L51" s="117">
        <v>138</v>
      </c>
      <c r="M51" s="117">
        <v>154</v>
      </c>
      <c r="N51" s="117">
        <v>173</v>
      </c>
      <c r="O51" s="117">
        <v>183</v>
      </c>
    </row>
    <row r="52" spans="2:25" ht="16.2" x14ac:dyDescent="0.35">
      <c r="B52" s="119" t="s">
        <v>119</v>
      </c>
      <c r="C52" s="117">
        <v>37</v>
      </c>
      <c r="D52" s="117">
        <v>38</v>
      </c>
      <c r="E52" s="117">
        <v>37</v>
      </c>
      <c r="F52" s="117">
        <v>45</v>
      </c>
      <c r="G52" s="117">
        <v>50</v>
      </c>
      <c r="H52" s="117">
        <v>58</v>
      </c>
      <c r="I52" s="117">
        <v>71</v>
      </c>
      <c r="J52" s="117">
        <v>75</v>
      </c>
      <c r="K52" s="117">
        <v>90</v>
      </c>
      <c r="L52" s="117">
        <v>107</v>
      </c>
      <c r="M52" s="117">
        <v>112</v>
      </c>
      <c r="N52" s="117">
        <v>124</v>
      </c>
      <c r="O52" s="117">
        <v>126</v>
      </c>
    </row>
    <row r="53" spans="2:25" ht="16.2" x14ac:dyDescent="0.35">
      <c r="B53" s="119" t="s">
        <v>120</v>
      </c>
      <c r="C53" s="117">
        <v>48</v>
      </c>
      <c r="D53" s="117">
        <v>60</v>
      </c>
      <c r="E53" s="117">
        <v>70</v>
      </c>
      <c r="F53" s="117">
        <v>77</v>
      </c>
      <c r="G53" s="117">
        <v>79</v>
      </c>
      <c r="H53" s="117">
        <v>93</v>
      </c>
      <c r="I53" s="117">
        <v>103</v>
      </c>
      <c r="J53" s="117">
        <v>116</v>
      </c>
      <c r="K53" s="117">
        <v>125</v>
      </c>
      <c r="L53" s="117">
        <v>144</v>
      </c>
      <c r="M53" s="117">
        <v>164</v>
      </c>
      <c r="N53" s="117">
        <v>181</v>
      </c>
      <c r="O53" s="117">
        <v>204</v>
      </c>
    </row>
    <row r="54" spans="2:25" ht="16.2" x14ac:dyDescent="0.35">
      <c r="B54" s="119" t="s">
        <v>113</v>
      </c>
      <c r="C54" s="123">
        <f t="shared" ref="C54:O54" si="206">C49+C50+C51+C52+C53</f>
        <v>646</v>
      </c>
      <c r="D54" s="123">
        <f t="shared" si="206"/>
        <v>698</v>
      </c>
      <c r="E54" s="123">
        <f t="shared" si="206"/>
        <v>765</v>
      </c>
      <c r="F54" s="123">
        <f t="shared" si="206"/>
        <v>828</v>
      </c>
      <c r="G54" s="123">
        <f t="shared" si="206"/>
        <v>948</v>
      </c>
      <c r="H54" s="123">
        <f t="shared" si="206"/>
        <v>1012</v>
      </c>
      <c r="I54" s="123">
        <f t="shared" si="206"/>
        <v>1132</v>
      </c>
      <c r="J54" s="123">
        <f t="shared" si="206"/>
        <v>1261</v>
      </c>
      <c r="K54" s="123">
        <f t="shared" si="206"/>
        <v>1468</v>
      </c>
      <c r="L54" s="123">
        <f t="shared" si="206"/>
        <v>1628</v>
      </c>
      <c r="M54" s="123">
        <f t="shared" si="206"/>
        <v>1801</v>
      </c>
      <c r="N54" s="123">
        <f t="shared" si="206"/>
        <v>1958</v>
      </c>
      <c r="O54" s="123">
        <f t="shared" si="206"/>
        <v>2151</v>
      </c>
    </row>
    <row r="55" spans="2:25" x14ac:dyDescent="0.3">
      <c r="B55" s="115" t="s">
        <v>123</v>
      </c>
      <c r="C55" s="116"/>
      <c r="D55" s="116">
        <f>D54-C54</f>
        <v>52</v>
      </c>
      <c r="E55" s="116">
        <f t="shared" ref="E55:O55" si="207">E54-D54</f>
        <v>67</v>
      </c>
      <c r="F55" s="116">
        <f t="shared" si="207"/>
        <v>63</v>
      </c>
      <c r="G55" s="116">
        <f t="shared" si="207"/>
        <v>120</v>
      </c>
      <c r="H55" s="116">
        <f t="shared" si="207"/>
        <v>64</v>
      </c>
      <c r="I55" s="116">
        <f t="shared" si="207"/>
        <v>120</v>
      </c>
      <c r="J55" s="116">
        <f t="shared" si="207"/>
        <v>129</v>
      </c>
      <c r="K55" s="116">
        <f t="shared" si="207"/>
        <v>207</v>
      </c>
      <c r="L55" s="116">
        <f t="shared" si="207"/>
        <v>160</v>
      </c>
      <c r="M55" s="116">
        <f t="shared" si="207"/>
        <v>173</v>
      </c>
      <c r="N55" s="116">
        <f t="shared" si="207"/>
        <v>157</v>
      </c>
      <c r="O55" s="116">
        <f t="shared" si="207"/>
        <v>193</v>
      </c>
    </row>
    <row r="56" spans="2:25" ht="16.2" x14ac:dyDescent="0.35">
      <c r="B56" s="111" t="s">
        <v>122</v>
      </c>
      <c r="C56" s="124">
        <v>31</v>
      </c>
      <c r="D56" s="124">
        <v>40</v>
      </c>
      <c r="E56" s="124">
        <v>43</v>
      </c>
      <c r="F56" s="124">
        <v>43</v>
      </c>
      <c r="G56" s="125">
        <v>61</v>
      </c>
      <c r="H56" s="125">
        <v>69</v>
      </c>
      <c r="I56" s="125">
        <v>80</v>
      </c>
      <c r="J56" s="125">
        <v>89</v>
      </c>
      <c r="K56" s="125">
        <v>98</v>
      </c>
      <c r="L56" s="125">
        <v>87</v>
      </c>
      <c r="M56" s="125">
        <v>89</v>
      </c>
      <c r="N56" s="125">
        <v>95</v>
      </c>
      <c r="O56" s="125">
        <v>104</v>
      </c>
    </row>
    <row r="57" spans="2:25" ht="16.2" x14ac:dyDescent="0.35">
      <c r="B57" s="109" t="s">
        <v>301</v>
      </c>
      <c r="C57" s="128"/>
      <c r="D57" s="129">
        <f>(D56/C56)-1</f>
        <v>0.29032258064516125</v>
      </c>
      <c r="E57" s="129">
        <f t="shared" ref="E57:O57" si="208">(E56/D56)-1</f>
        <v>7.4999999999999956E-2</v>
      </c>
      <c r="F57" s="129">
        <f t="shared" si="208"/>
        <v>0</v>
      </c>
      <c r="G57" s="129">
        <f t="shared" si="208"/>
        <v>0.41860465116279078</v>
      </c>
      <c r="H57" s="129">
        <f t="shared" si="208"/>
        <v>0.13114754098360648</v>
      </c>
      <c r="I57" s="129">
        <f t="shared" si="208"/>
        <v>0.15942028985507251</v>
      </c>
      <c r="J57" s="129">
        <f t="shared" si="208"/>
        <v>0.11250000000000004</v>
      </c>
      <c r="K57" s="129">
        <f t="shared" si="208"/>
        <v>0.101123595505618</v>
      </c>
      <c r="L57" s="129">
        <f t="shared" si="208"/>
        <v>-0.11224489795918369</v>
      </c>
      <c r="M57" s="129">
        <f t="shared" si="208"/>
        <v>2.2988505747126409E-2</v>
      </c>
      <c r="N57" s="129">
        <f t="shared" si="208"/>
        <v>6.7415730337078594E-2</v>
      </c>
      <c r="O57" s="129">
        <f t="shared" si="208"/>
        <v>9.473684210526323E-2</v>
      </c>
    </row>
    <row r="58" spans="2:25" ht="16.2" x14ac:dyDescent="0.35">
      <c r="B58" s="109" t="s">
        <v>302</v>
      </c>
      <c r="C58" s="128"/>
      <c r="D58" s="129"/>
      <c r="E58" s="8">
        <f>AVERAGE(C57:E57)</f>
        <v>0.18266129032258061</v>
      </c>
      <c r="F58" s="8">
        <f t="shared" ref="F58:O58" si="209">AVERAGE(D57:F57)</f>
        <v>0.12177419354838707</v>
      </c>
      <c r="G58" s="8">
        <f t="shared" si="209"/>
        <v>0.16453488372093025</v>
      </c>
      <c r="H58" s="8">
        <f t="shared" si="209"/>
        <v>0.18325073071546574</v>
      </c>
      <c r="I58" s="8">
        <f t="shared" si="209"/>
        <v>0.23639082733382324</v>
      </c>
      <c r="J58" s="8">
        <f t="shared" si="209"/>
        <v>0.13435594361289302</v>
      </c>
      <c r="K58" s="8">
        <f t="shared" si="209"/>
        <v>0.12434796178689685</v>
      </c>
      <c r="L58" s="132">
        <f t="shared" si="209"/>
        <v>3.3792899182144787E-2</v>
      </c>
      <c r="M58" s="8">
        <f t="shared" si="209"/>
        <v>3.955734431186908E-3</v>
      </c>
      <c r="N58" s="8">
        <f t="shared" si="209"/>
        <v>-7.2802206249928947E-3</v>
      </c>
      <c r="O58" s="8">
        <f t="shared" si="209"/>
        <v>6.1713692729822744E-2</v>
      </c>
    </row>
    <row r="59" spans="2:25" x14ac:dyDescent="0.3">
      <c r="B59" s="1" t="s">
        <v>126</v>
      </c>
      <c r="D59" s="121">
        <f t="shared" ref="D59:O59" si="210">D55/D56</f>
        <v>1.3</v>
      </c>
      <c r="E59" s="121">
        <f t="shared" si="210"/>
        <v>1.558139534883721</v>
      </c>
      <c r="F59" s="121">
        <f t="shared" si="210"/>
        <v>1.4651162790697674</v>
      </c>
      <c r="G59" s="121">
        <f t="shared" si="210"/>
        <v>1.9672131147540983</v>
      </c>
      <c r="H59" s="121">
        <f t="shared" si="210"/>
        <v>0.92753623188405798</v>
      </c>
      <c r="I59" s="121">
        <f t="shared" si="210"/>
        <v>1.5</v>
      </c>
      <c r="J59" s="121">
        <f t="shared" si="210"/>
        <v>1.449438202247191</v>
      </c>
      <c r="K59" s="121">
        <f t="shared" si="210"/>
        <v>2.1122448979591835</v>
      </c>
      <c r="L59" s="121">
        <f t="shared" si="210"/>
        <v>1.8390804597701149</v>
      </c>
      <c r="M59" s="121">
        <f t="shared" si="210"/>
        <v>1.9438202247191012</v>
      </c>
      <c r="N59" s="121">
        <f t="shared" si="210"/>
        <v>1.6526315789473685</v>
      </c>
      <c r="O59" s="121">
        <f t="shared" si="210"/>
        <v>1.8557692307692308</v>
      </c>
    </row>
    <row r="60" spans="2:25" x14ac:dyDescent="0.3">
      <c r="B60" s="1" t="s">
        <v>300</v>
      </c>
      <c r="D60" s="121"/>
      <c r="E60" s="121">
        <f>AVERAGE(C59:E59)</f>
        <v>1.4290697674418604</v>
      </c>
      <c r="F60" s="121">
        <f>AVERAGE(D59:F59)</f>
        <v>1.4410852713178295</v>
      </c>
      <c r="G60" s="121">
        <f>AVERAGE(E59:G59)</f>
        <v>1.663489642902529</v>
      </c>
      <c r="H60" s="121">
        <f t="shared" ref="H60:O60" si="211">AVERAGE(F59:H59)</f>
        <v>1.4532885419026413</v>
      </c>
      <c r="I60" s="121">
        <f t="shared" si="211"/>
        <v>1.4649164488793855</v>
      </c>
      <c r="J60" s="131">
        <f t="shared" si="211"/>
        <v>1.2923248113770829</v>
      </c>
      <c r="K60" s="121">
        <f t="shared" si="211"/>
        <v>1.6872277000687916</v>
      </c>
      <c r="L60" s="121">
        <f t="shared" si="211"/>
        <v>1.8002545199921631</v>
      </c>
      <c r="M60" s="121">
        <f t="shared" si="211"/>
        <v>1.9650485274828</v>
      </c>
      <c r="N60" s="121">
        <f t="shared" si="211"/>
        <v>1.8118440878121949</v>
      </c>
      <c r="O60" s="121">
        <f t="shared" si="211"/>
        <v>1.8174070114785668</v>
      </c>
    </row>
    <row r="61" spans="2:25" x14ac:dyDescent="0.3">
      <c r="L61" s="414" t="s">
        <v>303</v>
      </c>
      <c r="M61" s="414"/>
      <c r="N61" s="414"/>
      <c r="O61" s="415">
        <f>V39</f>
        <v>1.5</v>
      </c>
    </row>
  </sheetData>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A35F-F77F-406E-9384-F8502E4DD217}">
  <dimension ref="B1:T28"/>
  <sheetViews>
    <sheetView showGridLines="0" zoomScale="85" zoomScaleNormal="85" workbookViewId="0"/>
  </sheetViews>
  <sheetFormatPr defaultRowHeight="15.6" x14ac:dyDescent="0.3"/>
  <cols>
    <col min="1" max="1" width="8.88671875" style="1"/>
    <col min="2" max="2" width="47.33203125" style="1" bestFit="1" customWidth="1"/>
    <col min="3" max="3" width="8.88671875" style="1"/>
    <col min="4" max="6" width="9.6640625" style="1" bestFit="1" customWidth="1"/>
    <col min="7" max="16384" width="8.88671875" style="1"/>
  </cols>
  <sheetData>
    <row r="1" spans="2:20" ht="16.2" x14ac:dyDescent="0.35">
      <c r="C1" s="364"/>
      <c r="D1" s="364"/>
      <c r="E1" s="364"/>
      <c r="F1" s="364"/>
    </row>
    <row r="2" spans="2:20" ht="16.2" x14ac:dyDescent="0.35">
      <c r="B2" s="813" t="s">
        <v>329</v>
      </c>
      <c r="C2" s="813"/>
      <c r="D2" s="813"/>
      <c r="E2" s="813"/>
      <c r="F2" s="813"/>
      <c r="G2" s="451"/>
      <c r="H2" s="451"/>
      <c r="I2" s="451"/>
      <c r="J2" s="451"/>
      <c r="K2" s="451"/>
      <c r="L2" s="451"/>
      <c r="M2" s="451"/>
      <c r="N2" s="451"/>
      <c r="O2" s="451"/>
      <c r="P2" s="451"/>
      <c r="Q2" s="451"/>
      <c r="R2" s="451"/>
      <c r="S2" s="451"/>
      <c r="T2" s="451"/>
    </row>
    <row r="3" spans="2:20" ht="16.8" thickBot="1" x14ac:dyDescent="0.4">
      <c r="B3" s="734"/>
      <c r="C3" s="734"/>
      <c r="D3" s="734"/>
      <c r="E3" s="734"/>
      <c r="F3" s="734"/>
      <c r="G3" s="451"/>
      <c r="H3" s="451"/>
      <c r="I3" s="451"/>
      <c r="J3" s="451"/>
      <c r="K3" s="451"/>
      <c r="L3" s="451"/>
      <c r="M3" s="451"/>
      <c r="N3" s="451"/>
      <c r="O3" s="451"/>
      <c r="P3" s="451"/>
      <c r="Q3" s="451"/>
      <c r="R3" s="451"/>
      <c r="S3" s="451"/>
      <c r="T3" s="451"/>
    </row>
    <row r="4" spans="2:20" ht="16.8" thickBot="1" x14ac:dyDescent="0.4">
      <c r="B4" s="456" t="s">
        <v>328</v>
      </c>
      <c r="C4" s="457">
        <v>2018</v>
      </c>
      <c r="D4" s="457">
        <v>2019</v>
      </c>
      <c r="E4" s="457">
        <v>2020</v>
      </c>
      <c r="F4" s="458">
        <v>2021</v>
      </c>
    </row>
    <row r="5" spans="2:20" ht="16.2" x14ac:dyDescent="0.35">
      <c r="B5" s="11" t="s">
        <v>326</v>
      </c>
      <c r="C5" s="11">
        <v>90</v>
      </c>
      <c r="D5" s="11">
        <v>141</v>
      </c>
      <c r="E5" s="11">
        <v>207</v>
      </c>
      <c r="F5" s="11">
        <v>293</v>
      </c>
    </row>
    <row r="6" spans="2:20" ht="16.2" x14ac:dyDescent="0.35">
      <c r="B6" s="5" t="s">
        <v>327</v>
      </c>
      <c r="C6" s="5">
        <v>77</v>
      </c>
      <c r="D6" s="5">
        <v>107</v>
      </c>
      <c r="E6" s="5">
        <v>157</v>
      </c>
      <c r="F6" s="5">
        <v>213</v>
      </c>
    </row>
    <row r="7" spans="2:20" x14ac:dyDescent="0.3">
      <c r="B7" s="1" t="s">
        <v>325</v>
      </c>
      <c r="D7" s="1">
        <f>(D8*C5)+(D8*C6)</f>
        <v>106.999851188118</v>
      </c>
      <c r="E7" s="450">
        <f>(E8*D5)+(E8*D6)</f>
        <v>157.00000000000003</v>
      </c>
      <c r="F7" s="1">
        <f>(F8*E5)+(F8*E6)</f>
        <v>212.99965835054962</v>
      </c>
    </row>
    <row r="8" spans="2:20" x14ac:dyDescent="0.3">
      <c r="B8" s="454" t="s">
        <v>324</v>
      </c>
      <c r="C8" s="454"/>
      <c r="D8" s="455">
        <v>0.64071767178513772</v>
      </c>
      <c r="E8" s="455">
        <v>0.63306451612903236</v>
      </c>
      <c r="F8" s="455">
        <v>0.58516389656744405</v>
      </c>
    </row>
    <row r="10" spans="2:20" ht="16.2" x14ac:dyDescent="0.35">
      <c r="B10" s="65" t="s">
        <v>332</v>
      </c>
      <c r="C10" s="65"/>
      <c r="D10" s="65"/>
      <c r="E10" s="65"/>
      <c r="F10" s="65"/>
    </row>
    <row r="11" spans="2:20" ht="16.2" x14ac:dyDescent="0.35">
      <c r="B11" s="111" t="s">
        <v>326</v>
      </c>
      <c r="C11" s="111">
        <v>90</v>
      </c>
      <c r="D11" s="111">
        <v>141</v>
      </c>
      <c r="E11" s="111">
        <v>207</v>
      </c>
      <c r="F11" s="111">
        <v>293</v>
      </c>
    </row>
    <row r="12" spans="2:20" ht="16.2" x14ac:dyDescent="0.35">
      <c r="B12" s="5" t="s">
        <v>327</v>
      </c>
      <c r="C12" s="5">
        <v>77</v>
      </c>
      <c r="D12" s="5">
        <v>107</v>
      </c>
      <c r="E12" s="5">
        <v>157</v>
      </c>
      <c r="F12" s="5">
        <v>213</v>
      </c>
    </row>
    <row r="13" spans="2:20" x14ac:dyDescent="0.3">
      <c r="B13" s="1" t="s">
        <v>325</v>
      </c>
      <c r="D13" s="1">
        <f>(D14*C11)+((D14/2)*C12)</f>
        <v>106.99999999999999</v>
      </c>
      <c r="E13" s="1">
        <f>(E14*D11)+((E14/2)*D12)</f>
        <v>157.00012313104838</v>
      </c>
      <c r="F13" s="1">
        <f>(F14*E11)+((F14/2)*E12)</f>
        <v>212.99999999999997</v>
      </c>
    </row>
    <row r="14" spans="2:20" x14ac:dyDescent="0.3">
      <c r="B14" s="6" t="s">
        <v>324</v>
      </c>
      <c r="C14" s="6"/>
      <c r="D14" s="453">
        <v>0.83268482490272366</v>
      </c>
      <c r="E14" s="453">
        <v>0.8071985765092462</v>
      </c>
      <c r="F14" s="453">
        <v>0.74605954465849378</v>
      </c>
    </row>
    <row r="15" spans="2:20" ht="16.2" x14ac:dyDescent="0.35">
      <c r="B15" s="364" t="s">
        <v>501</v>
      </c>
      <c r="C15" s="451"/>
      <c r="D15" s="452"/>
      <c r="E15" s="452"/>
      <c r="F15" s="452"/>
    </row>
    <row r="16" spans="2:20" ht="16.2" x14ac:dyDescent="0.35">
      <c r="B16" s="364" t="s">
        <v>502</v>
      </c>
      <c r="C16" s="451"/>
      <c r="D16" s="451"/>
      <c r="E16" s="451"/>
      <c r="F16" s="451"/>
    </row>
    <row r="17" spans="2:8" ht="16.2" thickBot="1" x14ac:dyDescent="0.35"/>
    <row r="18" spans="2:8" ht="16.8" thickBot="1" x14ac:dyDescent="0.4">
      <c r="B18" s="456" t="s">
        <v>319</v>
      </c>
      <c r="C18" s="457">
        <v>2018</v>
      </c>
      <c r="D18" s="457">
        <v>2019</v>
      </c>
      <c r="E18" s="457">
        <v>2020</v>
      </c>
      <c r="F18" s="458">
        <v>2021</v>
      </c>
    </row>
    <row r="19" spans="2:8" ht="16.2" x14ac:dyDescent="0.35">
      <c r="B19" s="11" t="s">
        <v>320</v>
      </c>
      <c r="C19" s="11">
        <v>36</v>
      </c>
      <c r="D19" s="11">
        <v>18</v>
      </c>
      <c r="E19" s="11">
        <v>43</v>
      </c>
      <c r="F19" s="11">
        <v>57</v>
      </c>
    </row>
    <row r="20" spans="2:8" ht="16.2" x14ac:dyDescent="0.35">
      <c r="B20" s="5" t="s">
        <v>321</v>
      </c>
      <c r="C20" s="5">
        <v>166</v>
      </c>
      <c r="D20" s="5">
        <v>180</v>
      </c>
      <c r="E20" s="5">
        <v>185</v>
      </c>
      <c r="F20" s="5">
        <v>214</v>
      </c>
    </row>
    <row r="21" spans="2:8" x14ac:dyDescent="0.3">
      <c r="B21" s="1" t="s">
        <v>325</v>
      </c>
      <c r="D21" s="1">
        <f>(D22*C19)+(D22*C20)</f>
        <v>180.00000099999997</v>
      </c>
      <c r="E21" s="450">
        <f>(E22*D19)+(E22*D20)</f>
        <v>185.00017819999999</v>
      </c>
      <c r="F21" s="1">
        <f>(F22*E19)+(F22*E20)</f>
        <v>214.00020519999998</v>
      </c>
    </row>
    <row r="22" spans="2:8" x14ac:dyDescent="0.3">
      <c r="B22" s="6" t="s">
        <v>324</v>
      </c>
      <c r="C22" s="6"/>
      <c r="D22" s="453">
        <v>0.89108911386138601</v>
      </c>
      <c r="E22" s="453">
        <v>0.93434433434343434</v>
      </c>
      <c r="F22" s="453">
        <v>0.93859739122807007</v>
      </c>
    </row>
    <row r="23" spans="2:8" ht="16.2" x14ac:dyDescent="0.35">
      <c r="B23" s="5" t="s">
        <v>322</v>
      </c>
      <c r="C23" s="5">
        <v>168</v>
      </c>
      <c r="D23" s="5">
        <v>215</v>
      </c>
      <c r="E23" s="5">
        <v>285</v>
      </c>
      <c r="F23" s="5">
        <v>333</v>
      </c>
    </row>
    <row r="24" spans="2:8" ht="16.2" x14ac:dyDescent="0.35">
      <c r="B24" s="5" t="s">
        <v>323</v>
      </c>
      <c r="C24" s="5">
        <v>87</v>
      </c>
      <c r="D24" s="5">
        <v>201</v>
      </c>
      <c r="E24" s="5">
        <v>378</v>
      </c>
      <c r="F24" s="5">
        <v>594</v>
      </c>
    </row>
    <row r="25" spans="2:8" x14ac:dyDescent="0.3">
      <c r="B25" s="1" t="s">
        <v>325</v>
      </c>
      <c r="D25" s="450">
        <f>(D26*C23)+(D26*C24)</f>
        <v>200.99977277227597</v>
      </c>
      <c r="E25" s="450">
        <f>(E26*D23)+(E26*D24)</f>
        <v>378</v>
      </c>
      <c r="F25" s="450">
        <f>(F26*E23)+(F26*E24)</f>
        <v>593.9993777099296</v>
      </c>
    </row>
    <row r="26" spans="2:8" x14ac:dyDescent="0.3">
      <c r="B26" s="6" t="s">
        <v>324</v>
      </c>
      <c r="C26" s="6"/>
      <c r="D26" s="453">
        <v>0.7882344030285332</v>
      </c>
      <c r="E26" s="453">
        <v>0.90865384615384615</v>
      </c>
      <c r="F26" s="453">
        <v>0.89592666321256342</v>
      </c>
    </row>
    <row r="27" spans="2:8" ht="16.2" x14ac:dyDescent="0.35">
      <c r="B27" s="364" t="s">
        <v>330</v>
      </c>
      <c r="C27" s="451"/>
      <c r="D27" s="451"/>
      <c r="E27" s="451"/>
      <c r="F27" s="451"/>
    </row>
    <row r="28" spans="2:8" ht="16.2" x14ac:dyDescent="0.35">
      <c r="B28" s="364" t="s">
        <v>331</v>
      </c>
      <c r="C28" s="451"/>
      <c r="D28" s="451"/>
      <c r="E28" s="451"/>
      <c r="F28" s="451"/>
      <c r="H28" s="5" t="s">
        <v>378</v>
      </c>
    </row>
  </sheetData>
  <mergeCells count="1">
    <mergeCell ref="B2:F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2104A-5F59-4500-A847-335F2CFE32EA}">
  <dimension ref="B1:T108"/>
  <sheetViews>
    <sheetView showGridLines="0" zoomScale="65" zoomScaleNormal="65" workbookViewId="0">
      <pane ySplit="4" topLeftCell="A5" activePane="bottomLeft" state="frozen"/>
      <selection pane="bottomLeft" activeCell="A7" sqref="A7"/>
    </sheetView>
  </sheetViews>
  <sheetFormatPr defaultRowHeight="15.6" x14ac:dyDescent="0.3"/>
  <cols>
    <col min="1" max="1" width="8.88671875" style="2"/>
    <col min="2" max="2" width="40.109375" style="2" bestFit="1" customWidth="1"/>
    <col min="3" max="3" width="8.6640625" style="2" customWidth="1"/>
    <col min="4" max="4" width="12.33203125" style="2" customWidth="1"/>
    <col min="5" max="5" width="17" style="2" bestFit="1" customWidth="1"/>
    <col min="6" max="6" width="8.77734375" style="2" customWidth="1"/>
    <col min="7" max="7" width="9.44140625" style="2" customWidth="1"/>
    <col min="8" max="8" width="13.77734375" style="2" customWidth="1"/>
    <col min="9" max="9" width="13.109375" style="2" customWidth="1"/>
    <col min="10" max="10" width="11.88671875" style="2" bestFit="1" customWidth="1"/>
    <col min="11" max="11" width="11.88671875" style="2" customWidth="1"/>
    <col min="12" max="12" width="14.6640625" style="2" bestFit="1" customWidth="1"/>
    <col min="13" max="13" width="12.6640625" style="2" customWidth="1"/>
    <col min="14" max="14" width="18.5546875" style="2" bestFit="1" customWidth="1"/>
    <col min="15" max="15" width="12.6640625" style="2" customWidth="1"/>
    <col min="16" max="16" width="13.33203125" style="2" bestFit="1" customWidth="1"/>
    <col min="17" max="17" width="12.21875" style="2" customWidth="1"/>
    <col min="18" max="18" width="10.77734375" style="2" customWidth="1"/>
    <col min="19" max="19" width="11.77734375" style="2" customWidth="1"/>
    <col min="20" max="20" width="9.77734375" style="2" bestFit="1" customWidth="1"/>
    <col min="21" max="16384" width="8.88671875" style="2"/>
  </cols>
  <sheetData>
    <row r="1" spans="2:18" ht="16.2" thickBot="1" x14ac:dyDescent="0.35">
      <c r="B1" s="342" t="s">
        <v>226</v>
      </c>
      <c r="C1" s="343" t="s">
        <v>258</v>
      </c>
      <c r="D1" s="493"/>
      <c r="E1" s="344" t="s">
        <v>259</v>
      </c>
      <c r="F1" s="494"/>
      <c r="G1" s="345" t="s">
        <v>407</v>
      </c>
      <c r="H1" s="346"/>
    </row>
    <row r="2" spans="2:18" ht="16.2" thickBot="1" x14ac:dyDescent="0.35">
      <c r="B2" s="2" t="s">
        <v>270</v>
      </c>
      <c r="P2" s="2" t="s">
        <v>405</v>
      </c>
    </row>
    <row r="3" spans="2:18" ht="16.2" thickBot="1" x14ac:dyDescent="0.35">
      <c r="B3" s="319" t="s">
        <v>260</v>
      </c>
      <c r="C3" s="320" t="s">
        <v>261</v>
      </c>
      <c r="D3" s="320" t="s">
        <v>262</v>
      </c>
      <c r="E3" s="369" t="s">
        <v>263</v>
      </c>
      <c r="F3" s="320" t="s">
        <v>264</v>
      </c>
      <c r="G3" s="320" t="s">
        <v>265</v>
      </c>
      <c r="H3" s="370" t="s">
        <v>266</v>
      </c>
      <c r="I3" s="347"/>
      <c r="J3" s="371" t="s">
        <v>273</v>
      </c>
      <c r="K3" s="372" t="s">
        <v>503</v>
      </c>
      <c r="L3" s="372" t="s">
        <v>380</v>
      </c>
      <c r="M3" s="372" t="s">
        <v>379</v>
      </c>
      <c r="N3" s="372" t="s">
        <v>404</v>
      </c>
      <c r="O3" s="372" t="s">
        <v>267</v>
      </c>
      <c r="P3" s="321" t="s">
        <v>268</v>
      </c>
    </row>
    <row r="4" spans="2:18" x14ac:dyDescent="0.3">
      <c r="B4" s="348" t="s">
        <v>271</v>
      </c>
      <c r="C4" s="349" t="s">
        <v>224</v>
      </c>
      <c r="D4" s="350">
        <f>Summary!K12</f>
        <v>80.3</v>
      </c>
      <c r="E4" s="351">
        <f>Summary!K24</f>
        <v>3058.4421494000003</v>
      </c>
      <c r="F4" s="352">
        <f>'Wacc &amp; Beta'!C5</f>
        <v>1.0950896844005562</v>
      </c>
      <c r="G4" s="366">
        <f>Tables!T9</f>
        <v>-0.59172610556348071</v>
      </c>
      <c r="H4" s="365">
        <f>'Pro Forma'!O110</f>
        <v>0.1055104684360791</v>
      </c>
      <c r="I4" s="353"/>
      <c r="J4" s="354">
        <f ca="1">L4/('Pro Forma'!W2*100)</f>
        <v>2.082838649428377</v>
      </c>
      <c r="K4" s="354">
        <f ca="1">(D4/('Pro Forma'!P36/'Pro Forma'!O147))/('Pro Forma'!$W$2*100)</f>
        <v>0.19653473440840777</v>
      </c>
      <c r="L4" s="490">
        <f ca="1">D4/'Pro Forma'!P141</f>
        <v>86.583905379041838</v>
      </c>
      <c r="M4" s="354">
        <f ca="1">D4/'Pro Forma'!Q141</f>
        <v>66.02423672957994</v>
      </c>
      <c r="N4" s="354">
        <f>(Summary!K25)/('Pro Forma'!O36/'Pro Forma'!O94)</f>
        <v>25.308655114769486</v>
      </c>
      <c r="O4" s="354">
        <f>Summary!K25/('Pro Forma'!O101/1000)</f>
        <v>142.46123185526443</v>
      </c>
      <c r="P4" s="355">
        <f>Summary!K25/('Pro Forma'!O109/1000)</f>
        <v>185.94470087065457</v>
      </c>
    </row>
    <row r="6" spans="2:18" ht="16.2" x14ac:dyDescent="0.35">
      <c r="B6" s="356" t="s">
        <v>349</v>
      </c>
      <c r="C6" s="357"/>
      <c r="D6" s="357"/>
      <c r="E6" s="357"/>
      <c r="F6" s="357"/>
      <c r="G6" s="357"/>
      <c r="H6" s="357"/>
      <c r="I6" s="357"/>
      <c r="J6" s="357"/>
      <c r="K6" s="357"/>
      <c r="L6" s="357"/>
      <c r="M6" s="357"/>
      <c r="N6" s="357"/>
      <c r="O6" s="357"/>
      <c r="P6" s="358"/>
    </row>
    <row r="8" spans="2:18" x14ac:dyDescent="0.3">
      <c r="B8" s="470" t="s">
        <v>274</v>
      </c>
      <c r="C8" s="470" t="s">
        <v>275</v>
      </c>
      <c r="D8" s="476">
        <v>162.66999999999999</v>
      </c>
      <c r="E8" s="471">
        <v>33923</v>
      </c>
      <c r="F8" s="470">
        <v>0.97</v>
      </c>
      <c r="G8" s="472">
        <v>0.161</v>
      </c>
      <c r="H8" s="472">
        <v>0.19</v>
      </c>
      <c r="I8" s="470"/>
      <c r="J8" s="473">
        <v>2.17</v>
      </c>
      <c r="K8" s="473">
        <f>3.92/11.6</f>
        <v>0.33793103448275863</v>
      </c>
      <c r="L8" s="473">
        <v>24.44</v>
      </c>
      <c r="M8" s="473">
        <f>D8/7.3</f>
        <v>22.283561643835615</v>
      </c>
      <c r="N8" s="473">
        <v>224.32</v>
      </c>
      <c r="O8" s="473">
        <v>19.989999999999998</v>
      </c>
      <c r="P8" s="473">
        <v>26.77</v>
      </c>
      <c r="R8" s="2" t="s">
        <v>335</v>
      </c>
    </row>
    <row r="9" spans="2:18" x14ac:dyDescent="0.3">
      <c r="B9" s="470" t="s">
        <v>276</v>
      </c>
      <c r="C9" s="470" t="s">
        <v>277</v>
      </c>
      <c r="D9" s="476">
        <v>291</v>
      </c>
      <c r="E9" s="471">
        <v>62258</v>
      </c>
      <c r="F9" s="470">
        <v>1.08</v>
      </c>
      <c r="G9" s="472">
        <v>1.1910000000000001</v>
      </c>
      <c r="H9" s="472">
        <v>0.28899999999999998</v>
      </c>
      <c r="I9" s="470"/>
      <c r="J9" s="473">
        <v>2.11</v>
      </c>
      <c r="K9" s="473">
        <f>5.19/12</f>
        <v>0.43250000000000005</v>
      </c>
      <c r="L9" s="473">
        <v>22.81</v>
      </c>
      <c r="M9" s="473">
        <f>D9/14.66</f>
        <v>19.84993178717599</v>
      </c>
      <c r="N9" s="473">
        <v>282.29000000000002</v>
      </c>
      <c r="O9" s="473">
        <v>18.41</v>
      </c>
      <c r="P9" s="473">
        <v>21.24</v>
      </c>
      <c r="R9" s="2" t="s">
        <v>336</v>
      </c>
    </row>
    <row r="10" spans="2:18" x14ac:dyDescent="0.3">
      <c r="B10" s="464" t="s">
        <v>278</v>
      </c>
      <c r="C10" s="464" t="s">
        <v>279</v>
      </c>
      <c r="D10" s="477">
        <v>25.66</v>
      </c>
      <c r="E10" s="465">
        <v>2949</v>
      </c>
      <c r="F10" s="464">
        <v>1.35</v>
      </c>
      <c r="G10" s="466">
        <v>0.16500000000000001</v>
      </c>
      <c r="H10" s="466">
        <v>8.1000000000000003E-2</v>
      </c>
      <c r="I10" s="464"/>
      <c r="J10" s="468">
        <v>0.74</v>
      </c>
      <c r="K10" s="468">
        <f>(D10/567.29/115)/23.9</f>
        <v>1.6457193772742825E-5</v>
      </c>
      <c r="L10" s="468">
        <v>22.19</v>
      </c>
      <c r="M10" s="469">
        <f>D10/1.48</f>
        <v>17.337837837837839</v>
      </c>
      <c r="N10" s="469">
        <v>25.53</v>
      </c>
      <c r="O10" s="468">
        <v>213.68</v>
      </c>
      <c r="P10" s="468">
        <v>394.33</v>
      </c>
      <c r="R10" s="2" t="s">
        <v>337</v>
      </c>
    </row>
    <row r="11" spans="2:18" x14ac:dyDescent="0.3">
      <c r="B11" s="464" t="s">
        <v>280</v>
      </c>
      <c r="C11" s="464" t="s">
        <v>281</v>
      </c>
      <c r="D11" s="477">
        <v>63.54</v>
      </c>
      <c r="E11" s="465">
        <v>17931</v>
      </c>
      <c r="F11" s="464">
        <v>1.01</v>
      </c>
      <c r="G11" s="466">
        <v>0.153</v>
      </c>
      <c r="H11" s="466">
        <v>0.28100000000000003</v>
      </c>
      <c r="I11" s="464"/>
      <c r="J11" s="468">
        <v>3.39</v>
      </c>
      <c r="K11" s="468">
        <f>5.62/9</f>
        <v>0.62444444444444447</v>
      </c>
      <c r="L11" s="468">
        <v>27.94</v>
      </c>
      <c r="M11" s="468">
        <f>D11/2.56</f>
        <v>24.8203125</v>
      </c>
      <c r="N11" s="468">
        <v>82.63</v>
      </c>
      <c r="O11" s="468">
        <v>18.84</v>
      </c>
      <c r="P11" s="468">
        <v>24.42</v>
      </c>
      <c r="R11" s="2" t="s">
        <v>338</v>
      </c>
    </row>
    <row r="12" spans="2:18" x14ac:dyDescent="0.3">
      <c r="B12" s="459" t="s">
        <v>339</v>
      </c>
      <c r="C12" s="459" t="s">
        <v>282</v>
      </c>
      <c r="D12" s="478">
        <v>152.32</v>
      </c>
      <c r="E12" s="460">
        <v>76581</v>
      </c>
      <c r="F12" s="459">
        <v>0.98</v>
      </c>
      <c r="G12" s="461">
        <v>0.309</v>
      </c>
      <c r="H12" s="461">
        <v>0.217</v>
      </c>
      <c r="I12" s="459"/>
      <c r="J12" s="462">
        <v>2.5299999999999998</v>
      </c>
      <c r="K12" s="462">
        <f>3.85/7.6</f>
        <v>0.50657894736842113</v>
      </c>
      <c r="L12" s="462">
        <v>22.95</v>
      </c>
      <c r="M12" s="462">
        <f>D12/7.42</f>
        <v>20.528301886792452</v>
      </c>
      <c r="N12" s="462">
        <v>406.93</v>
      </c>
      <c r="O12" s="462">
        <v>17.05</v>
      </c>
      <c r="P12" s="462">
        <v>22.61</v>
      </c>
      <c r="R12" s="2" t="s">
        <v>340</v>
      </c>
    </row>
    <row r="13" spans="2:18" x14ac:dyDescent="0.3">
      <c r="B13" s="459" t="s">
        <v>351</v>
      </c>
      <c r="C13" s="459" t="s">
        <v>386</v>
      </c>
      <c r="D13" s="478">
        <v>1064.48</v>
      </c>
      <c r="E13" s="460">
        <v>3194</v>
      </c>
      <c r="F13" s="489">
        <v>0.9</v>
      </c>
      <c r="G13" s="463" t="s">
        <v>221</v>
      </c>
      <c r="H13" s="461">
        <v>-0.23899999999999999</v>
      </c>
      <c r="I13" s="459"/>
      <c r="J13" s="462">
        <v>0.69</v>
      </c>
      <c r="K13" s="807" t="s">
        <v>221</v>
      </c>
      <c r="L13" s="462">
        <v>47.84</v>
      </c>
      <c r="M13" s="462">
        <f>D13/26</f>
        <v>40.941538461538464</v>
      </c>
      <c r="N13" s="462">
        <v>6.37</v>
      </c>
      <c r="O13" s="463" t="s">
        <v>221</v>
      </c>
      <c r="P13" s="463" t="s">
        <v>221</v>
      </c>
      <c r="R13" s="2" t="s">
        <v>352</v>
      </c>
    </row>
    <row r="14" spans="2:18" x14ac:dyDescent="0.3">
      <c r="D14" s="373"/>
      <c r="E14" s="373"/>
      <c r="G14" s="52"/>
      <c r="H14" s="52"/>
      <c r="J14" s="322"/>
      <c r="K14" s="322"/>
      <c r="L14" s="322"/>
      <c r="M14" s="322"/>
      <c r="N14" s="322"/>
      <c r="O14" s="322"/>
      <c r="P14" s="322"/>
    </row>
    <row r="15" spans="2:18" x14ac:dyDescent="0.3">
      <c r="B15" s="482" t="s">
        <v>402</v>
      </c>
      <c r="C15" s="483"/>
      <c r="D15" s="484"/>
      <c r="E15" s="484">
        <f>AVERAGE(E8:E13)</f>
        <v>32806</v>
      </c>
      <c r="F15" s="488">
        <f t="shared" ref="F15:G15" si="0">AVERAGE(F8:F13)</f>
        <v>1.0483333333333336</v>
      </c>
      <c r="G15" s="485">
        <f t="shared" si="0"/>
        <v>0.39580000000000004</v>
      </c>
      <c r="H15" s="485">
        <f>AVERAGE(H8:H13)</f>
        <v>0.13650000000000001</v>
      </c>
      <c r="I15" s="483"/>
      <c r="J15" s="486">
        <f t="shared" ref="J15:P15" si="1">AVERAGE(J8:J13)</f>
        <v>1.9383333333333332</v>
      </c>
      <c r="K15" s="486">
        <f t="shared" si="1"/>
        <v>0.3802941766978794</v>
      </c>
      <c r="L15" s="486">
        <f t="shared" si="1"/>
        <v>28.028333333333336</v>
      </c>
      <c r="M15" s="486">
        <f t="shared" si="1"/>
        <v>24.293580686196723</v>
      </c>
      <c r="N15" s="486">
        <f t="shared" si="1"/>
        <v>171.345</v>
      </c>
      <c r="O15" s="486">
        <f t="shared" si="1"/>
        <v>57.594000000000008</v>
      </c>
      <c r="P15" s="487">
        <f t="shared" si="1"/>
        <v>97.873999999999995</v>
      </c>
    </row>
    <row r="16" spans="2:18" x14ac:dyDescent="0.3">
      <c r="D16" s="373"/>
      <c r="E16" s="373"/>
      <c r="G16" s="52"/>
      <c r="H16" s="52"/>
      <c r="J16" s="322"/>
      <c r="K16" s="322"/>
      <c r="L16" s="322"/>
      <c r="M16" s="322"/>
      <c r="N16" s="322"/>
      <c r="O16" s="322"/>
      <c r="P16" s="322"/>
    </row>
    <row r="17" spans="2:18" ht="16.2" x14ac:dyDescent="0.35">
      <c r="B17" s="356" t="s">
        <v>348</v>
      </c>
      <c r="C17" s="357"/>
      <c r="D17" s="357"/>
      <c r="E17" s="357"/>
      <c r="F17" s="357"/>
      <c r="G17" s="357"/>
      <c r="H17" s="357"/>
      <c r="I17" s="357"/>
      <c r="J17" s="357"/>
      <c r="K17" s="357"/>
      <c r="L17" s="357"/>
      <c r="M17" s="357"/>
      <c r="N17" s="357"/>
      <c r="O17" s="357"/>
      <c r="P17" s="358"/>
    </row>
    <row r="19" spans="2:18" x14ac:dyDescent="0.3">
      <c r="B19" s="459" t="s">
        <v>341</v>
      </c>
      <c r="C19" s="459" t="s">
        <v>387</v>
      </c>
      <c r="D19" s="478">
        <v>195.43</v>
      </c>
      <c r="E19" s="460">
        <v>31519</v>
      </c>
      <c r="F19" s="459">
        <v>0.83</v>
      </c>
      <c r="G19" s="461">
        <v>0.315</v>
      </c>
      <c r="H19" s="461">
        <v>0.33400000000000002</v>
      </c>
      <c r="I19" s="459"/>
      <c r="J19" s="462">
        <v>3.25</v>
      </c>
      <c r="K19" s="462">
        <f>10.67/10.1</f>
        <v>1.0564356435643565</v>
      </c>
      <c r="L19" s="462">
        <v>32.58</v>
      </c>
      <c r="M19" s="462">
        <f>D19/5.77</f>
        <v>33.870017331022531</v>
      </c>
      <c r="N19" s="462">
        <v>124.71</v>
      </c>
      <c r="O19" s="462">
        <v>29.14</v>
      </c>
      <c r="P19" s="462">
        <v>39.9</v>
      </c>
      <c r="R19" s="2" t="s">
        <v>342</v>
      </c>
    </row>
    <row r="20" spans="2:18" x14ac:dyDescent="0.3">
      <c r="B20" s="470" t="s">
        <v>343</v>
      </c>
      <c r="C20" s="470" t="s">
        <v>385</v>
      </c>
      <c r="D20" s="476">
        <v>116.05</v>
      </c>
      <c r="E20" s="471">
        <v>67316</v>
      </c>
      <c r="F20" s="470">
        <v>2.17</v>
      </c>
      <c r="G20" s="472">
        <v>0.30099999999999999</v>
      </c>
      <c r="H20" s="472">
        <v>2.5999999999999999E-2</v>
      </c>
      <c r="I20" s="470"/>
      <c r="J20" s="473">
        <v>2.99</v>
      </c>
      <c r="K20" s="473">
        <f>3.96/39.9</f>
        <v>9.9248120300751877E-2</v>
      </c>
      <c r="L20" s="473">
        <v>72.33</v>
      </c>
      <c r="M20" s="473">
        <f>D20/2.2</f>
        <v>52.749999999999993</v>
      </c>
      <c r="N20" s="473">
        <v>35.840000000000003</v>
      </c>
      <c r="O20" s="473">
        <v>125.14</v>
      </c>
      <c r="P20" s="473">
        <v>161.9</v>
      </c>
      <c r="R20" s="2" t="s">
        <v>344</v>
      </c>
    </row>
    <row r="21" spans="2:18" x14ac:dyDescent="0.3">
      <c r="B21" s="464" t="s">
        <v>346</v>
      </c>
      <c r="C21" s="464" t="s">
        <v>388</v>
      </c>
      <c r="D21" s="477">
        <v>27.41</v>
      </c>
      <c r="E21" s="465">
        <v>1506</v>
      </c>
      <c r="F21" s="464">
        <v>0.95</v>
      </c>
      <c r="G21" s="466">
        <v>0.11799999999999999</v>
      </c>
      <c r="H21" s="466">
        <v>3.4000000000000002E-2</v>
      </c>
      <c r="I21" s="464"/>
      <c r="J21" s="468">
        <v>0.91</v>
      </c>
      <c r="K21" s="468">
        <f>1.05/20</f>
        <v>5.2500000000000005E-2</v>
      </c>
      <c r="L21" s="468">
        <v>11.34</v>
      </c>
      <c r="M21" s="469">
        <f>D21/2.83</f>
        <v>9.6855123674911656</v>
      </c>
      <c r="N21" s="469">
        <v>0.57999999999999996</v>
      </c>
      <c r="O21" s="468">
        <v>5.03</v>
      </c>
      <c r="P21" s="468">
        <v>13.98</v>
      </c>
      <c r="R21" s="2" t="s">
        <v>347</v>
      </c>
    </row>
    <row r="22" spans="2:18" x14ac:dyDescent="0.3">
      <c r="B22" s="459" t="s">
        <v>350</v>
      </c>
      <c r="C22" s="459" t="s">
        <v>384</v>
      </c>
      <c r="D22" s="478">
        <v>19.91</v>
      </c>
      <c r="E22" s="460">
        <v>2409</v>
      </c>
      <c r="F22" s="475" t="s">
        <v>221</v>
      </c>
      <c r="G22" s="479" t="s">
        <v>221</v>
      </c>
      <c r="H22" s="461">
        <v>3.6999999999999998E-2</v>
      </c>
      <c r="I22" s="459"/>
      <c r="J22" s="462">
        <v>44.13</v>
      </c>
      <c r="K22" s="462">
        <f>5/28</f>
        <v>0.17857142857142858</v>
      </c>
      <c r="L22" s="462">
        <v>448.65</v>
      </c>
      <c r="M22" s="463">
        <f>D22/0.08</f>
        <v>248.875</v>
      </c>
      <c r="N22" s="463">
        <v>11.44</v>
      </c>
      <c r="O22" s="462">
        <v>144.41</v>
      </c>
      <c r="P22" s="462">
        <v>274.27</v>
      </c>
      <c r="R22" s="2" t="s">
        <v>353</v>
      </c>
    </row>
    <row r="23" spans="2:18" x14ac:dyDescent="0.3">
      <c r="B23" s="459" t="s">
        <v>333</v>
      </c>
      <c r="C23" s="459" t="s">
        <v>389</v>
      </c>
      <c r="D23" s="478">
        <v>49.68</v>
      </c>
      <c r="E23" s="460">
        <v>12638</v>
      </c>
      <c r="F23" s="459">
        <v>1.96</v>
      </c>
      <c r="G23" s="461">
        <v>-9.2999999999999999E-2</v>
      </c>
      <c r="H23" s="461">
        <v>0.02</v>
      </c>
      <c r="I23" s="459"/>
      <c r="J23" s="462">
        <v>0.13</v>
      </c>
      <c r="K23" s="462">
        <f>2.45/86.9</f>
        <v>2.8193325661680091E-2</v>
      </c>
      <c r="L23" s="462">
        <v>24.16</v>
      </c>
      <c r="M23" s="462">
        <f>D23/2.73</f>
        <v>18.197802197802197</v>
      </c>
      <c r="N23" s="462">
        <v>17.48</v>
      </c>
      <c r="O23" s="462">
        <v>53.5</v>
      </c>
      <c r="P23" s="462">
        <v>110.04</v>
      </c>
      <c r="R23" s="2" t="s">
        <v>345</v>
      </c>
    </row>
    <row r="24" spans="2:18" x14ac:dyDescent="0.3">
      <c r="D24" s="373"/>
      <c r="E24" s="373"/>
      <c r="G24" s="52"/>
      <c r="H24" s="52"/>
      <c r="J24" s="322"/>
      <c r="K24" s="322"/>
      <c r="L24" s="322"/>
      <c r="M24" s="322"/>
      <c r="N24" s="322"/>
      <c r="O24" s="322"/>
      <c r="P24" s="322"/>
    </row>
    <row r="25" spans="2:18" x14ac:dyDescent="0.3">
      <c r="B25" s="482" t="s">
        <v>402</v>
      </c>
      <c r="C25" s="483"/>
      <c r="D25" s="484"/>
      <c r="E25" s="484">
        <f>AVERAGE(E19:E23)</f>
        <v>23077.599999999999</v>
      </c>
      <c r="F25" s="488">
        <f>AVERAGE(F19:F23)</f>
        <v>1.4775</v>
      </c>
      <c r="G25" s="485">
        <f>AVERAGE(G19:G23)</f>
        <v>0.16025</v>
      </c>
      <c r="H25" s="485">
        <f>AVERAGE(H19:H23)</f>
        <v>9.0200000000000002E-2</v>
      </c>
      <c r="I25" s="483"/>
      <c r="J25" s="486">
        <f>AVERAGE(J19:J23)</f>
        <v>10.282</v>
      </c>
      <c r="K25" s="486">
        <f>AVERAGE(K19:K23)</f>
        <v>0.28298970361964343</v>
      </c>
      <c r="L25" s="486">
        <f t="shared" ref="L25:P25" si="2">AVERAGE(L19:L23)</f>
        <v>117.81199999999998</v>
      </c>
      <c r="M25" s="486">
        <f t="shared" si="2"/>
        <v>72.675666379263177</v>
      </c>
      <c r="N25" s="486">
        <f t="shared" si="2"/>
        <v>38.010000000000005</v>
      </c>
      <c r="O25" s="486">
        <f t="shared" si="2"/>
        <v>71.444000000000003</v>
      </c>
      <c r="P25" s="487">
        <f t="shared" si="2"/>
        <v>120.01799999999999</v>
      </c>
    </row>
    <row r="26" spans="2:18" x14ac:dyDescent="0.3">
      <c r="D26" s="373"/>
      <c r="E26" s="373"/>
      <c r="G26" s="52"/>
      <c r="H26" s="52"/>
      <c r="J26" s="322"/>
      <c r="K26" s="322"/>
      <c r="L26" s="322"/>
      <c r="M26" s="322"/>
      <c r="N26" s="322"/>
      <c r="O26" s="322"/>
      <c r="P26" s="322"/>
    </row>
    <row r="27" spans="2:18" ht="16.2" x14ac:dyDescent="0.35">
      <c r="B27" s="356" t="s">
        <v>362</v>
      </c>
      <c r="C27" s="357"/>
      <c r="D27" s="357"/>
      <c r="E27" s="357"/>
      <c r="F27" s="357"/>
      <c r="G27" s="357"/>
      <c r="H27" s="357"/>
      <c r="I27" s="357"/>
      <c r="J27" s="357"/>
      <c r="K27" s="357"/>
      <c r="L27" s="357"/>
      <c r="M27" s="357"/>
      <c r="N27" s="357"/>
      <c r="O27" s="357"/>
      <c r="P27" s="358"/>
    </row>
    <row r="29" spans="2:18" x14ac:dyDescent="0.3">
      <c r="B29" s="470" t="s">
        <v>355</v>
      </c>
      <c r="C29" s="470" t="s">
        <v>390</v>
      </c>
      <c r="D29" s="476">
        <v>86.58</v>
      </c>
      <c r="E29" s="471">
        <v>7881</v>
      </c>
      <c r="F29" s="470">
        <v>1.21</v>
      </c>
      <c r="G29" s="472">
        <v>-0.106</v>
      </c>
      <c r="H29" s="472">
        <v>0.24</v>
      </c>
      <c r="I29" s="470"/>
      <c r="J29" s="473">
        <v>0.89</v>
      </c>
      <c r="K29" s="473">
        <f>8.06/35.8</f>
        <v>0.22513966480446931</v>
      </c>
      <c r="L29" s="473">
        <v>51.35</v>
      </c>
      <c r="M29" s="473">
        <f>D29/2.14</f>
        <v>40.457943925233643</v>
      </c>
      <c r="N29" s="473">
        <v>23.6</v>
      </c>
      <c r="O29" s="473">
        <v>44.48</v>
      </c>
      <c r="P29" s="473">
        <v>64.3</v>
      </c>
      <c r="R29" s="2" t="s">
        <v>356</v>
      </c>
    </row>
    <row r="30" spans="2:18" x14ac:dyDescent="0.3">
      <c r="B30" s="470" t="s">
        <v>357</v>
      </c>
      <c r="C30" s="470" t="s">
        <v>391</v>
      </c>
      <c r="D30" s="476">
        <v>29.46</v>
      </c>
      <c r="E30" s="471">
        <v>557</v>
      </c>
      <c r="F30" s="470">
        <v>1.79</v>
      </c>
      <c r="G30" s="480" t="s">
        <v>221</v>
      </c>
      <c r="H30" s="472">
        <v>0.11</v>
      </c>
      <c r="I30" s="470"/>
      <c r="J30" s="473">
        <v>2.33</v>
      </c>
      <c r="K30" s="474" t="s">
        <v>221</v>
      </c>
      <c r="L30" s="473">
        <v>11.42</v>
      </c>
      <c r="M30" s="473">
        <f>D30/2.68</f>
        <v>10.992537313432836</v>
      </c>
      <c r="N30" s="473">
        <v>0.9</v>
      </c>
      <c r="O30" s="473">
        <v>6.86</v>
      </c>
      <c r="P30" s="473">
        <v>12.81</v>
      </c>
      <c r="R30" s="2" t="s">
        <v>361</v>
      </c>
    </row>
    <row r="31" spans="2:18" x14ac:dyDescent="0.3">
      <c r="B31" s="459" t="s">
        <v>358</v>
      </c>
      <c r="C31" s="459" t="s">
        <v>392</v>
      </c>
      <c r="D31" s="478">
        <v>230.59</v>
      </c>
      <c r="E31" s="460">
        <v>827</v>
      </c>
      <c r="F31" s="459">
        <v>0.95</v>
      </c>
      <c r="G31" s="479" t="s">
        <v>221</v>
      </c>
      <c r="H31" s="461">
        <v>0.65600000000000003</v>
      </c>
      <c r="I31" s="459"/>
      <c r="J31" s="463" t="s">
        <v>221</v>
      </c>
      <c r="K31" s="463" t="s">
        <v>221</v>
      </c>
      <c r="L31" s="463" t="s">
        <v>221</v>
      </c>
      <c r="M31" s="463" t="s">
        <v>221</v>
      </c>
      <c r="N31" s="462">
        <v>0.99</v>
      </c>
      <c r="O31" s="462">
        <v>17.59</v>
      </c>
      <c r="P31" s="462">
        <v>17.739999999999998</v>
      </c>
      <c r="R31" s="2" t="s">
        <v>363</v>
      </c>
    </row>
    <row r="32" spans="2:18" x14ac:dyDescent="0.3">
      <c r="B32" s="470" t="s">
        <v>359</v>
      </c>
      <c r="C32" s="470" t="s">
        <v>393</v>
      </c>
      <c r="D32" s="476">
        <v>40.090000000000003</v>
      </c>
      <c r="E32" s="471">
        <v>41896</v>
      </c>
      <c r="F32" s="470">
        <v>0.7</v>
      </c>
      <c r="G32" s="472">
        <v>0.24399999999999999</v>
      </c>
      <c r="H32" s="472">
        <v>7.9000000000000001E-2</v>
      </c>
      <c r="I32" s="470"/>
      <c r="J32" s="473">
        <v>4.6399999999999997</v>
      </c>
      <c r="K32" s="473">
        <f>0.69/7.4</f>
        <v>9.3243243243243235E-2</v>
      </c>
      <c r="L32" s="473">
        <v>15.9</v>
      </c>
      <c r="M32" s="473">
        <f>D32/2.57</f>
        <v>15.59922178988327</v>
      </c>
      <c r="N32" s="473">
        <v>90.49</v>
      </c>
      <c r="O32" s="473">
        <v>8.58</v>
      </c>
      <c r="P32" s="473">
        <v>11.82</v>
      </c>
      <c r="R32" s="2" t="s">
        <v>364</v>
      </c>
    </row>
    <row r="33" spans="2:18" x14ac:dyDescent="0.3">
      <c r="D33" s="373"/>
      <c r="E33" s="373"/>
      <c r="G33" s="52"/>
      <c r="H33" s="52"/>
      <c r="J33" s="322"/>
      <c r="K33" s="322"/>
      <c r="L33" s="322"/>
      <c r="M33" s="322"/>
      <c r="N33" s="322"/>
      <c r="O33" s="322"/>
      <c r="P33" s="322"/>
    </row>
    <row r="34" spans="2:18" x14ac:dyDescent="0.3">
      <c r="B34" s="482" t="s">
        <v>402</v>
      </c>
      <c r="C34" s="483"/>
      <c r="D34" s="484"/>
      <c r="E34" s="484">
        <f>AVERAGE(E29:E32)</f>
        <v>12790.25</v>
      </c>
      <c r="F34" s="488">
        <f>AVERAGE(F29:F32)</f>
        <v>1.1625000000000001</v>
      </c>
      <c r="G34" s="485">
        <f>AVERAGE(G29:G32)</f>
        <v>6.9000000000000006E-2</v>
      </c>
      <c r="H34" s="485">
        <f>AVERAGE(H29:H32)</f>
        <v>0.27124999999999999</v>
      </c>
      <c r="I34" s="483"/>
      <c r="J34" s="486">
        <f>AVERAGE(J29:J32)</f>
        <v>2.6199999999999997</v>
      </c>
      <c r="K34" s="486">
        <f>AVERAGE(K29:K32)</f>
        <v>0.15919145402385626</v>
      </c>
      <c r="L34" s="486">
        <f t="shared" ref="L34:P34" si="3">AVERAGE(L29:L32)</f>
        <v>26.223333333333333</v>
      </c>
      <c r="M34" s="486">
        <f t="shared" si="3"/>
        <v>22.349901009516582</v>
      </c>
      <c r="N34" s="486">
        <f t="shared" si="3"/>
        <v>28.994999999999997</v>
      </c>
      <c r="O34" s="486">
        <f t="shared" si="3"/>
        <v>19.377499999999998</v>
      </c>
      <c r="P34" s="487">
        <f t="shared" si="3"/>
        <v>26.667499999999997</v>
      </c>
    </row>
    <row r="35" spans="2:18" x14ac:dyDescent="0.3">
      <c r="D35" s="373"/>
      <c r="E35" s="373"/>
      <c r="G35" s="52"/>
      <c r="H35" s="52"/>
      <c r="J35" s="322"/>
      <c r="K35" s="322"/>
      <c r="L35" s="322"/>
      <c r="M35" s="322"/>
      <c r="N35" s="322"/>
      <c r="O35" s="322"/>
      <c r="P35" s="322"/>
    </row>
    <row r="36" spans="2:18" ht="16.2" x14ac:dyDescent="0.35">
      <c r="B36" s="356" t="s">
        <v>354</v>
      </c>
      <c r="C36" s="357"/>
      <c r="D36" s="357"/>
      <c r="E36" s="357"/>
      <c r="F36" s="357"/>
      <c r="G36" s="357"/>
      <c r="H36" s="357"/>
      <c r="I36" s="357"/>
      <c r="J36" s="357"/>
      <c r="K36" s="357"/>
      <c r="L36" s="357"/>
      <c r="M36" s="357"/>
      <c r="N36" s="357"/>
      <c r="O36" s="357"/>
      <c r="P36" s="358"/>
    </row>
    <row r="38" spans="2:18" x14ac:dyDescent="0.3">
      <c r="B38" s="470" t="s">
        <v>368</v>
      </c>
      <c r="C38" s="470" t="s">
        <v>403</v>
      </c>
      <c r="D38" s="476"/>
      <c r="E38" s="471"/>
      <c r="F38" s="470"/>
      <c r="G38" s="472"/>
      <c r="H38" s="472">
        <f>59.6/996.7</f>
        <v>5.979733119293669E-2</v>
      </c>
      <c r="I38" s="470"/>
      <c r="J38" s="473">
        <f>L38/30</f>
        <v>1.2133333333333334</v>
      </c>
      <c r="K38" s="474" t="s">
        <v>221</v>
      </c>
      <c r="L38" s="473">
        <v>36.4</v>
      </c>
      <c r="M38" s="473">
        <v>22.6</v>
      </c>
      <c r="N38" s="473">
        <f>(1371.69)/(996.66/1.5)</f>
        <v>2.0644301968575043</v>
      </c>
      <c r="O38" s="473">
        <v>23</v>
      </c>
      <c r="P38" s="473">
        <v>8.1</v>
      </c>
      <c r="R38" s="2" t="s">
        <v>372</v>
      </c>
    </row>
    <row r="39" spans="2:18" x14ac:dyDescent="0.3">
      <c r="B39" s="464" t="s">
        <v>365</v>
      </c>
      <c r="C39" s="464" t="s">
        <v>394</v>
      </c>
      <c r="D39" s="477">
        <v>31.82</v>
      </c>
      <c r="E39" s="465">
        <v>4291</v>
      </c>
      <c r="F39" s="464">
        <v>0.99</v>
      </c>
      <c r="G39" s="466">
        <v>0.251</v>
      </c>
      <c r="H39" s="466">
        <v>0.10100000000000001</v>
      </c>
      <c r="I39" s="464"/>
      <c r="J39" s="468">
        <v>4.92</v>
      </c>
      <c r="K39" s="468">
        <f>5.55/30</f>
        <v>0.185</v>
      </c>
      <c r="L39" s="468">
        <v>25.88</v>
      </c>
      <c r="M39" s="468">
        <f>D39/1.41</f>
        <v>22.567375886524825</v>
      </c>
      <c r="N39" s="468">
        <v>9.52</v>
      </c>
      <c r="O39" s="468">
        <v>32.4</v>
      </c>
      <c r="P39" s="468">
        <v>58.67</v>
      </c>
      <c r="R39" s="2" t="s">
        <v>369</v>
      </c>
    </row>
    <row r="40" spans="2:18" x14ac:dyDescent="0.3">
      <c r="B40" s="470" t="s">
        <v>366</v>
      </c>
      <c r="C40" s="470" t="s">
        <v>383</v>
      </c>
      <c r="D40" s="476">
        <v>170.76</v>
      </c>
      <c r="E40" s="471">
        <v>48966</v>
      </c>
      <c r="F40" s="470">
        <v>1.25</v>
      </c>
      <c r="G40" s="472">
        <v>0.20200000000000001</v>
      </c>
      <c r="H40" s="472">
        <v>0.14000000000000001</v>
      </c>
      <c r="I40" s="470"/>
      <c r="J40" s="473">
        <v>2.2000000000000002</v>
      </c>
      <c r="K40" s="473">
        <f>3.56/15.6</f>
        <v>0.22820512820512823</v>
      </c>
      <c r="L40" s="473">
        <v>31.24</v>
      </c>
      <c r="M40" s="474">
        <f>D40/6.12</f>
        <v>27.901960784313722</v>
      </c>
      <c r="N40" s="474">
        <v>279.25</v>
      </c>
      <c r="O40" s="473">
        <v>28.74</v>
      </c>
      <c r="P40" s="473">
        <v>42.29</v>
      </c>
      <c r="R40" s="2" t="s">
        <v>370</v>
      </c>
    </row>
    <row r="41" spans="2:18" x14ac:dyDescent="0.3">
      <c r="B41" s="470" t="s">
        <v>367</v>
      </c>
      <c r="C41" s="470" t="s">
        <v>395</v>
      </c>
      <c r="D41" s="476">
        <v>155.79</v>
      </c>
      <c r="E41" s="471">
        <v>24412</v>
      </c>
      <c r="F41" s="470">
        <v>0.7</v>
      </c>
      <c r="G41" s="472">
        <v>-8.3000000000000004E-2</v>
      </c>
      <c r="H41" s="472">
        <v>-0.54600000000000004</v>
      </c>
      <c r="I41" s="470"/>
      <c r="J41" s="474" t="s">
        <v>221</v>
      </c>
      <c r="K41" s="474">
        <f>12.16/25</f>
        <v>0.4864</v>
      </c>
      <c r="L41" s="473">
        <v>-139.13</v>
      </c>
      <c r="M41" s="473">
        <f>D41/-1.18</f>
        <v>-132.02542372881356</v>
      </c>
      <c r="N41" s="473">
        <v>116.49</v>
      </c>
      <c r="O41" s="474" t="s">
        <v>221</v>
      </c>
      <c r="P41" s="474" t="s">
        <v>221</v>
      </c>
      <c r="R41" s="2" t="s">
        <v>371</v>
      </c>
    </row>
    <row r="42" spans="2:18" x14ac:dyDescent="0.3">
      <c r="D42" s="373"/>
      <c r="E42" s="373"/>
      <c r="G42" s="52"/>
      <c r="H42" s="52"/>
      <c r="J42" s="322"/>
      <c r="K42" s="322"/>
      <c r="L42" s="322"/>
      <c r="M42" s="322"/>
      <c r="N42" s="322"/>
      <c r="O42" s="322"/>
      <c r="P42" s="322"/>
    </row>
    <row r="43" spans="2:18" x14ac:dyDescent="0.3">
      <c r="B43" s="482" t="s">
        <v>402</v>
      </c>
      <c r="C43" s="483"/>
      <c r="D43" s="484"/>
      <c r="E43" s="484">
        <f>AVERAGE(E38:E41)</f>
        <v>25889.666666666668</v>
      </c>
      <c r="F43" s="488">
        <f>AVERAGE(F38:F41)</f>
        <v>0.98000000000000009</v>
      </c>
      <c r="G43" s="485">
        <f>AVERAGE(G38:G41)</f>
        <v>0.12333333333333334</v>
      </c>
      <c r="H43" s="485">
        <f>AVERAGE(H38:H41)</f>
        <v>-6.1300667201765829E-2</v>
      </c>
      <c r="I43" s="483"/>
      <c r="J43" s="486">
        <f>AVERAGE(J38:J41)</f>
        <v>2.7777777777777772</v>
      </c>
      <c r="K43" s="486">
        <f>AVERAGE(K38:K41)</f>
        <v>0.29986837606837607</v>
      </c>
      <c r="L43" s="486">
        <f t="shared" ref="L43:P43" si="4">AVERAGE(L38:L41)</f>
        <v>-11.4025</v>
      </c>
      <c r="M43" s="486">
        <f t="shared" si="4"/>
        <v>-14.739021764493756</v>
      </c>
      <c r="N43" s="486">
        <f t="shared" si="4"/>
        <v>101.83110754921438</v>
      </c>
      <c r="O43" s="486">
        <f t="shared" si="4"/>
        <v>28.046666666666667</v>
      </c>
      <c r="P43" s="487">
        <f t="shared" si="4"/>
        <v>36.353333333333332</v>
      </c>
    </row>
    <row r="44" spans="2:18" x14ac:dyDescent="0.3">
      <c r="D44" s="373"/>
      <c r="E44" s="373"/>
      <c r="G44" s="52"/>
      <c r="H44" s="52"/>
      <c r="J44" s="322"/>
      <c r="K44" s="322"/>
      <c r="L44" s="322"/>
      <c r="M44" s="322"/>
      <c r="N44" s="322"/>
      <c r="O44" s="322"/>
      <c r="P44" s="322"/>
    </row>
    <row r="45" spans="2:18" ht="16.2" x14ac:dyDescent="0.35">
      <c r="B45" s="356" t="s">
        <v>334</v>
      </c>
      <c r="C45" s="357"/>
      <c r="D45" s="357"/>
      <c r="E45" s="357"/>
      <c r="F45" s="357"/>
      <c r="G45" s="357"/>
      <c r="H45" s="357"/>
      <c r="I45" s="357"/>
      <c r="J45" s="357"/>
      <c r="K45" s="357"/>
      <c r="L45" s="357"/>
      <c r="M45" s="357"/>
      <c r="N45" s="357"/>
      <c r="O45" s="357"/>
      <c r="P45" s="358"/>
    </row>
    <row r="47" spans="2:18" x14ac:dyDescent="0.3">
      <c r="B47" s="464" t="s">
        <v>360</v>
      </c>
      <c r="C47" s="464" t="s">
        <v>396</v>
      </c>
      <c r="D47" s="477">
        <v>1.33</v>
      </c>
      <c r="E47" s="465">
        <v>427</v>
      </c>
      <c r="F47" s="467" t="s">
        <v>221</v>
      </c>
      <c r="G47" s="481" t="s">
        <v>221</v>
      </c>
      <c r="H47" s="466">
        <v>-9.7000000000000003E-2</v>
      </c>
      <c r="I47" s="464"/>
      <c r="J47" s="469">
        <f>L47/95.6</f>
        <v>1.9643305439330545</v>
      </c>
      <c r="K47" s="469">
        <f>0.41/95.6</f>
        <v>4.2887029288702925E-3</v>
      </c>
      <c r="L47" s="468">
        <v>187.79</v>
      </c>
      <c r="M47" s="468">
        <f>D47/0.2</f>
        <v>6.65</v>
      </c>
      <c r="N47" s="468">
        <v>6.76</v>
      </c>
      <c r="O47" s="468">
        <v>488.4</v>
      </c>
      <c r="P47" s="469" t="s">
        <v>221</v>
      </c>
      <c r="R47" s="2" t="s">
        <v>373</v>
      </c>
    </row>
    <row r="48" spans="2:18" x14ac:dyDescent="0.3">
      <c r="B48" s="459" t="s">
        <v>399</v>
      </c>
      <c r="C48" s="459" t="s">
        <v>397</v>
      </c>
      <c r="D48" s="478">
        <v>21.74</v>
      </c>
      <c r="E48" s="460">
        <v>1341</v>
      </c>
      <c r="F48" s="475" t="s">
        <v>221</v>
      </c>
      <c r="G48" s="461">
        <v>-0.311</v>
      </c>
      <c r="H48" s="461">
        <v>-1.792</v>
      </c>
      <c r="I48" s="459"/>
      <c r="J48" s="463" t="s">
        <v>221</v>
      </c>
      <c r="K48" s="463" t="s">
        <v>221</v>
      </c>
      <c r="L48" s="462">
        <v>-3.86</v>
      </c>
      <c r="M48" s="462">
        <f>D48/-5.38</f>
        <v>-4.04089219330855</v>
      </c>
      <c r="N48" s="462">
        <v>20.260000000000002</v>
      </c>
      <c r="O48" s="463" t="s">
        <v>221</v>
      </c>
      <c r="P48" s="463" t="s">
        <v>221</v>
      </c>
      <c r="R48" s="2" t="s">
        <v>374</v>
      </c>
    </row>
    <row r="49" spans="2:20" x14ac:dyDescent="0.3">
      <c r="B49" s="459" t="s">
        <v>398</v>
      </c>
      <c r="C49" s="459" t="s">
        <v>400</v>
      </c>
      <c r="D49" s="478">
        <v>8.15</v>
      </c>
      <c r="E49" s="460">
        <v>1715</v>
      </c>
      <c r="F49" s="475" t="s">
        <v>221</v>
      </c>
      <c r="G49" s="479" t="s">
        <v>221</v>
      </c>
      <c r="H49" s="461">
        <v>-0.29599999999999999</v>
      </c>
      <c r="I49" s="459"/>
      <c r="J49" s="463" t="s">
        <v>221</v>
      </c>
      <c r="K49" s="463" t="s">
        <v>221</v>
      </c>
      <c r="L49" s="462">
        <v>-3.46</v>
      </c>
      <c r="M49" s="463">
        <f>D49/-1.87</f>
        <v>-4.358288770053476</v>
      </c>
      <c r="N49" s="463">
        <v>0.79</v>
      </c>
      <c r="O49" s="463" t="s">
        <v>221</v>
      </c>
      <c r="P49" s="463" t="s">
        <v>221</v>
      </c>
      <c r="R49" s="2" t="s">
        <v>375</v>
      </c>
    </row>
    <row r="50" spans="2:20" x14ac:dyDescent="0.3">
      <c r="B50" s="459" t="s">
        <v>376</v>
      </c>
      <c r="C50" s="459" t="s">
        <v>401</v>
      </c>
      <c r="D50" s="478">
        <v>1.61</v>
      </c>
      <c r="E50" s="460">
        <v>409</v>
      </c>
      <c r="F50" s="475" t="s">
        <v>221</v>
      </c>
      <c r="G50" s="461">
        <v>-0.60099999999999998</v>
      </c>
      <c r="H50" s="461">
        <v>-1.405</v>
      </c>
      <c r="I50" s="459"/>
      <c r="J50" s="463" t="s">
        <v>221</v>
      </c>
      <c r="K50" s="463" t="s">
        <v>221</v>
      </c>
      <c r="L50" s="462">
        <v>-1.1200000000000001</v>
      </c>
      <c r="M50" s="462">
        <f>D50/-1.14</f>
        <v>-1.4122807017543861</v>
      </c>
      <c r="N50" s="462">
        <v>0.62</v>
      </c>
      <c r="O50" s="463" t="s">
        <v>221</v>
      </c>
      <c r="P50" s="463" t="s">
        <v>221</v>
      </c>
      <c r="R50" s="2" t="s">
        <v>377</v>
      </c>
    </row>
    <row r="51" spans="2:20" x14ac:dyDescent="0.3">
      <c r="P51" s="322"/>
    </row>
    <row r="52" spans="2:20" x14ac:dyDescent="0.3">
      <c r="B52" s="482" t="s">
        <v>402</v>
      </c>
      <c r="C52" s="483"/>
      <c r="D52" s="484"/>
      <c r="E52" s="484">
        <f>AVERAGE(E47:E50)</f>
        <v>973</v>
      </c>
      <c r="F52" s="492" t="s">
        <v>221</v>
      </c>
      <c r="G52" s="485">
        <f>AVERAGE(G47:G50)</f>
        <v>-0.45599999999999996</v>
      </c>
      <c r="H52" s="485">
        <f>AVERAGE(H47:H50)</f>
        <v>-0.89749999999999996</v>
      </c>
      <c r="I52" s="483"/>
      <c r="J52" s="486">
        <f>AVERAGE(J47:J50)</f>
        <v>1.9643305439330545</v>
      </c>
      <c r="K52" s="486">
        <f>AVERAGE(K47:K50)</f>
        <v>4.2887029288702925E-3</v>
      </c>
      <c r="L52" s="486">
        <f t="shared" ref="L52:O52" si="5">AVERAGE(L47:L50)</f>
        <v>44.837499999999991</v>
      </c>
      <c r="M52" s="486">
        <f t="shared" si="5"/>
        <v>-0.79036541627910295</v>
      </c>
      <c r="N52" s="486">
        <f t="shared" si="5"/>
        <v>7.1075000000000008</v>
      </c>
      <c r="O52" s="486">
        <f t="shared" si="5"/>
        <v>488.4</v>
      </c>
      <c r="P52" s="491" t="s">
        <v>221</v>
      </c>
    </row>
    <row r="53" spans="2:20" x14ac:dyDescent="0.3">
      <c r="P53" s="322"/>
    </row>
    <row r="54" spans="2:20" ht="16.2" x14ac:dyDescent="0.35">
      <c r="B54" s="356" t="s">
        <v>406</v>
      </c>
      <c r="C54" s="357"/>
      <c r="D54" s="357"/>
      <c r="E54" s="357"/>
      <c r="F54" s="357"/>
      <c r="G54" s="357"/>
      <c r="H54" s="357"/>
      <c r="I54" s="357"/>
      <c r="J54" s="357"/>
      <c r="K54" s="357"/>
      <c r="L54" s="357"/>
      <c r="M54" s="357"/>
      <c r="N54" s="357"/>
      <c r="O54" s="357"/>
      <c r="P54" s="358"/>
      <c r="Q54" s="646" t="s">
        <v>445</v>
      </c>
      <c r="R54" s="2" t="s">
        <v>497</v>
      </c>
      <c r="S54" s="2" t="s">
        <v>500</v>
      </c>
      <c r="T54" s="2" t="s">
        <v>500</v>
      </c>
    </row>
    <row r="55" spans="2:20" x14ac:dyDescent="0.3">
      <c r="B55" s="464" t="str">
        <f>B10</f>
        <v>BRP Group</v>
      </c>
      <c r="C55" s="464" t="str">
        <f t="shared" ref="C55:P55" si="6">C10</f>
        <v>BRP</v>
      </c>
      <c r="D55" s="477">
        <f t="shared" si="6"/>
        <v>25.66</v>
      </c>
      <c r="E55" s="465">
        <f t="shared" si="6"/>
        <v>2949</v>
      </c>
      <c r="F55" s="464">
        <f t="shared" si="6"/>
        <v>1.35</v>
      </c>
      <c r="G55" s="466">
        <f t="shared" si="6"/>
        <v>0.16500000000000001</v>
      </c>
      <c r="H55" s="466">
        <f t="shared" si="6"/>
        <v>8.1000000000000003E-2</v>
      </c>
      <c r="I55" s="464"/>
      <c r="J55" s="468">
        <f t="shared" si="6"/>
        <v>0.74</v>
      </c>
      <c r="K55" s="468">
        <f t="shared" ref="K55" si="7">K10</f>
        <v>1.6457193772742825E-5</v>
      </c>
      <c r="L55" s="468">
        <f t="shared" si="6"/>
        <v>22.19</v>
      </c>
      <c r="M55" s="468">
        <f t="shared" si="6"/>
        <v>17.337837837837839</v>
      </c>
      <c r="N55" s="468">
        <f t="shared" si="6"/>
        <v>25.53</v>
      </c>
      <c r="O55" s="468">
        <f t="shared" si="6"/>
        <v>213.68</v>
      </c>
      <c r="P55" s="468">
        <f t="shared" si="6"/>
        <v>394.33</v>
      </c>
      <c r="Q55" s="643">
        <f>(1-($Q$58+$Q$59+$Q$60))/4</f>
        <v>0.19</v>
      </c>
      <c r="R55" s="643">
        <f>(1-($R$58+$R$59+$R$60))/3</f>
        <v>0.22833333333333336</v>
      </c>
      <c r="S55" s="643">
        <f>(1-($S$58+$S$59+$S$60))/3</f>
        <v>0.25</v>
      </c>
      <c r="T55" s="643">
        <f>(1-($T$58+$T$59+$T$60))/4</f>
        <v>0.2</v>
      </c>
    </row>
    <row r="56" spans="2:20" x14ac:dyDescent="0.3">
      <c r="B56" s="464" t="str">
        <f>B11</f>
        <v>Brown &amp; Brown, Inc.</v>
      </c>
      <c r="C56" s="464" t="str">
        <f t="shared" ref="C56:P56" si="8">C11</f>
        <v>BRO</v>
      </c>
      <c r="D56" s="477">
        <f t="shared" si="8"/>
        <v>63.54</v>
      </c>
      <c r="E56" s="465">
        <f t="shared" si="8"/>
        <v>17931</v>
      </c>
      <c r="F56" s="464">
        <f t="shared" si="8"/>
        <v>1.01</v>
      </c>
      <c r="G56" s="466">
        <f t="shared" si="8"/>
        <v>0.153</v>
      </c>
      <c r="H56" s="466">
        <f t="shared" si="8"/>
        <v>0.28100000000000003</v>
      </c>
      <c r="I56" s="464"/>
      <c r="J56" s="468">
        <f t="shared" si="8"/>
        <v>3.39</v>
      </c>
      <c r="K56" s="468">
        <f t="shared" ref="K56" si="9">K11</f>
        <v>0.62444444444444447</v>
      </c>
      <c r="L56" s="468">
        <f t="shared" si="8"/>
        <v>27.94</v>
      </c>
      <c r="M56" s="468">
        <f t="shared" si="8"/>
        <v>24.8203125</v>
      </c>
      <c r="N56" s="468">
        <f t="shared" si="8"/>
        <v>82.63</v>
      </c>
      <c r="O56" s="468">
        <f t="shared" si="8"/>
        <v>18.84</v>
      </c>
      <c r="P56" s="468">
        <f t="shared" si="8"/>
        <v>24.42</v>
      </c>
      <c r="Q56" s="644">
        <f>(1-($Q$58+$Q$59+$Q$60))/4</f>
        <v>0.19</v>
      </c>
      <c r="R56" s="804">
        <f t="shared" ref="R56:T57" si="10">R55</f>
        <v>0.22833333333333336</v>
      </c>
      <c r="S56" s="804">
        <f t="shared" si="10"/>
        <v>0.25</v>
      </c>
      <c r="T56" s="804">
        <f t="shared" si="10"/>
        <v>0.2</v>
      </c>
    </row>
    <row r="57" spans="2:20" x14ac:dyDescent="0.3">
      <c r="B57" s="464" t="str">
        <f>B21</f>
        <v>Green Dot Corporation</v>
      </c>
      <c r="C57" s="464" t="str">
        <f t="shared" ref="C57:P57" si="11">C21</f>
        <v>GDOT</v>
      </c>
      <c r="D57" s="477">
        <f t="shared" si="11"/>
        <v>27.41</v>
      </c>
      <c r="E57" s="465">
        <f t="shared" si="11"/>
        <v>1506</v>
      </c>
      <c r="F57" s="810">
        <f t="shared" si="11"/>
        <v>0.95</v>
      </c>
      <c r="G57" s="466">
        <f t="shared" si="11"/>
        <v>0.11799999999999999</v>
      </c>
      <c r="H57" s="466">
        <f t="shared" si="11"/>
        <v>3.4000000000000002E-2</v>
      </c>
      <c r="I57" s="464"/>
      <c r="J57" s="468">
        <f t="shared" si="11"/>
        <v>0.91</v>
      </c>
      <c r="K57" s="468">
        <f t="shared" ref="K57" si="12">K21</f>
        <v>5.2500000000000005E-2</v>
      </c>
      <c r="L57" s="468">
        <f t="shared" si="11"/>
        <v>11.34</v>
      </c>
      <c r="M57" s="468">
        <f t="shared" si="11"/>
        <v>9.6855123674911656</v>
      </c>
      <c r="N57" s="468">
        <f t="shared" si="11"/>
        <v>0.57999999999999996</v>
      </c>
      <c r="O57" s="468">
        <f t="shared" si="11"/>
        <v>5.03</v>
      </c>
      <c r="P57" s="468">
        <f t="shared" si="11"/>
        <v>13.98</v>
      </c>
      <c r="Q57" s="644">
        <f>(1-($Q$58+$Q$59+$Q$60))/4</f>
        <v>0.19</v>
      </c>
      <c r="R57" s="804">
        <f t="shared" si="10"/>
        <v>0.22833333333333336</v>
      </c>
      <c r="S57" s="804">
        <f t="shared" si="10"/>
        <v>0.25</v>
      </c>
      <c r="T57" s="804">
        <f t="shared" si="10"/>
        <v>0.2</v>
      </c>
    </row>
    <row r="58" spans="2:20" x14ac:dyDescent="0.3">
      <c r="B58" s="470" t="str">
        <f>B29</f>
        <v>Planet Fitness, Inc.</v>
      </c>
      <c r="C58" s="470" t="str">
        <f t="shared" ref="C58:P58" si="13">C29</f>
        <v>PLNT</v>
      </c>
      <c r="D58" s="476">
        <f t="shared" si="13"/>
        <v>86.58</v>
      </c>
      <c r="E58" s="471">
        <f t="shared" si="13"/>
        <v>7881</v>
      </c>
      <c r="F58" s="470">
        <f t="shared" si="13"/>
        <v>1.21</v>
      </c>
      <c r="G58" s="472">
        <f t="shared" si="13"/>
        <v>-0.106</v>
      </c>
      <c r="H58" s="472">
        <f t="shared" si="13"/>
        <v>0.24</v>
      </c>
      <c r="I58" s="470"/>
      <c r="J58" s="473">
        <f t="shared" si="13"/>
        <v>0.89</v>
      </c>
      <c r="K58" s="473">
        <f t="shared" ref="K58" si="14">K29</f>
        <v>0.22513966480446931</v>
      </c>
      <c r="L58" s="473">
        <f t="shared" si="13"/>
        <v>51.35</v>
      </c>
      <c r="M58" s="473">
        <f t="shared" si="13"/>
        <v>40.457943925233643</v>
      </c>
      <c r="N58" s="473">
        <f t="shared" si="13"/>
        <v>23.6</v>
      </c>
      <c r="O58" s="473">
        <f t="shared" si="13"/>
        <v>44.48</v>
      </c>
      <c r="P58" s="473">
        <f t="shared" si="13"/>
        <v>64.3</v>
      </c>
      <c r="Q58" s="645">
        <v>0.08</v>
      </c>
      <c r="R58" s="805">
        <v>0.105</v>
      </c>
      <c r="S58" s="805">
        <v>0.125</v>
      </c>
      <c r="T58" s="805">
        <v>0.1</v>
      </c>
    </row>
    <row r="59" spans="2:20" x14ac:dyDescent="0.3">
      <c r="B59" s="470" t="str">
        <f>B30</f>
        <v>RE/MAX Holdings</v>
      </c>
      <c r="C59" s="470" t="str">
        <f t="shared" ref="C59:P59" si="15">C30</f>
        <v>RMAX</v>
      </c>
      <c r="D59" s="476">
        <f t="shared" si="15"/>
        <v>29.46</v>
      </c>
      <c r="E59" s="471">
        <f t="shared" si="15"/>
        <v>557</v>
      </c>
      <c r="F59" s="470">
        <f t="shared" si="15"/>
        <v>1.79</v>
      </c>
      <c r="G59" s="480" t="str">
        <f t="shared" si="15"/>
        <v>-</v>
      </c>
      <c r="H59" s="472">
        <f t="shared" si="15"/>
        <v>0.11</v>
      </c>
      <c r="I59" s="470"/>
      <c r="J59" s="473">
        <f t="shared" si="15"/>
        <v>2.33</v>
      </c>
      <c r="K59" s="474" t="str">
        <f t="shared" ref="K59" si="16">K30</f>
        <v>-</v>
      </c>
      <c r="L59" s="473">
        <f t="shared" si="15"/>
        <v>11.42</v>
      </c>
      <c r="M59" s="473">
        <f t="shared" si="15"/>
        <v>10.992537313432836</v>
      </c>
      <c r="N59" s="473">
        <f t="shared" si="15"/>
        <v>0.9</v>
      </c>
      <c r="O59" s="473">
        <f t="shared" si="15"/>
        <v>6.86</v>
      </c>
      <c r="P59" s="473">
        <f t="shared" si="15"/>
        <v>12.81</v>
      </c>
      <c r="Q59" s="645">
        <v>0.08</v>
      </c>
      <c r="R59" s="805">
        <v>0.105</v>
      </c>
      <c r="S59" s="805">
        <v>0.125</v>
      </c>
      <c r="T59" s="805">
        <v>0.1</v>
      </c>
    </row>
    <row r="60" spans="2:20" x14ac:dyDescent="0.3">
      <c r="B60" s="464" t="str">
        <f>B39</f>
        <v>Chegg</v>
      </c>
      <c r="C60" s="464" t="str">
        <f t="shared" ref="C60:P60" si="17">C39</f>
        <v>CHGG</v>
      </c>
      <c r="D60" s="477">
        <f t="shared" si="17"/>
        <v>31.82</v>
      </c>
      <c r="E60" s="465">
        <f t="shared" si="17"/>
        <v>4291</v>
      </c>
      <c r="F60" s="464">
        <f t="shared" si="17"/>
        <v>0.99</v>
      </c>
      <c r="G60" s="466">
        <f t="shared" si="17"/>
        <v>0.251</v>
      </c>
      <c r="H60" s="466">
        <f t="shared" si="17"/>
        <v>0.10100000000000001</v>
      </c>
      <c r="I60" s="464"/>
      <c r="J60" s="468">
        <f t="shared" si="17"/>
        <v>4.92</v>
      </c>
      <c r="K60" s="468">
        <f t="shared" ref="K60" si="18">K39</f>
        <v>0.185</v>
      </c>
      <c r="L60" s="468">
        <f t="shared" si="17"/>
        <v>25.88</v>
      </c>
      <c r="M60" s="468">
        <f t="shared" si="17"/>
        <v>22.567375886524825</v>
      </c>
      <c r="N60" s="468">
        <f t="shared" si="17"/>
        <v>9.52</v>
      </c>
      <c r="O60" s="468">
        <f t="shared" si="17"/>
        <v>32.4</v>
      </c>
      <c r="P60" s="468">
        <f t="shared" si="17"/>
        <v>58.67</v>
      </c>
      <c r="Q60" s="644">
        <v>0.08</v>
      </c>
      <c r="R60" s="804">
        <v>0.105</v>
      </c>
      <c r="S60" s="804">
        <v>0</v>
      </c>
      <c r="T60" s="804">
        <v>0</v>
      </c>
    </row>
    <row r="61" spans="2:20" x14ac:dyDescent="0.3">
      <c r="B61" s="464" t="str">
        <f>B47</f>
        <v xml:space="preserve">GoHealth Inc. </v>
      </c>
      <c r="C61" s="464" t="str">
        <f t="shared" ref="C61:P61" si="19">C47</f>
        <v>GOCO</v>
      </c>
      <c r="D61" s="477">
        <f t="shared" si="19"/>
        <v>1.33</v>
      </c>
      <c r="E61" s="465">
        <f t="shared" si="19"/>
        <v>427</v>
      </c>
      <c r="F61" s="467" t="str">
        <f t="shared" si="19"/>
        <v>-</v>
      </c>
      <c r="G61" s="481" t="str">
        <f t="shared" si="19"/>
        <v>-</v>
      </c>
      <c r="H61" s="466">
        <f t="shared" si="19"/>
        <v>-9.7000000000000003E-2</v>
      </c>
      <c r="I61" s="464"/>
      <c r="J61" s="468">
        <f t="shared" si="19"/>
        <v>1.9643305439330545</v>
      </c>
      <c r="K61" s="468">
        <f t="shared" ref="K61" si="20">K47</f>
        <v>4.2887029288702925E-3</v>
      </c>
      <c r="L61" s="468">
        <f t="shared" si="19"/>
        <v>187.79</v>
      </c>
      <c r="M61" s="468">
        <f t="shared" si="19"/>
        <v>6.65</v>
      </c>
      <c r="N61" s="468">
        <f t="shared" si="19"/>
        <v>6.76</v>
      </c>
      <c r="O61" s="468">
        <f t="shared" si="19"/>
        <v>488.4</v>
      </c>
      <c r="P61" s="469" t="str">
        <f t="shared" si="19"/>
        <v>-</v>
      </c>
      <c r="Q61" s="644">
        <f>(1-($Q$58+$Q$59+$Q$60))/4</f>
        <v>0.19</v>
      </c>
      <c r="R61" s="804">
        <v>0</v>
      </c>
      <c r="S61" s="804">
        <v>0</v>
      </c>
      <c r="T61" s="804">
        <f>T55</f>
        <v>0.2</v>
      </c>
    </row>
    <row r="62" spans="2:20" x14ac:dyDescent="0.3">
      <c r="P62" s="322"/>
      <c r="Q62" s="52">
        <f>SUM(Q55:Q61)</f>
        <v>1</v>
      </c>
      <c r="R62" s="52">
        <f t="shared" ref="R62:S62" si="21">SUM(R55:R61)</f>
        <v>1</v>
      </c>
      <c r="S62" s="52">
        <f t="shared" si="21"/>
        <v>1</v>
      </c>
      <c r="T62" s="52">
        <f t="shared" ref="T62" si="22">SUM(T55:T61)</f>
        <v>1</v>
      </c>
    </row>
    <row r="63" spans="2:20" x14ac:dyDescent="0.3">
      <c r="B63" s="359" t="s">
        <v>447</v>
      </c>
      <c r="C63" s="360"/>
      <c r="D63" s="361"/>
      <c r="E63" s="495">
        <f>AVERAGE(E55:E61)</f>
        <v>5077.4285714285716</v>
      </c>
      <c r="F63" s="374">
        <f>AVERAGE(F55:F61)</f>
        <v>1.2166666666666668</v>
      </c>
      <c r="G63" s="363">
        <f>AVERAGE(G55:G61)</f>
        <v>0.1162</v>
      </c>
      <c r="H63" s="363">
        <f>AVERAGE(H55:H61)</f>
        <v>0.10714285714285714</v>
      </c>
      <c r="I63" s="361"/>
      <c r="J63" s="362">
        <f>AVERAGE(J55:J61)</f>
        <v>2.1634757919904364</v>
      </c>
      <c r="K63" s="362">
        <f>AVERAGE(K55:K61)</f>
        <v>0.18189821156192612</v>
      </c>
      <c r="L63" s="362">
        <f t="shared" ref="L63:O63" si="23">AVERAGE(L55:L61)</f>
        <v>48.272857142857141</v>
      </c>
      <c r="M63" s="362">
        <f t="shared" si="23"/>
        <v>18.930217118645761</v>
      </c>
      <c r="N63" s="362">
        <f t="shared" si="23"/>
        <v>21.360000000000003</v>
      </c>
      <c r="O63" s="362">
        <f t="shared" si="23"/>
        <v>115.67</v>
      </c>
      <c r="P63" s="496">
        <f>AVERAGE(P56:P61)</f>
        <v>34.835999999999999</v>
      </c>
    </row>
    <row r="64" spans="2:20" x14ac:dyDescent="0.3">
      <c r="B64" s="359" t="s">
        <v>446</v>
      </c>
      <c r="C64" s="360"/>
      <c r="D64" s="361"/>
      <c r="E64" s="740">
        <f>(E55*$Q$55)+(E56*$Q$56)+(E57*$Q$57)+(E58*$Q$58)+(E59*$Q$59)+(E60*$Q$60)+(E61*$Q$61)</f>
        <v>5352.79</v>
      </c>
      <c r="F64" s="741">
        <f>(F55*$Q$55)+(F56*$Q$56)+(F57*$Q$57)+(F58*$Q$58)+(F59*$Q$59)+(F60*$Q$60)</f>
        <v>0.94810000000000005</v>
      </c>
      <c r="G64" s="363">
        <f>(G55*$Q$55)+(G56*$Q$56)+(G57*$Q$57)+(G58*$Q$58)+(G60*$Q$60)</f>
        <v>9.4439999999999996E-2</v>
      </c>
      <c r="H64" s="362">
        <f>(H55*$Q$55)+(H56*$Q$56)+(H57*$Q$57)+(H58*$Q$58)+(H59*$Q$59)+(H60*$Q$60)+(H61*$Q$61)</f>
        <v>9.289E-2</v>
      </c>
      <c r="I64" s="361"/>
      <c r="J64" s="362">
        <f>(J55*$Q$55)+(J56*$Q$56)+(J57*$Q$57)+(J58*$Q$58)+(J59*$Q$59)+(J60*$Q$60)+(J61*$Q$61)</f>
        <v>1.9820228033472802</v>
      </c>
      <c r="K64" s="362">
        <f>(K55*$Q$55)+(K56*$Q$56)+(K57*$Q$57)+(K58*$Q$58)+(K60*$Q$60)+(K61*$Q$61)</f>
        <v>0.1622485980521042</v>
      </c>
      <c r="L64" s="362">
        <f t="shared" ref="L64:N64" si="24">(L55*$Q$55)+(L56*$Q$56)+(L57*$Q$57)+(L58*$Q$58)+(L59*$Q$59)+(L60*$Q$60)+(L61*$Q$61)</f>
        <v>54.451399999999992</v>
      </c>
      <c r="M64" s="362">
        <f t="shared" si="24"/>
        <v>17.035224484027815</v>
      </c>
      <c r="N64" s="362">
        <f t="shared" si="24"/>
        <v>24.666600000000003</v>
      </c>
      <c r="O64" s="362">
        <f>(O55*$Q$55)+(O56*$Q$56)+(O57*$Q$57)+(O58*$Q$58)+(O59*$Q$59)+(O60*$Q$60)+(O61*$Q$61)</f>
        <v>144.62969999999999</v>
      </c>
      <c r="P64" s="496">
        <f>(P56*$Q$56)+(P57*$Q$57)+(P58*$Q$58)+(P59*$Q$59)+(P60*$Q$60)</f>
        <v>18.1584</v>
      </c>
    </row>
    <row r="65" spans="2:16" ht="16.2" x14ac:dyDescent="0.35">
      <c r="B65" s="367" t="s">
        <v>272</v>
      </c>
      <c r="C65" s="353"/>
      <c r="D65" s="353"/>
      <c r="E65" s="353"/>
      <c r="F65" s="353"/>
      <c r="G65" s="353"/>
      <c r="H65" s="353"/>
      <c r="I65" s="353"/>
      <c r="J65" s="368">
        <f t="shared" ref="J65:P65" ca="1" si="25">(J64/J$4)*$D$4</f>
        <v>76.41323112208724</v>
      </c>
      <c r="K65" s="368">
        <f t="shared" ca="1" si="25"/>
        <v>66.291398631399403</v>
      </c>
      <c r="L65" s="368">
        <f t="shared" ca="1" si="25"/>
        <v>50.49954031131491</v>
      </c>
      <c r="M65" s="368">
        <f t="shared" ca="1" si="25"/>
        <v>20.718581445631145</v>
      </c>
      <c r="N65" s="368">
        <f t="shared" si="25"/>
        <v>78.262869797617086</v>
      </c>
      <c r="O65" s="368">
        <f t="shared" si="25"/>
        <v>81.522283352141528</v>
      </c>
      <c r="P65" s="497">
        <f t="shared" si="25"/>
        <v>7.8416836466573248</v>
      </c>
    </row>
    <row r="66" spans="2:16" ht="16.2" x14ac:dyDescent="0.35">
      <c r="B66" s="364"/>
      <c r="O66" s="498" t="s">
        <v>408</v>
      </c>
      <c r="P66" s="56"/>
    </row>
    <row r="67" spans="2:16" x14ac:dyDescent="0.3">
      <c r="B67" s="806" t="s">
        <v>498</v>
      </c>
      <c r="C67" s="360"/>
      <c r="D67" s="361"/>
      <c r="E67" s="740"/>
      <c r="F67" s="741"/>
      <c r="G67" s="363"/>
      <c r="H67" s="362"/>
      <c r="I67" s="361"/>
      <c r="J67" s="362">
        <f>(J$55*$R$55)+(J$56*$R$56)+(J$57*$R$57)+(J$58*$R$58)+(J$59*$R$59)+(J$60*$R$60)</f>
        <v>2.0055000000000005</v>
      </c>
      <c r="K67" s="362">
        <f>(K$55*$R$55)+(K$56*$R$56)+(K$57*$R$57)+(K$58*$R$58)+(K$60*$R$60)</f>
        <v>0.19763740401186222</v>
      </c>
      <c r="L67" s="362">
        <f t="shared" ref="L67:P67" si="26">(L$55*$R$55)+(L$56*$R$56)+(L$57*$R$57)+(L$58*$R$58)+(L$59*$R$59)+(L$60*$R$60)</f>
        <v>23.343900000000005</v>
      </c>
      <c r="M67" s="362">
        <f t="shared" si="26"/>
        <v>19.609511315861873</v>
      </c>
      <c r="N67" s="362">
        <f t="shared" si="26"/>
        <v>28.401066666666672</v>
      </c>
      <c r="O67" s="362">
        <f t="shared" si="26"/>
        <v>63.033283333333344</v>
      </c>
      <c r="P67" s="797">
        <f t="shared" si="26"/>
        <v>113.06358333333333</v>
      </c>
    </row>
    <row r="68" spans="2:16" ht="16.2" x14ac:dyDescent="0.35">
      <c r="B68" s="794" t="s">
        <v>272</v>
      </c>
      <c r="C68" s="349"/>
      <c r="D68" s="349"/>
      <c r="E68" s="349"/>
      <c r="F68" s="349"/>
      <c r="G68" s="349"/>
      <c r="H68" s="349"/>
      <c r="I68" s="349"/>
      <c r="J68" s="795">
        <f ca="1">(J67/J$4)*$D$4</f>
        <v>77.318351109048692</v>
      </c>
      <c r="K68" s="795">
        <f t="shared" ref="K68" ca="1" si="27">(K67/K$4)*$D$4</f>
        <v>80.750527838877545</v>
      </c>
      <c r="L68" s="795">
        <f t="shared" ref="L68:P68" ca="1" si="28">(L67/L$4)*$D$4</f>
        <v>21.649695307619357</v>
      </c>
      <c r="M68" s="795">
        <f t="shared" ca="1" si="28"/>
        <v>23.849480685601655</v>
      </c>
      <c r="N68" s="795">
        <f t="shared" si="28"/>
        <v>90.111688787541709</v>
      </c>
      <c r="O68" s="795">
        <f t="shared" si="28"/>
        <v>35.529474129558601</v>
      </c>
      <c r="P68" s="796">
        <f t="shared" si="28"/>
        <v>48.82637525649163</v>
      </c>
    </row>
    <row r="69" spans="2:16" ht="16.2" x14ac:dyDescent="0.35">
      <c r="B69" s="364"/>
      <c r="O69" s="498" t="s">
        <v>408</v>
      </c>
      <c r="P69" s="56"/>
    </row>
    <row r="70" spans="2:16" x14ac:dyDescent="0.3">
      <c r="B70" s="806" t="s">
        <v>507</v>
      </c>
      <c r="C70" s="360"/>
      <c r="D70" s="361"/>
      <c r="E70" s="740"/>
      <c r="F70" s="741"/>
      <c r="G70" s="363"/>
      <c r="H70" s="362"/>
      <c r="I70" s="361"/>
      <c r="J70" s="362">
        <f>(J$55*$T$55)+(J$56*$T$56)+(J$57*$T$57)+(J$58*$T$58)+(J$59*$T$59)+(J$60*$T$60)+(J$61*$T$61)</f>
        <v>1.7228661087866111</v>
      </c>
      <c r="K70" s="362">
        <f>(K$55*$T$55)+(K$56*$T$56)+(K$57*$T$57)+(K$58*$T$58)+(K$60*$T$60)+(K$61*$T$61)</f>
        <v>0.15876388739386443</v>
      </c>
      <c r="L70" s="362">
        <f t="shared" ref="L70:O70" si="29">(L$55*$T$55)+(L$56*$T$56)+(L$57*$T$57)+(L$58*$T$58)+(L$59*$T$59)+(L$60*$T$60)+(L$61*$T$61)</f>
        <v>56.129000000000005</v>
      </c>
      <c r="M70" s="362">
        <f t="shared" si="29"/>
        <v>16.843780664932449</v>
      </c>
      <c r="N70" s="362">
        <f t="shared" si="29"/>
        <v>25.55</v>
      </c>
      <c r="O70" s="362">
        <f t="shared" si="29"/>
        <v>150.32400000000001</v>
      </c>
      <c r="P70" s="797">
        <f>(P$55*$T$55)+(P$56*$T$56)+(P$57*$T$57)+(P$58*$T$58)+(P$59*$T$59)+(P$60*$T$60)</f>
        <v>94.257000000000005</v>
      </c>
    </row>
    <row r="71" spans="2:16" ht="16.2" x14ac:dyDescent="0.35">
      <c r="B71" s="794" t="s">
        <v>272</v>
      </c>
      <c r="C71" s="349"/>
      <c r="D71" s="349"/>
      <c r="E71" s="349"/>
      <c r="F71" s="349"/>
      <c r="G71" s="349"/>
      <c r="H71" s="349"/>
      <c r="I71" s="349"/>
      <c r="J71" s="795">
        <f ca="1">(J70/J$4)*$D$4</f>
        <v>66.421923068084581</v>
      </c>
      <c r="K71" s="795">
        <f t="shared" ref="K71:P71" ca="1" si="30">(K70/K$4)*$D$4</f>
        <v>64.867618419219852</v>
      </c>
      <c r="L71" s="795">
        <f t="shared" ca="1" si="30"/>
        <v>52.055386971387243</v>
      </c>
      <c r="M71" s="795">
        <f t="shared" ca="1" si="30"/>
        <v>20.485743635838329</v>
      </c>
      <c r="N71" s="795">
        <f t="shared" si="30"/>
        <v>81.065745718060725</v>
      </c>
      <c r="O71" s="795">
        <f t="shared" si="30"/>
        <v>84.731944563442539</v>
      </c>
      <c r="P71" s="796">
        <f t="shared" si="30"/>
        <v>40.704774400992349</v>
      </c>
    </row>
    <row r="72" spans="2:16" ht="16.2" x14ac:dyDescent="0.35">
      <c r="B72" s="364"/>
      <c r="O72" s="498" t="s">
        <v>408</v>
      </c>
      <c r="P72" s="56"/>
    </row>
    <row r="73" spans="2:16" x14ac:dyDescent="0.3">
      <c r="B73" s="806" t="s">
        <v>499</v>
      </c>
      <c r="C73" s="360"/>
      <c r="D73" s="361"/>
      <c r="E73" s="740"/>
      <c r="F73" s="741"/>
      <c r="G73" s="363"/>
      <c r="H73" s="362"/>
      <c r="I73" s="361"/>
      <c r="J73" s="362">
        <f>(J$55*$S$55)+(J$56*$S$56)+(J$57*$S$57)+(J$58*$S$58)+(J$59*$S$59)</f>
        <v>1.6625000000000001</v>
      </c>
      <c r="K73" s="362">
        <f>(K$55*$S$55)+(K$56*$S$56)+(K$57*$S$57)+(K$58*$S$58)</f>
        <v>0.19738268351011296</v>
      </c>
      <c r="L73" s="362">
        <f t="shared" ref="L73:P73" si="31">(L$55*$S$55)+(L$56*$S$56)+(L$57*$S$57)+(L$58*$S$58)+(L$59*$S$59)</f>
        <v>23.213749999999997</v>
      </c>
      <c r="M73" s="362">
        <f t="shared" si="31"/>
        <v>19.392225831165561</v>
      </c>
      <c r="N73" s="362">
        <f t="shared" si="31"/>
        <v>30.247499999999999</v>
      </c>
      <c r="O73" s="362">
        <f t="shared" si="31"/>
        <v>65.805000000000007</v>
      </c>
      <c r="P73" s="797">
        <f t="shared" si="31"/>
        <v>117.82124999999999</v>
      </c>
    </row>
    <row r="74" spans="2:16" ht="16.2" x14ac:dyDescent="0.35">
      <c r="B74" s="794" t="s">
        <v>272</v>
      </c>
      <c r="C74" s="349"/>
      <c r="D74" s="349"/>
      <c r="E74" s="349"/>
      <c r="F74" s="349"/>
      <c r="G74" s="349"/>
      <c r="H74" s="349"/>
      <c r="I74" s="349"/>
      <c r="J74" s="795">
        <f ca="1">(J73/J$4)*$D$4</f>
        <v>64.094619156715751</v>
      </c>
      <c r="K74" s="795">
        <f t="shared" ref="K74" ca="1" si="32">(K73/K$4)*$D$4</f>
        <v>80.646454345955107</v>
      </c>
      <c r="L74" s="795">
        <f t="shared" ref="L74:P74" ca="1" si="33">(L73/L$4)*$D$4</f>
        <v>21.528991061786961</v>
      </c>
      <c r="M74" s="795">
        <f t="shared" ca="1" si="33"/>
        <v>23.58521372417389</v>
      </c>
      <c r="N74" s="795">
        <f t="shared" si="33"/>
        <v>95.970103467985965</v>
      </c>
      <c r="O74" s="795">
        <f t="shared" si="33"/>
        <v>37.091785822605416</v>
      </c>
      <c r="P74" s="796">
        <f t="shared" si="33"/>
        <v>50.880968001240433</v>
      </c>
    </row>
    <row r="75" spans="2:16" ht="16.2" x14ac:dyDescent="0.35">
      <c r="B75" s="364"/>
      <c r="O75" s="498" t="s">
        <v>408</v>
      </c>
      <c r="P75" s="56"/>
    </row>
    <row r="76" spans="2:16" x14ac:dyDescent="0.3">
      <c r="I76" s="342" t="s">
        <v>504</v>
      </c>
      <c r="J76" s="808">
        <v>121.2</v>
      </c>
      <c r="K76" s="808">
        <v>120.19</v>
      </c>
    </row>
    <row r="77" spans="2:16" x14ac:dyDescent="0.3">
      <c r="I77" s="627" t="s">
        <v>497</v>
      </c>
      <c r="J77" s="808">
        <v>117.88</v>
      </c>
      <c r="K77" s="808">
        <v>118.22</v>
      </c>
    </row>
    <row r="78" spans="2:16" x14ac:dyDescent="0.3">
      <c r="I78" s="627" t="s">
        <v>506</v>
      </c>
      <c r="J78" s="808">
        <v>120.8</v>
      </c>
      <c r="K78" s="808">
        <v>120.65</v>
      </c>
    </row>
    <row r="79" spans="2:16" x14ac:dyDescent="0.3">
      <c r="I79" s="627" t="s">
        <v>505</v>
      </c>
      <c r="J79" s="808">
        <v>117.3</v>
      </c>
      <c r="K79" s="808">
        <v>118.95</v>
      </c>
    </row>
    <row r="81" spans="10:10" x14ac:dyDescent="0.3">
      <c r="J81" s="2" t="s">
        <v>356</v>
      </c>
    </row>
    <row r="108" spans="18:18" x14ac:dyDescent="0.3">
      <c r="R108" s="2" t="s">
        <v>269</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9B26A-539E-4BE4-B265-DAEE8CFBA0E0}">
  <dimension ref="B1:AS51"/>
  <sheetViews>
    <sheetView showGridLines="0" zoomScale="70" zoomScaleNormal="70" workbookViewId="0">
      <selection activeCell="X13" sqref="X13"/>
    </sheetView>
  </sheetViews>
  <sheetFormatPr defaultColWidth="8.88671875" defaultRowHeight="15.6" x14ac:dyDescent="0.3"/>
  <cols>
    <col min="1" max="1" width="3.6640625" style="527" customWidth="1"/>
    <col min="2" max="2" width="12.109375" style="527" customWidth="1"/>
    <col min="3" max="3" width="7.6640625" style="527" customWidth="1"/>
    <col min="4" max="4" width="9.109375" style="527" customWidth="1"/>
    <col min="5" max="5" width="12.6640625" style="527" customWidth="1"/>
    <col min="6" max="7" width="16.6640625" style="527" customWidth="1"/>
    <col min="8" max="8" width="18.88671875" style="527" customWidth="1"/>
    <col min="9" max="9" width="20.21875" style="527" bestFit="1" customWidth="1"/>
    <col min="10" max="10" width="21.88671875" style="527" bestFit="1" customWidth="1"/>
    <col min="11" max="11" width="7.77734375" style="527" customWidth="1"/>
    <col min="12" max="12" width="8.88671875" style="527"/>
    <col min="13" max="13" width="10.88671875" style="527" customWidth="1"/>
    <col min="14" max="14" width="2.6640625" style="527" customWidth="1"/>
    <col min="15" max="15" width="14.109375" style="565" customWidth="1"/>
    <col min="16" max="16" width="0.88671875" style="527" customWidth="1"/>
    <col min="17" max="17" width="15.77734375" style="527" bestFit="1" customWidth="1"/>
    <col min="18" max="18" width="8.88671875" style="527"/>
    <col min="19" max="19" width="7.109375" style="527" customWidth="1"/>
    <col min="20" max="20" width="9.44140625" style="527" customWidth="1"/>
    <col min="21" max="21" width="0.88671875" style="517" customWidth="1"/>
    <col min="22" max="22" width="8.88671875" style="527"/>
    <col min="23" max="27" width="12.6640625" style="527" customWidth="1"/>
    <col min="28" max="28" width="14.109375" style="527" customWidth="1"/>
    <col min="29" max="29" width="5.109375" style="527" customWidth="1"/>
    <col min="30" max="30" width="1.109375" style="527" customWidth="1"/>
    <col min="31" max="31" width="1.88671875" style="527" customWidth="1"/>
    <col min="32" max="35" width="15.6640625" style="527" bestFit="1" customWidth="1"/>
    <col min="36" max="36" width="12.6640625" style="527" bestFit="1" customWidth="1"/>
    <col min="37" max="40" width="8.88671875" style="527"/>
    <col min="41" max="41" width="12.77734375" style="527" bestFit="1" customWidth="1"/>
    <col min="42" max="42" width="12.21875" style="527" bestFit="1" customWidth="1"/>
    <col min="43" max="43" width="9.77734375" style="527" bestFit="1" customWidth="1"/>
    <col min="44" max="44" width="8.33203125" style="527" bestFit="1" customWidth="1"/>
    <col min="45" max="45" width="12.88671875" style="527" bestFit="1" customWidth="1"/>
    <col min="46" max="16384" width="8.88671875" style="527"/>
  </cols>
  <sheetData>
    <row r="1" spans="2:45" s="516" customFormat="1" ht="14.4" x14ac:dyDescent="0.3">
      <c r="B1" s="514"/>
      <c r="C1" s="514"/>
      <c r="D1" s="514"/>
      <c r="E1" s="514"/>
      <c r="F1" s="514"/>
      <c r="G1" s="514"/>
      <c r="H1" s="514"/>
      <c r="I1" s="514"/>
      <c r="J1" s="515"/>
      <c r="K1" s="515"/>
      <c r="L1" s="514"/>
      <c r="M1" s="514"/>
      <c r="N1" s="514"/>
      <c r="O1" s="514"/>
      <c r="P1" s="514"/>
      <c r="U1" s="517"/>
    </row>
    <row r="2" spans="2:45" x14ac:dyDescent="0.3">
      <c r="B2" s="518" t="s">
        <v>412</v>
      </c>
      <c r="C2" s="518"/>
      <c r="D2" s="518"/>
      <c r="E2" s="518"/>
      <c r="F2" s="518"/>
      <c r="G2" s="518"/>
      <c r="H2" s="518"/>
      <c r="I2" s="518"/>
      <c r="J2" s="519"/>
      <c r="K2" s="520"/>
      <c r="L2" s="823" t="s">
        <v>472</v>
      </c>
      <c r="M2" s="824"/>
      <c r="N2" s="521"/>
      <c r="O2" s="522">
        <f>Summary!K12</f>
        <v>80.3</v>
      </c>
      <c r="P2" s="523"/>
      <c r="Q2" s="825" t="s">
        <v>413</v>
      </c>
      <c r="R2" s="826"/>
      <c r="S2" s="826"/>
      <c r="T2" s="522">
        <f>'Wacc &amp; Beta'!C5</f>
        <v>1.0950896844005562</v>
      </c>
      <c r="U2" s="524"/>
      <c r="V2" s="827" t="s">
        <v>414</v>
      </c>
      <c r="W2" s="828"/>
      <c r="X2" s="525" t="s">
        <v>452</v>
      </c>
      <c r="Y2" s="525" t="s">
        <v>415</v>
      </c>
      <c r="Z2" s="525" t="s">
        <v>416</v>
      </c>
      <c r="AA2" s="526" t="s">
        <v>453</v>
      </c>
    </row>
    <row r="3" spans="2:45" x14ac:dyDescent="0.3">
      <c r="B3" s="528" t="s">
        <v>260</v>
      </c>
      <c r="C3" s="525"/>
      <c r="D3" s="525"/>
      <c r="E3" s="525" t="s">
        <v>261</v>
      </c>
      <c r="F3" s="525" t="s">
        <v>417</v>
      </c>
      <c r="G3" s="525" t="s">
        <v>473</v>
      </c>
      <c r="H3" s="525" t="s">
        <v>463</v>
      </c>
      <c r="I3" s="525" t="s">
        <v>404</v>
      </c>
      <c r="J3" s="526" t="s">
        <v>267</v>
      </c>
      <c r="K3" s="529"/>
      <c r="L3" s="814" t="s">
        <v>418</v>
      </c>
      <c r="M3" s="815"/>
      <c r="N3" s="530"/>
      <c r="O3" s="531">
        <f ca="1">Summary!K11</f>
        <v>118.35272305062755</v>
      </c>
      <c r="P3" s="523"/>
      <c r="Q3" s="816" t="s">
        <v>419</v>
      </c>
      <c r="R3" s="817"/>
      <c r="S3" s="817"/>
      <c r="T3" s="532">
        <f>'Wacc &amp; Beta'!C26</f>
        <v>0.11014535920931831</v>
      </c>
      <c r="U3" s="524"/>
      <c r="V3" s="825" t="s">
        <v>420</v>
      </c>
      <c r="W3" s="826"/>
      <c r="X3" s="533">
        <f>'Pro Forma'!O36</f>
        <v>151312</v>
      </c>
      <c r="Y3" s="533">
        <f ca="1">'Pro Forma'!P36</f>
        <v>204564.07686898424</v>
      </c>
      <c r="Z3" s="533">
        <f ca="1">'Pro Forma'!Q36</f>
        <v>268384.54059378145</v>
      </c>
      <c r="AA3" s="534">
        <f ca="1">'Pro Forma'!R36</f>
        <v>345746.05598701164</v>
      </c>
      <c r="AB3" s="517"/>
      <c r="AF3" s="535"/>
    </row>
    <row r="4" spans="2:45" x14ac:dyDescent="0.3">
      <c r="B4" s="599" t="str">
        <f>'Peer Comp.'!B4</f>
        <v xml:space="preserve">Goosehead Insurance, Inc. </v>
      </c>
      <c r="C4" s="600"/>
      <c r="D4" s="600"/>
      <c r="E4" s="525" t="str">
        <f>'Peer Comp.'!C4</f>
        <v>GSHD</v>
      </c>
      <c r="F4" s="601">
        <f>'Peer Comp.'!E4</f>
        <v>3058.4421494000003</v>
      </c>
      <c r="G4" s="618">
        <f>'Peer Comp.'!H4</f>
        <v>0.1055104684360791</v>
      </c>
      <c r="H4" s="697">
        <f ca="1">'Peer Comp.'!L4</f>
        <v>86.583905379041838</v>
      </c>
      <c r="I4" s="697">
        <f>'Peer Comp.'!N4</f>
        <v>25.308655114769486</v>
      </c>
      <c r="J4" s="698">
        <f>'Peer Comp.'!O4</f>
        <v>142.46123185526443</v>
      </c>
      <c r="K4" s="539"/>
      <c r="L4" s="814" t="s">
        <v>421</v>
      </c>
      <c r="M4" s="815"/>
      <c r="N4" s="540"/>
      <c r="O4" s="541" t="str">
        <f>Summary!K26</f>
        <v>$62.40 - 181.30</v>
      </c>
      <c r="P4" s="523"/>
      <c r="Q4" s="816" t="s">
        <v>422</v>
      </c>
      <c r="R4" s="817"/>
      <c r="S4" s="817"/>
      <c r="T4" s="542">
        <f ca="1">'Pro Forma'!E1</f>
        <v>0.29238761941793556</v>
      </c>
      <c r="U4" s="524"/>
      <c r="V4" s="816" t="s">
        <v>423</v>
      </c>
      <c r="W4" s="818"/>
      <c r="X4" s="543">
        <f>'Pro Forma'!O37</f>
        <v>0.29311022612678816</v>
      </c>
      <c r="Y4" s="544">
        <f ca="1">(Y3/X3)-1</f>
        <v>0.35193558256439839</v>
      </c>
      <c r="Z4" s="544">
        <f ca="1">(Z3/Y3)-1</f>
        <v>0.31198275230734618</v>
      </c>
      <c r="AA4" s="545">
        <f ca="1">(AA3/Z3)-1</f>
        <v>0.28824877625988976</v>
      </c>
      <c r="AB4" s="517"/>
      <c r="AI4" s="546"/>
      <c r="AJ4" s="546"/>
    </row>
    <row r="5" spans="2:45" x14ac:dyDescent="0.3">
      <c r="B5" s="553" t="str">
        <f>'Peer Comp.'!B55</f>
        <v>BRP Group</v>
      </c>
      <c r="C5" s="690"/>
      <c r="D5" s="690"/>
      <c r="E5" s="691" t="str">
        <f>'Peer Comp.'!C55</f>
        <v>BRP</v>
      </c>
      <c r="F5" s="692">
        <f>'Peer Comp.'!E55</f>
        <v>2949</v>
      </c>
      <c r="G5" s="738">
        <f>'Peer Comp.'!H55</f>
        <v>8.1000000000000003E-2</v>
      </c>
      <c r="H5" s="693">
        <f>'Peer Comp.'!L55</f>
        <v>22.19</v>
      </c>
      <c r="I5" s="693">
        <f>'Peer Comp.'!N55</f>
        <v>25.53</v>
      </c>
      <c r="J5" s="694">
        <f>'Peer Comp.'!O55</f>
        <v>213.68</v>
      </c>
      <c r="L5" s="814" t="s">
        <v>424</v>
      </c>
      <c r="M5" s="815"/>
      <c r="N5" s="530"/>
      <c r="O5" s="548">
        <f>Summary!K24</f>
        <v>3058.4421494000003</v>
      </c>
      <c r="P5" s="523"/>
      <c r="Q5" s="816" t="s">
        <v>425</v>
      </c>
      <c r="R5" s="817"/>
      <c r="S5" s="817"/>
      <c r="T5" s="549">
        <f ca="1">'Pro Forma'!E2</f>
        <v>0.45331267559314536</v>
      </c>
      <c r="U5" s="524"/>
      <c r="V5" s="816" t="s">
        <v>454</v>
      </c>
      <c r="W5" s="818"/>
      <c r="X5" s="550">
        <f>'Pro Forma'!O101</f>
        <v>20838</v>
      </c>
      <c r="Y5" s="550">
        <f ca="1">'Pro Forma'!P101</f>
        <v>38171.737212566426</v>
      </c>
      <c r="Z5" s="550">
        <f ca="1">'Pro Forma'!Q101</f>
        <v>52051.904031902697</v>
      </c>
      <c r="AA5" s="551">
        <f ca="1">'Pro Forma'!R101</f>
        <v>72259.888983957993</v>
      </c>
      <c r="AB5" s="517"/>
      <c r="AG5" s="552"/>
    </row>
    <row r="6" spans="2:45" x14ac:dyDescent="0.3">
      <c r="B6" s="553" t="str">
        <f>'Peer Comp.'!B56</f>
        <v>Brown &amp; Brown, Inc.</v>
      </c>
      <c r="C6" s="690"/>
      <c r="D6" s="690"/>
      <c r="E6" s="691" t="str">
        <f>'Peer Comp.'!C56</f>
        <v>BRO</v>
      </c>
      <c r="F6" s="692">
        <f>'Peer Comp.'!E56</f>
        <v>17931</v>
      </c>
      <c r="G6" s="738">
        <f>'Peer Comp.'!H56</f>
        <v>0.28100000000000003</v>
      </c>
      <c r="H6" s="693">
        <f>'Peer Comp.'!L56</f>
        <v>27.94</v>
      </c>
      <c r="I6" s="693">
        <f>'Peer Comp.'!N56</f>
        <v>82.63</v>
      </c>
      <c r="J6" s="694">
        <f>'Peer Comp.'!O56</f>
        <v>18.84</v>
      </c>
      <c r="L6" s="816" t="s">
        <v>426</v>
      </c>
      <c r="M6" s="817"/>
      <c r="N6" s="530"/>
      <c r="O6" s="556">
        <v>53.8</v>
      </c>
      <c r="P6" s="523"/>
      <c r="Q6" s="816" t="s">
        <v>427</v>
      </c>
      <c r="R6" s="817"/>
      <c r="S6" s="817"/>
      <c r="T6" s="557">
        <f>('Wacc &amp; Beta'!C15/('Wacc &amp; Beta'!C11*1000))</f>
        <v>3.8699767469271847E-2</v>
      </c>
      <c r="U6" s="524"/>
      <c r="V6" s="558" t="s">
        <v>423</v>
      </c>
      <c r="W6" s="665"/>
      <c r="X6" s="559">
        <f>'Pro Forma'!O103</f>
        <v>-0.42100332227203607</v>
      </c>
      <c r="Y6" s="559">
        <f ca="1">(Y5/X5)-1</f>
        <v>0.83183305559873433</v>
      </c>
      <c r="Z6" s="559">
        <f ca="1">(Z5/Y5)-1</f>
        <v>0.36362418461706314</v>
      </c>
      <c r="AA6" s="560">
        <f ca="1">(AA5/Z5)-1</f>
        <v>0.38822758413736014</v>
      </c>
      <c r="AB6" s="517"/>
      <c r="AG6" s="552"/>
    </row>
    <row r="7" spans="2:45" x14ac:dyDescent="0.3">
      <c r="B7" s="553" t="str">
        <f>'Peer Comp.'!B57</f>
        <v>Green Dot Corporation</v>
      </c>
      <c r="C7" s="690"/>
      <c r="D7" s="690"/>
      <c r="E7" s="691" t="str">
        <f>'Peer Comp.'!C57</f>
        <v>GDOT</v>
      </c>
      <c r="F7" s="692">
        <f>'Peer Comp.'!E57</f>
        <v>1506</v>
      </c>
      <c r="G7" s="738">
        <f>'Peer Comp.'!H57</f>
        <v>3.4000000000000002E-2</v>
      </c>
      <c r="H7" s="693">
        <f>'Peer Comp.'!L57</f>
        <v>11.34</v>
      </c>
      <c r="I7" s="693">
        <f>'Peer Comp.'!N57</f>
        <v>0.57999999999999996</v>
      </c>
      <c r="J7" s="694">
        <f>'Peer Comp.'!O57</f>
        <v>5.03</v>
      </c>
      <c r="K7" s="520"/>
      <c r="L7" s="561" t="s">
        <v>428</v>
      </c>
      <c r="M7" s="530"/>
      <c r="N7" s="530"/>
      <c r="O7" s="562">
        <f>Summary!K23</f>
        <v>188111</v>
      </c>
      <c r="P7" s="523"/>
      <c r="Q7" s="816" t="s">
        <v>429</v>
      </c>
      <c r="R7" s="817"/>
      <c r="S7" s="817"/>
      <c r="T7" s="563">
        <f>('Pro Forma'!O176-'Pro Forma'!O184)/'Pro Forma'!O101</f>
        <v>4.3111143103944718</v>
      </c>
      <c r="U7" s="524"/>
      <c r="V7" s="816" t="s">
        <v>430</v>
      </c>
      <c r="W7" s="818"/>
      <c r="X7" s="543">
        <f>(X5/X3)</f>
        <v>0.13771544887385007</v>
      </c>
      <c r="Y7" s="543">
        <f ca="1">(Y5/Y3)</f>
        <v>0.18660039336727738</v>
      </c>
      <c r="Z7" s="543">
        <f ca="1">(Z5/Z3)</f>
        <v>0.19394523960561072</v>
      </c>
      <c r="AA7" s="564">
        <f ca="1">(AA5/AA3)</f>
        <v>0.20899700150642506</v>
      </c>
      <c r="AB7" s="517"/>
      <c r="AI7" s="565"/>
      <c r="AK7" s="552"/>
    </row>
    <row r="8" spans="2:45" x14ac:dyDescent="0.3">
      <c r="B8" s="553" t="str">
        <f>'Peer Comp.'!B58</f>
        <v>Planet Fitness, Inc.</v>
      </c>
      <c r="C8" s="690"/>
      <c r="D8" s="690"/>
      <c r="E8" s="691" t="str">
        <f>'Peer Comp.'!C58</f>
        <v>PLNT</v>
      </c>
      <c r="F8" s="692">
        <f>'Peer Comp.'!E58</f>
        <v>7881</v>
      </c>
      <c r="G8" s="738">
        <f>'Peer Comp.'!H58</f>
        <v>0.24</v>
      </c>
      <c r="H8" s="693">
        <f>'Peer Comp.'!L58</f>
        <v>51.35</v>
      </c>
      <c r="I8" s="693">
        <f>'Peer Comp.'!N58</f>
        <v>23.6</v>
      </c>
      <c r="J8" s="694">
        <f>'Peer Comp.'!O58</f>
        <v>44.48</v>
      </c>
      <c r="K8" s="566"/>
      <c r="L8" s="816" t="s">
        <v>431</v>
      </c>
      <c r="M8" s="817"/>
      <c r="N8" s="530"/>
      <c r="O8" s="567">
        <f>1259567/19383737</f>
        <v>6.4980607196641185E-2</v>
      </c>
      <c r="P8" s="523"/>
      <c r="Q8" s="816" t="s">
        <v>449</v>
      </c>
      <c r="R8" s="817"/>
      <c r="S8" s="817"/>
      <c r="T8" s="557">
        <f>'Pro Forma'!O132/(AVERAGE(267.8,185.84,64.63)*1000)</f>
        <v>4.8021301638142284E-2</v>
      </c>
      <c r="U8" s="524"/>
      <c r="V8" s="553" t="s">
        <v>455</v>
      </c>
      <c r="W8" s="666"/>
      <c r="X8" s="568">
        <f>'Pro Forma'!O141</f>
        <v>0.48373350999126025</v>
      </c>
      <c r="Y8" s="568">
        <f ca="1">'Pro Forma'!P141</f>
        <v>0.92742409398683812</v>
      </c>
      <c r="Z8" s="568">
        <f ca="1">'Pro Forma'!Q141</f>
        <v>1.2162200424806164</v>
      </c>
      <c r="AA8" s="569">
        <f ca="1">'Pro Forma'!R141</f>
        <v>1.5246998675676928</v>
      </c>
      <c r="AB8" s="517"/>
      <c r="AI8" s="565"/>
      <c r="AK8" s="552"/>
    </row>
    <row r="9" spans="2:45" x14ac:dyDescent="0.3">
      <c r="B9" s="553" t="str">
        <f>'Peer Comp.'!B59</f>
        <v>RE/MAX Holdings</v>
      </c>
      <c r="C9" s="690"/>
      <c r="D9" s="690"/>
      <c r="E9" s="691" t="str">
        <f>'Peer Comp.'!C59</f>
        <v>RMAX</v>
      </c>
      <c r="F9" s="692">
        <f>'Peer Comp.'!E59</f>
        <v>557</v>
      </c>
      <c r="G9" s="738">
        <f>'Peer Comp.'!H59</f>
        <v>0.11</v>
      </c>
      <c r="H9" s="693">
        <f>'Peer Comp.'!L59</f>
        <v>11.42</v>
      </c>
      <c r="I9" s="693">
        <f>'Peer Comp.'!N59</f>
        <v>0.9</v>
      </c>
      <c r="J9" s="694">
        <f>'Peer Comp.'!O59</f>
        <v>6.86</v>
      </c>
      <c r="K9" s="570"/>
      <c r="L9" s="814" t="s">
        <v>432</v>
      </c>
      <c r="M9" s="815"/>
      <c r="N9" s="530"/>
      <c r="O9" s="556">
        <v>0</v>
      </c>
      <c r="P9" s="523"/>
      <c r="Q9" s="816" t="s">
        <v>450</v>
      </c>
      <c r="R9" s="817"/>
      <c r="S9" s="817"/>
      <c r="T9" s="667">
        <f>'Pro Forma'!O132/(-14.02*1000)</f>
        <v>-0.59172610556348071</v>
      </c>
      <c r="U9" s="524"/>
      <c r="V9" s="816" t="s">
        <v>433</v>
      </c>
      <c r="W9" s="818"/>
      <c r="X9" s="571">
        <f>($O$2/X8)</f>
        <v>166.00049064504711</v>
      </c>
      <c r="Y9" s="571">
        <f ca="1">($O$2/Y8)</f>
        <v>86.583905379041838</v>
      </c>
      <c r="Z9" s="571">
        <f ca="1">($O$2/Z8)</f>
        <v>66.02423672957994</v>
      </c>
      <c r="AA9" s="572">
        <f ca="1">($O$2/AA8)</f>
        <v>52.666102823305245</v>
      </c>
      <c r="AB9" s="573"/>
      <c r="AI9" s="565"/>
      <c r="AK9" s="552"/>
    </row>
    <row r="10" spans="2:45" x14ac:dyDescent="0.3">
      <c r="B10" s="553" t="str">
        <f>'Peer Comp.'!B60</f>
        <v>Chegg</v>
      </c>
      <c r="C10" s="690"/>
      <c r="D10" s="690"/>
      <c r="E10" s="691" t="str">
        <f>'Peer Comp.'!C60</f>
        <v>CHGG</v>
      </c>
      <c r="F10" s="692">
        <f>'Peer Comp.'!E60</f>
        <v>4291</v>
      </c>
      <c r="G10" s="738">
        <f>'Peer Comp.'!H60</f>
        <v>0.10100000000000001</v>
      </c>
      <c r="H10" s="693">
        <f>'Peer Comp.'!L60</f>
        <v>25.88</v>
      </c>
      <c r="I10" s="693">
        <f>'Peer Comp.'!N60</f>
        <v>9.52</v>
      </c>
      <c r="J10" s="694">
        <f>'Peer Comp.'!O60</f>
        <v>32.4</v>
      </c>
      <c r="K10" s="570"/>
      <c r="L10" s="819" t="s">
        <v>434</v>
      </c>
      <c r="M10" s="820"/>
      <c r="N10" s="577"/>
      <c r="O10" s="578" t="s">
        <v>225</v>
      </c>
      <c r="P10" s="523"/>
      <c r="Q10" s="821" t="s">
        <v>451</v>
      </c>
      <c r="R10" s="822"/>
      <c r="S10" s="822"/>
      <c r="T10" s="580">
        <f>'Pro Forma'!O251</f>
        <v>0.27068835406179276</v>
      </c>
      <c r="U10" s="524"/>
      <c r="V10" s="821" t="s">
        <v>435</v>
      </c>
      <c r="W10" s="822"/>
      <c r="X10" s="581">
        <f>(Summary!$K$25*1000)/'Pro Forma'!O101</f>
        <v>142.46123185526443</v>
      </c>
      <c r="Y10" s="581">
        <f ca="1">(Summary!$K$25*1000)/'Pro Forma'!P101</f>
        <v>77.769768058203866</v>
      </c>
      <c r="Z10" s="581">
        <f ca="1">(Summary!$K$25*1000)/'Pro Forma'!Q101</f>
        <v>57.031672608566559</v>
      </c>
      <c r="AA10" s="582">
        <f ca="1">(Summary!$K$25*1000)/'Pro Forma'!R101</f>
        <v>41.082365211757299</v>
      </c>
      <c r="AB10" s="583"/>
      <c r="AF10" s="584"/>
      <c r="AI10" s="565"/>
      <c r="AK10" s="552"/>
    </row>
    <row r="11" spans="2:45" x14ac:dyDescent="0.3">
      <c r="B11" s="579" t="str">
        <f>'Peer Comp.'!B61</f>
        <v xml:space="preserve">GoHealth Inc. </v>
      </c>
      <c r="C11" s="574"/>
      <c r="D11" s="574"/>
      <c r="E11" s="575" t="str">
        <f>'Peer Comp.'!C61</f>
        <v>GOCO</v>
      </c>
      <c r="F11" s="576">
        <f>'Peer Comp.'!E61</f>
        <v>427</v>
      </c>
      <c r="G11" s="739">
        <f>'Peer Comp.'!H61</f>
        <v>-9.7000000000000003E-2</v>
      </c>
      <c r="H11" s="695">
        <f>'Peer Comp.'!L61</f>
        <v>187.79</v>
      </c>
      <c r="I11" s="695">
        <f>'Peer Comp.'!N61</f>
        <v>6.76</v>
      </c>
      <c r="J11" s="696">
        <f>'Peer Comp.'!O61</f>
        <v>488.4</v>
      </c>
      <c r="K11" s="570"/>
      <c r="Q11" s="588" t="s">
        <v>437</v>
      </c>
      <c r="T11" s="589"/>
      <c r="Z11" s="590"/>
      <c r="AA11" s="591" t="s">
        <v>438</v>
      </c>
      <c r="AB11" s="517"/>
      <c r="AF11" s="535"/>
      <c r="AG11" s="535"/>
      <c r="AH11" s="535"/>
      <c r="AI11" s="535"/>
    </row>
    <row r="12" spans="2:45" x14ac:dyDescent="0.3">
      <c r="B12" s="585" t="s">
        <v>436</v>
      </c>
      <c r="C12" s="586"/>
      <c r="D12" s="586"/>
      <c r="E12" s="586"/>
      <c r="F12" s="587"/>
      <c r="G12" s="739">
        <f>'Peer Comp.'!H64</f>
        <v>9.289E-2</v>
      </c>
      <c r="H12" s="695">
        <f>'Peer Comp.'!L64</f>
        <v>54.451399999999992</v>
      </c>
      <c r="I12" s="695">
        <f>'Peer Comp.'!N64</f>
        <v>24.666600000000003</v>
      </c>
      <c r="J12" s="696">
        <f>'Peer Comp.'!O64</f>
        <v>144.62969999999999</v>
      </c>
      <c r="K12" s="570"/>
      <c r="T12" s="589"/>
      <c r="Z12" s="590"/>
      <c r="AA12" s="591"/>
      <c r="AB12" s="517"/>
      <c r="AF12" s="535"/>
      <c r="AG12" s="535"/>
      <c r="AH12" s="535"/>
      <c r="AI12" s="535"/>
    </row>
    <row r="13" spans="2:45" x14ac:dyDescent="0.3">
      <c r="B13" s="592" t="s">
        <v>469</v>
      </c>
      <c r="C13" s="523"/>
      <c r="D13" s="523"/>
      <c r="E13" s="523"/>
      <c r="F13" s="523"/>
      <c r="G13" s="523"/>
      <c r="H13" s="523"/>
      <c r="I13" s="530"/>
      <c r="J13" s="593" t="s">
        <v>439</v>
      </c>
      <c r="K13" s="570"/>
      <c r="T13" s="589"/>
      <c r="Z13" s="590"/>
      <c r="AA13" s="591"/>
      <c r="AB13" s="517"/>
      <c r="AF13" s="535"/>
      <c r="AG13" s="535"/>
      <c r="AH13" s="535"/>
      <c r="AI13" s="535"/>
    </row>
    <row r="14" spans="2:45" x14ac:dyDescent="0.3">
      <c r="B14" s="594" t="s">
        <v>440</v>
      </c>
      <c r="C14" s="594"/>
      <c r="D14" s="594"/>
      <c r="E14" s="594"/>
      <c r="F14" s="594"/>
      <c r="G14" s="594"/>
      <c r="H14" s="594"/>
      <c r="I14" s="594"/>
      <c r="J14" s="595"/>
      <c r="K14" s="570"/>
      <c r="O14" s="517"/>
      <c r="P14" s="517"/>
      <c r="Q14" s="598"/>
      <c r="R14" s="598"/>
      <c r="S14" s="598"/>
      <c r="T14" s="589"/>
    </row>
    <row r="15" spans="2:45" ht="16.2" thickBot="1" x14ac:dyDescent="0.35">
      <c r="B15" s="528" t="s">
        <v>260</v>
      </c>
      <c r="C15" s="525"/>
      <c r="D15" s="537"/>
      <c r="E15" s="525" t="s">
        <v>261</v>
      </c>
      <c r="F15" s="525" t="s">
        <v>441</v>
      </c>
      <c r="G15" s="525" t="s">
        <v>442</v>
      </c>
      <c r="H15" s="596" t="s">
        <v>443</v>
      </c>
      <c r="I15" s="525" t="s">
        <v>464</v>
      </c>
      <c r="J15" s="597" t="s">
        <v>465</v>
      </c>
      <c r="K15" s="570"/>
      <c r="M15" s="517"/>
      <c r="N15" s="517"/>
      <c r="O15" s="517"/>
      <c r="P15" s="517"/>
      <c r="Q15" s="517"/>
      <c r="S15" s="517"/>
      <c r="T15" s="584"/>
      <c r="U15" s="527"/>
      <c r="AL15" s="778" t="s">
        <v>412</v>
      </c>
      <c r="AM15" s="769"/>
      <c r="AN15" s="769"/>
      <c r="AO15" s="769"/>
      <c r="AP15" s="769"/>
      <c r="AQ15" s="769"/>
      <c r="AR15" s="769"/>
      <c r="AS15" s="769"/>
    </row>
    <row r="16" spans="2:45" x14ac:dyDescent="0.3">
      <c r="B16" s="599" t="str">
        <f t="shared" ref="B16:B23" si="0">B4</f>
        <v xml:space="preserve">Goosehead Insurance, Inc. </v>
      </c>
      <c r="C16" s="600"/>
      <c r="D16" s="600"/>
      <c r="E16" s="525" t="str">
        <f t="shared" ref="E16:E23" si="1">E4</f>
        <v>GSHD</v>
      </c>
      <c r="F16" s="601">
        <f>'Pro Forma'!O36/1000</f>
        <v>151.31200000000001</v>
      </c>
      <c r="G16" s="602">
        <f>T10</f>
        <v>0.27068835406179276</v>
      </c>
      <c r="H16" s="603">
        <f>T9</f>
        <v>-0.59172610556348071</v>
      </c>
      <c r="I16" s="602">
        <f>'Pro Forma'!O102</f>
        <v>0.13771544887385007</v>
      </c>
      <c r="J16" s="604">
        <f>'Pro Forma'!O133</f>
        <v>5.4827112192027072E-2</v>
      </c>
      <c r="O16" s="517"/>
      <c r="P16" s="517"/>
      <c r="Q16" s="517"/>
      <c r="R16" s="517"/>
      <c r="T16" s="608"/>
      <c r="AL16" s="779" t="s">
        <v>260</v>
      </c>
      <c r="AM16" s="780"/>
      <c r="AN16" s="780"/>
      <c r="AO16" s="781" t="s">
        <v>494</v>
      </c>
      <c r="AP16" s="781" t="s">
        <v>266</v>
      </c>
      <c r="AQ16" s="781" t="s">
        <v>463</v>
      </c>
      <c r="AR16" s="781" t="s">
        <v>495</v>
      </c>
      <c r="AS16" s="782" t="s">
        <v>267</v>
      </c>
    </row>
    <row r="17" spans="2:45" x14ac:dyDescent="0.3">
      <c r="B17" s="536" t="str">
        <f t="shared" si="0"/>
        <v>BRP Group</v>
      </c>
      <c r="C17" s="547"/>
      <c r="D17" s="547"/>
      <c r="E17" s="537" t="str">
        <f t="shared" si="1"/>
        <v>BRP</v>
      </c>
      <c r="F17" s="538">
        <v>567</v>
      </c>
      <c r="G17" s="605">
        <v>8.2299999999999998E-2</v>
      </c>
      <c r="H17" s="606">
        <f>'Peer Comp.'!G55</f>
        <v>0.16500000000000001</v>
      </c>
      <c r="I17" s="605">
        <v>3.2000000000000001E-2</v>
      </c>
      <c r="J17" s="607">
        <v>0.16009999999999999</v>
      </c>
      <c r="K17" s="612"/>
      <c r="O17" s="527"/>
      <c r="AL17" s="783"/>
      <c r="AM17" s="665"/>
      <c r="AN17" s="665"/>
      <c r="AO17" s="665"/>
      <c r="AP17" s="665"/>
      <c r="AQ17" s="665"/>
      <c r="AR17" s="665"/>
      <c r="AS17" s="784"/>
    </row>
    <row r="18" spans="2:45" x14ac:dyDescent="0.3">
      <c r="B18" s="553" t="str">
        <f t="shared" si="0"/>
        <v>Brown &amp; Brown, Inc.</v>
      </c>
      <c r="C18" s="523"/>
      <c r="D18" s="523"/>
      <c r="E18" s="554" t="str">
        <f t="shared" si="1"/>
        <v>BRO</v>
      </c>
      <c r="F18" s="555">
        <v>3051</v>
      </c>
      <c r="G18" s="609">
        <v>0.10340000000000001</v>
      </c>
      <c r="H18" s="610">
        <f>'Peer Comp.'!G56</f>
        <v>0.153</v>
      </c>
      <c r="I18" s="609">
        <v>0.33100000000000002</v>
      </c>
      <c r="J18" s="611">
        <v>0.20250000000000001</v>
      </c>
      <c r="K18" s="524"/>
      <c r="O18" s="527"/>
      <c r="R18" s="517"/>
      <c r="U18" s="527"/>
      <c r="AL18" s="785" t="s">
        <v>491</v>
      </c>
      <c r="AM18" s="773"/>
      <c r="AN18" s="773"/>
      <c r="AO18" s="777">
        <v>3058</v>
      </c>
      <c r="AP18" s="775">
        <v>0.106</v>
      </c>
      <c r="AQ18" s="776">
        <v>86.6</v>
      </c>
      <c r="AR18" s="776">
        <v>25.3</v>
      </c>
      <c r="AS18" s="786">
        <v>142.5</v>
      </c>
    </row>
    <row r="19" spans="2:45" x14ac:dyDescent="0.3">
      <c r="B19" s="553" t="str">
        <f t="shared" si="0"/>
        <v>Green Dot Corporation</v>
      </c>
      <c r="C19" s="523"/>
      <c r="D19" s="523"/>
      <c r="E19" s="554" t="str">
        <f t="shared" si="1"/>
        <v>GDOT</v>
      </c>
      <c r="F19" s="555">
        <v>1388</v>
      </c>
      <c r="G19" s="609">
        <v>0.1167</v>
      </c>
      <c r="H19" s="610">
        <f>'Peer Comp.'!G57</f>
        <v>0.11799999999999999</v>
      </c>
      <c r="I19" s="609">
        <v>0.10299999999999999</v>
      </c>
      <c r="J19" s="611">
        <v>8.7499999999999994E-2</v>
      </c>
      <c r="K19" s="554"/>
      <c r="Q19" s="613"/>
      <c r="AL19" s="783"/>
      <c r="AM19" s="665"/>
      <c r="AN19" s="665"/>
      <c r="AO19" s="665"/>
      <c r="AP19" s="665"/>
      <c r="AQ19" s="665"/>
      <c r="AR19" s="774"/>
      <c r="AS19" s="784"/>
    </row>
    <row r="20" spans="2:45" x14ac:dyDescent="0.3">
      <c r="B20" s="553" t="str">
        <f t="shared" si="0"/>
        <v>Planet Fitness, Inc.</v>
      </c>
      <c r="C20" s="523"/>
      <c r="D20" s="523"/>
      <c r="E20" s="554" t="str">
        <f t="shared" si="1"/>
        <v>PLNT</v>
      </c>
      <c r="F20" s="555">
        <v>587</v>
      </c>
      <c r="G20" s="609">
        <v>6.9699999999999998E-2</v>
      </c>
      <c r="H20" s="610">
        <f>'Peer Comp.'!G58</f>
        <v>-0.106</v>
      </c>
      <c r="I20" s="609">
        <v>0.35799999999999998</v>
      </c>
      <c r="J20" s="611">
        <v>0.12720000000000001</v>
      </c>
      <c r="K20" s="614"/>
      <c r="Q20" s="615"/>
      <c r="AL20" s="783" t="s">
        <v>278</v>
      </c>
      <c r="AM20" s="665"/>
      <c r="AN20" s="665"/>
      <c r="AO20" s="770">
        <v>2949</v>
      </c>
      <c r="AP20" s="771">
        <v>8.1000000000000003E-2</v>
      </c>
      <c r="AQ20" s="772">
        <v>22.2</v>
      </c>
      <c r="AR20" s="772">
        <v>25.5</v>
      </c>
      <c r="AS20" s="787">
        <v>213.7</v>
      </c>
    </row>
    <row r="21" spans="2:45" x14ac:dyDescent="0.3">
      <c r="B21" s="553" t="str">
        <f t="shared" si="0"/>
        <v>RE/MAX Holdings</v>
      </c>
      <c r="C21" s="523"/>
      <c r="D21" s="523"/>
      <c r="E21" s="554" t="str">
        <f t="shared" si="1"/>
        <v>RMAX</v>
      </c>
      <c r="F21" s="555">
        <v>330</v>
      </c>
      <c r="G21" s="609">
        <v>5.3499999999999999E-2</v>
      </c>
      <c r="H21" s="610" t="str">
        <f>'Peer Comp.'!G59</f>
        <v>-</v>
      </c>
      <c r="I21" s="609">
        <v>0.254</v>
      </c>
      <c r="J21" s="611">
        <v>0.1376</v>
      </c>
      <c r="K21" s="614"/>
      <c r="M21" s="527">
        <v>4953</v>
      </c>
      <c r="O21" s="565">
        <v>79.09</v>
      </c>
      <c r="Q21" s="613">
        <f>M21*O21</f>
        <v>391732.77</v>
      </c>
      <c r="AL21" s="783"/>
      <c r="AM21" s="665"/>
      <c r="AN21" s="665"/>
      <c r="AO21" s="665"/>
      <c r="AP21" s="665"/>
      <c r="AQ21" s="665"/>
      <c r="AR21" s="774"/>
      <c r="AS21" s="784"/>
    </row>
    <row r="22" spans="2:45" x14ac:dyDescent="0.3">
      <c r="B22" s="553" t="str">
        <f t="shared" si="0"/>
        <v>Chegg</v>
      </c>
      <c r="C22" s="690"/>
      <c r="D22" s="690"/>
      <c r="E22" s="691" t="str">
        <f t="shared" si="1"/>
        <v>CHGG</v>
      </c>
      <c r="F22" s="692">
        <v>776</v>
      </c>
      <c r="G22" s="609">
        <v>7.0999999999999994E-2</v>
      </c>
      <c r="H22" s="610">
        <f>'Peer Comp.'!G60</f>
        <v>0.251</v>
      </c>
      <c r="I22" s="609">
        <v>0.185</v>
      </c>
      <c r="J22" s="611">
        <v>0.22409999999999999</v>
      </c>
      <c r="K22" s="614"/>
      <c r="M22" s="527">
        <v>14405</v>
      </c>
      <c r="O22" s="565">
        <v>80.260000000000005</v>
      </c>
      <c r="Q22" s="613">
        <f t="shared" ref="Q22:Q26" si="2">M22*O22</f>
        <v>1156145.3</v>
      </c>
      <c r="AL22" s="783" t="s">
        <v>280</v>
      </c>
      <c r="AM22" s="665"/>
      <c r="AN22" s="665"/>
      <c r="AO22" s="770">
        <v>17931</v>
      </c>
      <c r="AP22" s="771">
        <v>0.28100000000000003</v>
      </c>
      <c r="AQ22" s="772">
        <v>27.9</v>
      </c>
      <c r="AR22" s="772">
        <v>82.6</v>
      </c>
      <c r="AS22" s="787">
        <v>18.8</v>
      </c>
    </row>
    <row r="23" spans="2:45" x14ac:dyDescent="0.3">
      <c r="B23" s="553" t="str">
        <f t="shared" si="0"/>
        <v xml:space="preserve">GoHealth Inc. </v>
      </c>
      <c r="C23" s="690"/>
      <c r="D23" s="690"/>
      <c r="E23" s="691" t="str">
        <f t="shared" si="1"/>
        <v>GOCO</v>
      </c>
      <c r="F23" s="692">
        <v>1062</v>
      </c>
      <c r="G23" s="609">
        <v>0.60409999999999997</v>
      </c>
      <c r="H23" s="610" t="str">
        <f>'Peer Comp.'!G61</f>
        <v>-</v>
      </c>
      <c r="I23" s="609">
        <v>1.0999999999999999E-2</v>
      </c>
      <c r="J23" s="611">
        <v>0.51039999999999996</v>
      </c>
      <c r="K23" s="614"/>
      <c r="M23" s="527">
        <v>7165</v>
      </c>
      <c r="O23" s="565">
        <v>81.709999999999994</v>
      </c>
      <c r="Q23" s="613">
        <f t="shared" si="2"/>
        <v>585452.14999999991</v>
      </c>
      <c r="AL23" s="783"/>
      <c r="AM23" s="665"/>
      <c r="AN23" s="665"/>
      <c r="AO23" s="665"/>
      <c r="AP23" s="665"/>
      <c r="AQ23" s="665"/>
      <c r="AR23" s="774"/>
      <c r="AS23" s="784"/>
    </row>
    <row r="24" spans="2:45" x14ac:dyDescent="0.3">
      <c r="B24" s="616" t="s">
        <v>436</v>
      </c>
      <c r="C24" s="617"/>
      <c r="D24" s="617"/>
      <c r="E24" s="617"/>
      <c r="F24" s="601">
        <f>AVERAGE(F17:F23)</f>
        <v>1108.7142857142858</v>
      </c>
      <c r="G24" s="618">
        <f>AVERAGE(G17:G23)</f>
        <v>0.15724285714285716</v>
      </c>
      <c r="H24" s="618">
        <f>AVERAGE(H17:H23)</f>
        <v>0.1162</v>
      </c>
      <c r="I24" s="618">
        <f>AVERAGE(I17:I23)</f>
        <v>0.18199999999999997</v>
      </c>
      <c r="J24" s="619">
        <f>AVERAGE(J17:J23)</f>
        <v>0.20705714285714286</v>
      </c>
      <c r="K24" s="614"/>
      <c r="M24" s="527">
        <v>3552</v>
      </c>
      <c r="O24" s="565">
        <v>82.47</v>
      </c>
      <c r="Q24" s="613">
        <f t="shared" si="2"/>
        <v>292933.44</v>
      </c>
      <c r="AL24" s="783" t="s">
        <v>346</v>
      </c>
      <c r="AM24" s="665"/>
      <c r="AN24" s="665"/>
      <c r="AO24" s="770">
        <v>1506</v>
      </c>
      <c r="AP24" s="771">
        <v>3.4000000000000002E-2</v>
      </c>
      <c r="AQ24" s="772">
        <v>11.3</v>
      </c>
      <c r="AR24" s="772">
        <v>0.6</v>
      </c>
      <c r="AS24" s="787">
        <v>5</v>
      </c>
    </row>
    <row r="25" spans="2:45" x14ac:dyDescent="0.3">
      <c r="B25" s="592" t="s">
        <v>467</v>
      </c>
      <c r="C25" s="530"/>
      <c r="D25" s="530"/>
      <c r="E25" s="530"/>
      <c r="F25" s="530"/>
      <c r="G25" s="530"/>
      <c r="H25" s="530"/>
      <c r="I25" s="530"/>
      <c r="J25" s="593" t="s">
        <v>444</v>
      </c>
      <c r="K25" s="614"/>
      <c r="M25" s="527">
        <v>2160</v>
      </c>
      <c r="O25" s="565">
        <v>83.32</v>
      </c>
      <c r="Q25" s="613">
        <f t="shared" si="2"/>
        <v>179971.19999999998</v>
      </c>
      <c r="AL25" s="783"/>
      <c r="AM25" s="665"/>
      <c r="AN25" s="665"/>
      <c r="AO25" s="665"/>
      <c r="AP25" s="665"/>
      <c r="AQ25" s="665"/>
      <c r="AR25" s="774"/>
      <c r="AS25" s="784"/>
    </row>
    <row r="26" spans="2:45" x14ac:dyDescent="0.3">
      <c r="K26" s="614"/>
      <c r="M26" s="527">
        <v>128</v>
      </c>
      <c r="O26" s="565">
        <v>84.11</v>
      </c>
      <c r="Q26" s="613">
        <f t="shared" si="2"/>
        <v>10766.08</v>
      </c>
      <c r="U26" s="527"/>
      <c r="AL26" s="783" t="s">
        <v>355</v>
      </c>
      <c r="AM26" s="665"/>
      <c r="AN26" s="665"/>
      <c r="AO26" s="770">
        <v>7881</v>
      </c>
      <c r="AP26" s="771">
        <v>0.24</v>
      </c>
      <c r="AQ26" s="772">
        <v>51.4</v>
      </c>
      <c r="AR26" s="772">
        <v>23.6</v>
      </c>
      <c r="AS26" s="787">
        <v>44.5</v>
      </c>
    </row>
    <row r="27" spans="2:45" x14ac:dyDescent="0.3">
      <c r="K27" s="614"/>
      <c r="Q27" s="613">
        <f>SUM(Q21:Q26)</f>
        <v>2617000.94</v>
      </c>
      <c r="U27" s="527"/>
      <c r="AL27" s="783"/>
      <c r="AM27" s="665"/>
      <c r="AN27" s="665"/>
      <c r="AO27" s="665"/>
      <c r="AP27" s="665"/>
      <c r="AQ27" s="665"/>
      <c r="AR27" s="774"/>
      <c r="AS27" s="784"/>
    </row>
    <row r="28" spans="2:45" x14ac:dyDescent="0.3">
      <c r="B28" s="620"/>
      <c r="D28" s="620"/>
      <c r="K28" s="614"/>
      <c r="Q28" s="621"/>
      <c r="U28" s="527"/>
      <c r="AL28" s="783" t="s">
        <v>357</v>
      </c>
      <c r="AM28" s="665"/>
      <c r="AN28" s="665"/>
      <c r="AO28" s="770">
        <v>557</v>
      </c>
      <c r="AP28" s="771">
        <v>0.11</v>
      </c>
      <c r="AQ28" s="772">
        <v>11.4</v>
      </c>
      <c r="AR28" s="772">
        <v>0.9</v>
      </c>
      <c r="AS28" s="787">
        <v>6.9</v>
      </c>
    </row>
    <row r="29" spans="2:45" x14ac:dyDescent="0.3">
      <c r="K29" s="622"/>
      <c r="O29" s="527"/>
      <c r="Q29" s="613"/>
      <c r="U29" s="527"/>
      <c r="X29" s="623"/>
      <c r="AL29" s="783"/>
      <c r="AM29" s="665"/>
      <c r="AN29" s="665"/>
      <c r="AO29" s="665"/>
      <c r="AP29" s="665"/>
      <c r="AQ29" s="665"/>
      <c r="AR29" s="774"/>
      <c r="AS29" s="784"/>
    </row>
    <row r="30" spans="2:45" x14ac:dyDescent="0.3">
      <c r="K30" s="624"/>
      <c r="Q30" s="625"/>
      <c r="U30" s="527"/>
      <c r="AL30" s="783" t="s">
        <v>365</v>
      </c>
      <c r="AM30" s="665"/>
      <c r="AN30" s="665"/>
      <c r="AO30" s="770">
        <v>4291</v>
      </c>
      <c r="AP30" s="771">
        <v>0.10100000000000001</v>
      </c>
      <c r="AQ30" s="772">
        <v>25.9</v>
      </c>
      <c r="AR30" s="772">
        <v>9.5</v>
      </c>
      <c r="AS30" s="787">
        <v>32.4</v>
      </c>
    </row>
    <row r="31" spans="2:45" x14ac:dyDescent="0.3">
      <c r="K31" s="530"/>
      <c r="N31" s="565"/>
      <c r="U31" s="527"/>
      <c r="AL31" s="783"/>
      <c r="AM31" s="665"/>
      <c r="AN31" s="665"/>
      <c r="AO31" s="665"/>
      <c r="AP31" s="665"/>
      <c r="AQ31" s="665"/>
      <c r="AR31" s="774"/>
      <c r="AS31" s="784"/>
    </row>
    <row r="32" spans="2:45" x14ac:dyDescent="0.3">
      <c r="K32" s="554"/>
      <c r="O32" s="527"/>
      <c r="Q32" s="626"/>
      <c r="U32" s="527"/>
      <c r="AL32" s="783" t="s">
        <v>492</v>
      </c>
      <c r="AM32" s="665"/>
      <c r="AN32" s="665"/>
      <c r="AO32" s="770">
        <v>427</v>
      </c>
      <c r="AP32" s="771">
        <v>-9.7000000000000003E-2</v>
      </c>
      <c r="AQ32" s="772">
        <v>187.8</v>
      </c>
      <c r="AR32" s="772">
        <v>6.8</v>
      </c>
      <c r="AS32" s="787">
        <v>488.4</v>
      </c>
    </row>
    <row r="33" spans="2:45" x14ac:dyDescent="0.3">
      <c r="K33" s="609"/>
      <c r="Q33" s="615"/>
      <c r="U33" s="527"/>
      <c r="AL33" s="783"/>
      <c r="AM33" s="665"/>
      <c r="AN33" s="665"/>
      <c r="AO33" s="665"/>
      <c r="AP33" s="665"/>
      <c r="AQ33" s="665"/>
      <c r="AR33" s="774"/>
      <c r="AS33" s="784"/>
    </row>
    <row r="34" spans="2:45" ht="16.2" thickBot="1" x14ac:dyDescent="0.35">
      <c r="K34" s="609"/>
      <c r="L34" s="517"/>
      <c r="N34" s="517"/>
      <c r="Q34" s="613"/>
      <c r="AL34" s="788" t="s">
        <v>493</v>
      </c>
      <c r="AM34" s="789"/>
      <c r="AN34" s="789"/>
      <c r="AO34" s="790"/>
      <c r="AP34" s="791">
        <v>9.2999999999999999E-2</v>
      </c>
      <c r="AQ34" s="792">
        <v>54.5</v>
      </c>
      <c r="AR34" s="792">
        <v>24.7</v>
      </c>
      <c r="AS34" s="793">
        <v>144.6</v>
      </c>
    </row>
    <row r="35" spans="2:45" x14ac:dyDescent="0.3">
      <c r="K35" s="609"/>
      <c r="L35" s="517"/>
      <c r="N35" s="517"/>
      <c r="Q35" s="613"/>
      <c r="AL35" s="592" t="s">
        <v>469</v>
      </c>
    </row>
    <row r="36" spans="2:45" x14ac:dyDescent="0.3">
      <c r="K36" s="609"/>
      <c r="L36" s="517"/>
      <c r="M36" s="517"/>
      <c r="N36" s="627"/>
      <c r="O36" s="628"/>
      <c r="Q36" s="629"/>
    </row>
    <row r="37" spans="2:45" x14ac:dyDescent="0.3">
      <c r="K37" s="609"/>
      <c r="L37" s="517"/>
      <c r="M37" s="517"/>
      <c r="N37" s="517"/>
    </row>
    <row r="38" spans="2:45" x14ac:dyDescent="0.3">
      <c r="K38" s="609"/>
      <c r="L38" s="517"/>
      <c r="M38" s="517"/>
      <c r="N38" s="517"/>
    </row>
    <row r="39" spans="2:45" x14ac:dyDescent="0.3">
      <c r="F39" s="539"/>
      <c r="K39" s="630"/>
      <c r="M39" s="631"/>
    </row>
    <row r="40" spans="2:45" x14ac:dyDescent="0.3">
      <c r="K40" s="624"/>
    </row>
    <row r="41" spans="2:45" x14ac:dyDescent="0.3">
      <c r="B41"/>
      <c r="C41"/>
      <c r="D41"/>
      <c r="E41"/>
      <c r="F41"/>
      <c r="G41"/>
      <c r="H41"/>
    </row>
    <row r="42" spans="2:45" x14ac:dyDescent="0.3">
      <c r="B42"/>
      <c r="C42"/>
      <c r="D42" s="632"/>
      <c r="E42" s="632"/>
      <c r="F42"/>
      <c r="G42" s="633"/>
      <c r="H42" s="633"/>
      <c r="I42" s="633"/>
      <c r="J42" s="633"/>
    </row>
    <row r="43" spans="2:45" x14ac:dyDescent="0.3">
      <c r="B43"/>
      <c r="C43"/>
      <c r="D43" s="632"/>
      <c r="E43" s="632"/>
      <c r="F43"/>
      <c r="G43" s="633"/>
      <c r="H43" s="633"/>
      <c r="I43" s="633"/>
      <c r="J43" s="633"/>
      <c r="L43"/>
      <c r="M43"/>
      <c r="N43"/>
      <c r="O43"/>
      <c r="P43"/>
    </row>
    <row r="44" spans="2:45" x14ac:dyDescent="0.3">
      <c r="B44"/>
      <c r="C44"/>
      <c r="D44" s="632"/>
      <c r="E44" s="632"/>
      <c r="F44"/>
      <c r="G44" s="633"/>
      <c r="H44" s="633"/>
      <c r="I44" s="633"/>
      <c r="J44" s="633"/>
      <c r="K44" s="633"/>
      <c r="L44" s="633"/>
      <c r="M44" s="634"/>
      <c r="N44" s="635"/>
      <c r="O44"/>
      <c r="P44" s="634"/>
    </row>
    <row r="45" spans="2:45" x14ac:dyDescent="0.3">
      <c r="B45"/>
      <c r="C45"/>
      <c r="D45" s="632"/>
      <c r="E45" s="632"/>
      <c r="F45"/>
      <c r="G45" s="633"/>
      <c r="H45" s="633"/>
      <c r="I45" s="633"/>
      <c r="J45" s="633"/>
      <c r="K45" s="633"/>
      <c r="L45" s="633"/>
      <c r="M45"/>
      <c r="N45" s="635"/>
      <c r="O45"/>
      <c r="P45"/>
    </row>
    <row r="46" spans="2:45" x14ac:dyDescent="0.3">
      <c r="B46"/>
      <c r="C46"/>
      <c r="D46" s="632"/>
      <c r="E46" s="632"/>
      <c r="F46"/>
      <c r="G46" s="633"/>
      <c r="H46" s="633"/>
      <c r="I46" s="633"/>
      <c r="J46" s="633"/>
      <c r="K46" s="633"/>
      <c r="L46" s="633"/>
      <c r="M46"/>
      <c r="N46" s="635"/>
      <c r="O46"/>
      <c r="P46"/>
    </row>
    <row r="47" spans="2:45" x14ac:dyDescent="0.3">
      <c r="B47" s="636"/>
      <c r="C47" s="636"/>
      <c r="D47" s="637"/>
      <c r="E47" s="637"/>
      <c r="F47" s="638"/>
      <c r="G47" s="639"/>
      <c r="H47" s="639"/>
      <c r="I47" s="639"/>
      <c r="J47" s="639"/>
      <c r="K47" s="633"/>
      <c r="L47" s="633"/>
      <c r="M47"/>
      <c r="N47" s="635"/>
      <c r="O47"/>
      <c r="P47"/>
    </row>
    <row r="48" spans="2:45" x14ac:dyDescent="0.3">
      <c r="B48"/>
      <c r="C48"/>
      <c r="D48"/>
      <c r="E48"/>
      <c r="F48"/>
      <c r="G48"/>
      <c r="H48"/>
      <c r="I48"/>
      <c r="J48"/>
      <c r="K48" s="633"/>
      <c r="L48" s="633"/>
      <c r="M48" s="634"/>
      <c r="N48" s="635"/>
      <c r="O48"/>
      <c r="P48"/>
    </row>
    <row r="49" spans="2:16" x14ac:dyDescent="0.3">
      <c r="B49" s="636"/>
      <c r="C49" s="636"/>
      <c r="D49" s="640"/>
      <c r="E49" s="640"/>
      <c r="F49" s="636"/>
      <c r="G49" s="639"/>
      <c r="H49" s="639"/>
      <c r="I49" s="639"/>
      <c r="J49" s="639"/>
      <c r="K49" s="639"/>
      <c r="L49" s="639"/>
      <c r="M49" s="641"/>
      <c r="N49" s="642"/>
      <c r="O49" s="641"/>
      <c r="P49" s="641"/>
    </row>
    <row r="50" spans="2:16" x14ac:dyDescent="0.3">
      <c r="K50"/>
      <c r="L50"/>
      <c r="M50"/>
      <c r="N50" s="635"/>
      <c r="O50"/>
      <c r="P50"/>
    </row>
    <row r="51" spans="2:16" x14ac:dyDescent="0.3">
      <c r="K51" s="639"/>
      <c r="L51" s="639"/>
      <c r="M51" s="636"/>
      <c r="N51" s="642"/>
      <c r="O51" s="636"/>
      <c r="P51" s="636"/>
    </row>
  </sheetData>
  <mergeCells count="24">
    <mergeCell ref="L2:M2"/>
    <mergeCell ref="Q2:S2"/>
    <mergeCell ref="V2:W2"/>
    <mergeCell ref="L3:M3"/>
    <mergeCell ref="Q3:S3"/>
    <mergeCell ref="V3:W3"/>
    <mergeCell ref="L4:M4"/>
    <mergeCell ref="Q4:S4"/>
    <mergeCell ref="V4:W4"/>
    <mergeCell ref="L5:M5"/>
    <mergeCell ref="Q5:S5"/>
    <mergeCell ref="V5:W5"/>
    <mergeCell ref="L6:M6"/>
    <mergeCell ref="Q6:S6"/>
    <mergeCell ref="Q7:S7"/>
    <mergeCell ref="V7:W7"/>
    <mergeCell ref="L8:M8"/>
    <mergeCell ref="Q8:S8"/>
    <mergeCell ref="L9:M9"/>
    <mergeCell ref="Q9:S9"/>
    <mergeCell ref="V9:W9"/>
    <mergeCell ref="L10:M10"/>
    <mergeCell ref="Q10:S10"/>
    <mergeCell ref="V10:W10"/>
  </mergeCells>
  <conditionalFormatting sqref="K9:K15">
    <cfRule type="iconSet" priority="1">
      <iconSet iconSet="3Arrows">
        <cfvo type="percent" val="0"/>
        <cfvo type="percent" val="33"/>
        <cfvo type="percent" val="67"/>
      </iconSet>
    </cfRule>
  </conditionalFormatting>
  <pageMargins left="0.7" right="0.7" top="0.75" bottom="0.75" header="0.3" footer="0.3"/>
  <ignoredErrors>
    <ignoredError sqref="Y5:AA5"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DCF</vt:lpstr>
      <vt:lpstr>Wacc &amp; Beta</vt:lpstr>
      <vt:lpstr>Pro Forma</vt:lpstr>
      <vt:lpstr>Franchise Revenue</vt:lpstr>
      <vt:lpstr>Churn Analysis</vt:lpstr>
      <vt:lpstr>Peer Comp.</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 Peterson</dc:creator>
  <cp:lastModifiedBy>August Peterson</cp:lastModifiedBy>
  <cp:lastPrinted>2022-03-05T16:13:16Z</cp:lastPrinted>
  <dcterms:created xsi:type="dcterms:W3CDTF">2021-10-16T02:58:05Z</dcterms:created>
  <dcterms:modified xsi:type="dcterms:W3CDTF">2022-07-01T20:37:44Z</dcterms:modified>
</cp:coreProperties>
</file>