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q-my.sharepoint.com/personal/august_peterson_marquette_edu/Documents/Desktop/AIM pitch 3/Final/"/>
    </mc:Choice>
  </mc:AlternateContent>
  <xr:revisionPtr revIDLastSave="414" documentId="13_ncr:1_{9883810E-50E4-4DA9-AFB4-38E2C0BB8E58}" xr6:coauthVersionLast="47" xr6:coauthVersionMax="47" xr10:uidLastSave="{0370DDCB-217B-44CB-AD35-3A5588BE2015}"/>
  <bookViews>
    <workbookView xWindow="-108" yWindow="-108" windowWidth="23256" windowHeight="12576" activeTab="1" xr2:uid="{A783B39B-7B2E-43D3-9C01-C37A074353F5}"/>
  </bookViews>
  <sheets>
    <sheet name="Valuation" sheetId="4" r:id="rId1"/>
    <sheet name="Pro Forma" sheetId="5" r:id="rId2"/>
    <sheet name="Loan ARMs" sheetId="6" r:id="rId3"/>
    <sheet name="Securities Profile" sheetId="7" r:id="rId4"/>
    <sheet name="Tables" sheetId="8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14" i="5" l="1"/>
  <c r="AH214" i="5" s="1"/>
  <c r="W214" i="5"/>
  <c r="R214" i="5"/>
  <c r="N214" i="5"/>
  <c r="M214" i="5"/>
  <c r="L214" i="5"/>
  <c r="K214" i="5"/>
  <c r="J214" i="5"/>
  <c r="I214" i="5"/>
  <c r="H214" i="5"/>
  <c r="G214" i="5"/>
  <c r="F214" i="5"/>
  <c r="E214" i="5"/>
  <c r="AC10" i="5"/>
  <c r="O133" i="5"/>
  <c r="O152" i="5" s="1"/>
  <c r="O155" i="5" s="1"/>
  <c r="O157" i="5" s="1"/>
  <c r="O214" i="5" s="1"/>
  <c r="N235" i="5"/>
  <c r="L235" i="5"/>
  <c r="K235" i="5"/>
  <c r="J235" i="5"/>
  <c r="I235" i="5"/>
  <c r="H235" i="5"/>
  <c r="G235" i="5"/>
  <c r="F235" i="5"/>
  <c r="E235" i="5"/>
  <c r="D235" i="5"/>
  <c r="C235" i="5"/>
  <c r="W177" i="5"/>
  <c r="R177" i="5"/>
  <c r="P177" i="5"/>
  <c r="O177" i="5"/>
  <c r="N177" i="5"/>
  <c r="M177" i="5"/>
  <c r="L177" i="5"/>
  <c r="K177" i="5"/>
  <c r="J177" i="5"/>
  <c r="I177" i="5"/>
  <c r="H177" i="5"/>
  <c r="G177" i="5"/>
  <c r="F177" i="5"/>
  <c r="E177" i="5"/>
  <c r="D177" i="5"/>
  <c r="C177" i="5"/>
  <c r="O235" i="5" l="1"/>
  <c r="AI229" i="5" l="1"/>
  <c r="AC229" i="5" s="1"/>
  <c r="AI228" i="5"/>
  <c r="AC228" i="5" s="1"/>
  <c r="AI226" i="5"/>
  <c r="AI225" i="5"/>
  <c r="AE225" i="5" s="1"/>
  <c r="AI224" i="5"/>
  <c r="AE224" i="5" s="1"/>
  <c r="AI114" i="5"/>
  <c r="AI26" i="5"/>
  <c r="D178" i="5"/>
  <c r="E178" i="5"/>
  <c r="F178" i="5"/>
  <c r="G178" i="5"/>
  <c r="H178" i="5"/>
  <c r="I178" i="5"/>
  <c r="J178" i="5"/>
  <c r="K178" i="5"/>
  <c r="L178" i="5"/>
  <c r="N178" i="5"/>
  <c r="O178" i="5"/>
  <c r="P178" i="5"/>
  <c r="S178" i="5"/>
  <c r="X178" i="5"/>
  <c r="AE170" i="4"/>
  <c r="AE169" i="4"/>
  <c r="AE168" i="4"/>
  <c r="AE167" i="4"/>
  <c r="AE166" i="4"/>
  <c r="AE165" i="4"/>
  <c r="AE164" i="4"/>
  <c r="AE163" i="4"/>
  <c r="AE162" i="4"/>
  <c r="AE161" i="4"/>
  <c r="AE160" i="4"/>
  <c r="AE159" i="4"/>
  <c r="AE158" i="4"/>
  <c r="AE157" i="4"/>
  <c r="AE156" i="4"/>
  <c r="AE155" i="4"/>
  <c r="AE154" i="4"/>
  <c r="AE153" i="4"/>
  <c r="AE152" i="4"/>
  <c r="AE151" i="4"/>
  <c r="AE150" i="4"/>
  <c r="AE149" i="4"/>
  <c r="AE148" i="4"/>
  <c r="AE147" i="4"/>
  <c r="AE146" i="4"/>
  <c r="AE145" i="4"/>
  <c r="AE144" i="4"/>
  <c r="AE143" i="4"/>
  <c r="AE142" i="4"/>
  <c r="AE141" i="4"/>
  <c r="AE140" i="4"/>
  <c r="AE139" i="4"/>
  <c r="AE138" i="4"/>
  <c r="AE137" i="4"/>
  <c r="AE136" i="4"/>
  <c r="AE135" i="4"/>
  <c r="AE134" i="4"/>
  <c r="AE133" i="4"/>
  <c r="AE132" i="4"/>
  <c r="AE131" i="4"/>
  <c r="AE130" i="4"/>
  <c r="AE129" i="4"/>
  <c r="AE128" i="4"/>
  <c r="AE127" i="4"/>
  <c r="AE126" i="4"/>
  <c r="AE125" i="4"/>
  <c r="AE124" i="4"/>
  <c r="AE123" i="4"/>
  <c r="AE122" i="4"/>
  <c r="AE121" i="4"/>
  <c r="AE120" i="4"/>
  <c r="AE119" i="4"/>
  <c r="AE118" i="4"/>
  <c r="AE117" i="4"/>
  <c r="AE116" i="4"/>
  <c r="AE115" i="4"/>
  <c r="AE114" i="4"/>
  <c r="AE113" i="4"/>
  <c r="AE112" i="4"/>
  <c r="AE111" i="4"/>
  <c r="AE110" i="4"/>
  <c r="AE109" i="4"/>
  <c r="AE108" i="4"/>
  <c r="AE107" i="4"/>
  <c r="AE106" i="4"/>
  <c r="AE105" i="4"/>
  <c r="AE104" i="4"/>
  <c r="AE103" i="4"/>
  <c r="AE102" i="4"/>
  <c r="AE101" i="4"/>
  <c r="AE100" i="4"/>
  <c r="AE99" i="4"/>
  <c r="AE98" i="4"/>
  <c r="AE97" i="4"/>
  <c r="AE96" i="4"/>
  <c r="AE95" i="4"/>
  <c r="AE94" i="4"/>
  <c r="AE93" i="4"/>
  <c r="AE92" i="4"/>
  <c r="AE91" i="4"/>
  <c r="AE90" i="4"/>
  <c r="AE89" i="4"/>
  <c r="AE88" i="4"/>
  <c r="AE87" i="4"/>
  <c r="AE86" i="4"/>
  <c r="AE85" i="4"/>
  <c r="AE84" i="4"/>
  <c r="AE83" i="4"/>
  <c r="AE82" i="4"/>
  <c r="AE81" i="4"/>
  <c r="AE80" i="4"/>
  <c r="AE79" i="4"/>
  <c r="AE78" i="4"/>
  <c r="AE77" i="4"/>
  <c r="AE76" i="4"/>
  <c r="AE75" i="4"/>
  <c r="AE74" i="4"/>
  <c r="AE73" i="4"/>
  <c r="AE72" i="4"/>
  <c r="AE71" i="4"/>
  <c r="AE70" i="4"/>
  <c r="AE69" i="4"/>
  <c r="AE68" i="4"/>
  <c r="AE67" i="4"/>
  <c r="AE66" i="4"/>
  <c r="AE65" i="4"/>
  <c r="AE64" i="4"/>
  <c r="AE63" i="4"/>
  <c r="AE62" i="4"/>
  <c r="AE61" i="4"/>
  <c r="AE60" i="4"/>
  <c r="AE59" i="4"/>
  <c r="AE58" i="4"/>
  <c r="AE57" i="4"/>
  <c r="AE56" i="4"/>
  <c r="AE55" i="4"/>
  <c r="AE54" i="4"/>
  <c r="AE53" i="4"/>
  <c r="AE52" i="4"/>
  <c r="AE51" i="4"/>
  <c r="AE50" i="4"/>
  <c r="AE49" i="4"/>
  <c r="AE48" i="4"/>
  <c r="AE47" i="4"/>
  <c r="AE46" i="4"/>
  <c r="AE45" i="4"/>
  <c r="AE44" i="4"/>
  <c r="AE43" i="4"/>
  <c r="AE42" i="4"/>
  <c r="AE41" i="4"/>
  <c r="AE40" i="4"/>
  <c r="AE39" i="4"/>
  <c r="AE38" i="4"/>
  <c r="AE37" i="4"/>
  <c r="AE36" i="4"/>
  <c r="AE35" i="4"/>
  <c r="AE34" i="4"/>
  <c r="AE33" i="4"/>
  <c r="AE32" i="4"/>
  <c r="AE31" i="4"/>
  <c r="AE30" i="4"/>
  <c r="AE29" i="4"/>
  <c r="AE28" i="4"/>
  <c r="AE27" i="4"/>
  <c r="AE26" i="4"/>
  <c r="AE25" i="4"/>
  <c r="AE24" i="4"/>
  <c r="AE23" i="4"/>
  <c r="AE22" i="4"/>
  <c r="AE21" i="4"/>
  <c r="AE20" i="4"/>
  <c r="AE19" i="4"/>
  <c r="AE18" i="4"/>
  <c r="AE17" i="4"/>
  <c r="AE16" i="4"/>
  <c r="AE15" i="4"/>
  <c r="AE14" i="4"/>
  <c r="AC170" i="4"/>
  <c r="AC169" i="4"/>
  <c r="AC168" i="4"/>
  <c r="AC167" i="4"/>
  <c r="AC166" i="4"/>
  <c r="AC165" i="4"/>
  <c r="AC164" i="4"/>
  <c r="AC163" i="4"/>
  <c r="AC162" i="4"/>
  <c r="AC161" i="4"/>
  <c r="AC160" i="4"/>
  <c r="AC159" i="4"/>
  <c r="AC158" i="4"/>
  <c r="AC157" i="4"/>
  <c r="AC156" i="4"/>
  <c r="AC155" i="4"/>
  <c r="AC154" i="4"/>
  <c r="AC153" i="4"/>
  <c r="AC152" i="4"/>
  <c r="AC151" i="4"/>
  <c r="AC150" i="4"/>
  <c r="AC149" i="4"/>
  <c r="AC148" i="4"/>
  <c r="AC147" i="4"/>
  <c r="AC146" i="4"/>
  <c r="AC145" i="4"/>
  <c r="AC144" i="4"/>
  <c r="AC143" i="4"/>
  <c r="AC142" i="4"/>
  <c r="AC141" i="4"/>
  <c r="AC140" i="4"/>
  <c r="AC139" i="4"/>
  <c r="AC138" i="4"/>
  <c r="AC137" i="4"/>
  <c r="AC136" i="4"/>
  <c r="AC135" i="4"/>
  <c r="AC134" i="4"/>
  <c r="AC133" i="4"/>
  <c r="AC132" i="4"/>
  <c r="AC131" i="4"/>
  <c r="AC130" i="4"/>
  <c r="AC129" i="4"/>
  <c r="AC128" i="4"/>
  <c r="AC127" i="4"/>
  <c r="AC126" i="4"/>
  <c r="AC125" i="4"/>
  <c r="AC124" i="4"/>
  <c r="AC123" i="4"/>
  <c r="AC122" i="4"/>
  <c r="AC121" i="4"/>
  <c r="AC120" i="4"/>
  <c r="AC119" i="4"/>
  <c r="AC118" i="4"/>
  <c r="AC117" i="4"/>
  <c r="AC116" i="4"/>
  <c r="AC115" i="4"/>
  <c r="AC114" i="4"/>
  <c r="AC113" i="4"/>
  <c r="AC112" i="4"/>
  <c r="AC111" i="4"/>
  <c r="AC110" i="4"/>
  <c r="AC109" i="4"/>
  <c r="AC108" i="4"/>
  <c r="AC107" i="4"/>
  <c r="AC106" i="4"/>
  <c r="AC105" i="4"/>
  <c r="AC104" i="4"/>
  <c r="AC103" i="4"/>
  <c r="AC102" i="4"/>
  <c r="AC101" i="4"/>
  <c r="AC100" i="4"/>
  <c r="AC99" i="4"/>
  <c r="AC98" i="4"/>
  <c r="AC97" i="4"/>
  <c r="AC96" i="4"/>
  <c r="AC95" i="4"/>
  <c r="AC94" i="4"/>
  <c r="AC93" i="4"/>
  <c r="AC92" i="4"/>
  <c r="AC91" i="4"/>
  <c r="AC90" i="4"/>
  <c r="AC89" i="4"/>
  <c r="AC88" i="4"/>
  <c r="AC87" i="4"/>
  <c r="AC86" i="4"/>
  <c r="AC85" i="4"/>
  <c r="AC84" i="4"/>
  <c r="AC83" i="4"/>
  <c r="AC82" i="4"/>
  <c r="AC81" i="4"/>
  <c r="AC80" i="4"/>
  <c r="AC79" i="4"/>
  <c r="AC78" i="4"/>
  <c r="AC77" i="4"/>
  <c r="AC76" i="4"/>
  <c r="AC75" i="4"/>
  <c r="AC74" i="4"/>
  <c r="AC73" i="4"/>
  <c r="AC72" i="4"/>
  <c r="AC71" i="4"/>
  <c r="AC70" i="4"/>
  <c r="AC69" i="4"/>
  <c r="AC68" i="4"/>
  <c r="AC67" i="4"/>
  <c r="AC66" i="4"/>
  <c r="AC65" i="4"/>
  <c r="AC64" i="4"/>
  <c r="AC63" i="4"/>
  <c r="AC62" i="4"/>
  <c r="AC61" i="4"/>
  <c r="AC60" i="4"/>
  <c r="AC59" i="4"/>
  <c r="AC58" i="4"/>
  <c r="AC57" i="4"/>
  <c r="AC56" i="4"/>
  <c r="AC55" i="4"/>
  <c r="AC54" i="4"/>
  <c r="AC53" i="4"/>
  <c r="AC52" i="4"/>
  <c r="AC51" i="4"/>
  <c r="AC50" i="4"/>
  <c r="AC49" i="4"/>
  <c r="AC48" i="4"/>
  <c r="AC47" i="4"/>
  <c r="AC46" i="4"/>
  <c r="AC45" i="4"/>
  <c r="AC44" i="4"/>
  <c r="AC43" i="4"/>
  <c r="AC42" i="4"/>
  <c r="AC41" i="4"/>
  <c r="AC40" i="4"/>
  <c r="AC39" i="4"/>
  <c r="AC38" i="4"/>
  <c r="AC37" i="4"/>
  <c r="AC36" i="4"/>
  <c r="AC35" i="4"/>
  <c r="AC34" i="4"/>
  <c r="AC33" i="4"/>
  <c r="AC32" i="4"/>
  <c r="AC31" i="4"/>
  <c r="AC30" i="4"/>
  <c r="AC29" i="4"/>
  <c r="AC28" i="4"/>
  <c r="AC27" i="4"/>
  <c r="AC26" i="4"/>
  <c r="AC25" i="4"/>
  <c r="AC24" i="4"/>
  <c r="AC23" i="4"/>
  <c r="AC22" i="4"/>
  <c r="AC21" i="4"/>
  <c r="AC20" i="4"/>
  <c r="AC19" i="4"/>
  <c r="AC18" i="4"/>
  <c r="AC17" i="4"/>
  <c r="AC16" i="4"/>
  <c r="AC15" i="4"/>
  <c r="AC14" i="4"/>
  <c r="J34" i="4" l="1"/>
  <c r="J35" i="4" s="1"/>
  <c r="AF225" i="5"/>
  <c r="AD228" i="5"/>
  <c r="AD226" i="5" s="1"/>
  <c r="AG228" i="5"/>
  <c r="AG226" i="5" s="1"/>
  <c r="AG225" i="5"/>
  <c r="AC226" i="5"/>
  <c r="AH225" i="5"/>
  <c r="AC225" i="5"/>
  <c r="AD225" i="5"/>
  <c r="AF224" i="5"/>
  <c r="AG224" i="5"/>
  <c r="AH224" i="5" s="1"/>
  <c r="AC224" i="5"/>
  <c r="AD224" i="5"/>
  <c r="AD229" i="5"/>
  <c r="AE229" i="5"/>
  <c r="AF229" i="5"/>
  <c r="AG229" i="5"/>
  <c r="AH229" i="5"/>
  <c r="AE228" i="5"/>
  <c r="AE226" i="5" s="1"/>
  <c r="AF226" i="5" s="1"/>
  <c r="AF228" i="5"/>
  <c r="T19" i="4"/>
  <c r="T37" i="4"/>
  <c r="T18" i="4"/>
  <c r="F7" i="4"/>
  <c r="F5" i="4"/>
  <c r="E20" i="4" l="1"/>
  <c r="T20" i="4"/>
  <c r="I2" i="8"/>
  <c r="AH228" i="5"/>
  <c r="E42" i="4"/>
  <c r="E43" i="4" s="1"/>
  <c r="E44" i="4" s="1"/>
  <c r="G20" i="4" l="1"/>
  <c r="E41" i="4"/>
  <c r="E40" i="4" s="1"/>
  <c r="H20" i="4"/>
  <c r="D20" i="4"/>
  <c r="I20" i="4"/>
  <c r="J20" i="4"/>
  <c r="F20" i="4"/>
  <c r="T38" i="4" l="1"/>
  <c r="O41" i="4" s="1"/>
  <c r="O36" i="4"/>
  <c r="O43" i="4" s="1"/>
  <c r="I3" i="8" l="1"/>
  <c r="S199" i="5"/>
  <c r="T199" i="5" s="1"/>
  <c r="U199" i="5" s="1"/>
  <c r="V199" i="5" s="1"/>
  <c r="X199" i="5" s="1"/>
  <c r="Y199" i="5" s="1"/>
  <c r="Z199" i="5" s="1"/>
  <c r="AA199" i="5" s="1"/>
  <c r="Y200" i="5"/>
  <c r="Z200" i="5" s="1"/>
  <c r="AA200" i="5" s="1"/>
  <c r="T200" i="5"/>
  <c r="U200" i="5" s="1"/>
  <c r="V200" i="5" s="1"/>
  <c r="Y197" i="5"/>
  <c r="Z197" i="5" s="1"/>
  <c r="AA197" i="5" s="1"/>
  <c r="T197" i="5"/>
  <c r="U197" i="5" s="1"/>
  <c r="V197" i="5" s="1"/>
  <c r="O25" i="4"/>
  <c r="Y144" i="5"/>
  <c r="Z144" i="5" s="1"/>
  <c r="AA144" i="5" s="1"/>
  <c r="T144" i="5"/>
  <c r="U144" i="5" s="1"/>
  <c r="V144" i="5" s="1"/>
  <c r="Q144" i="5"/>
  <c r="Y108" i="5"/>
  <c r="Z108" i="5" s="1"/>
  <c r="AA108" i="5" s="1"/>
  <c r="T108" i="5"/>
  <c r="U108" i="5" s="1"/>
  <c r="V108" i="5" s="1"/>
  <c r="Q108" i="5"/>
  <c r="AC197" i="5"/>
  <c r="AC196" i="5"/>
  <c r="T166" i="5"/>
  <c r="U166" i="5" s="1"/>
  <c r="V166" i="5" s="1"/>
  <c r="X166" i="5" s="1"/>
  <c r="Y166" i="5" s="1"/>
  <c r="Z166" i="5" s="1"/>
  <c r="AA166" i="5" s="1"/>
  <c r="S162" i="5"/>
  <c r="Q162" i="5"/>
  <c r="V138" i="5"/>
  <c r="O18" i="4"/>
  <c r="V15" i="4"/>
  <c r="T125" i="5"/>
  <c r="U125" i="5" s="1"/>
  <c r="V125" i="5" s="1"/>
  <c r="P130" i="5"/>
  <c r="Y114" i="5"/>
  <c r="O109" i="5"/>
  <c r="O107" i="5"/>
  <c r="O103" i="5"/>
  <c r="O101" i="5"/>
  <c r="N109" i="5"/>
  <c r="N107" i="5"/>
  <c r="N103" i="5"/>
  <c r="N101" i="5"/>
  <c r="N231" i="5"/>
  <c r="O231" i="5"/>
  <c r="O99" i="5"/>
  <c r="N99" i="5"/>
  <c r="O134" i="5"/>
  <c r="N134" i="5"/>
  <c r="L134" i="5"/>
  <c r="K134" i="5"/>
  <c r="J134" i="5"/>
  <c r="H134" i="5"/>
  <c r="G134" i="5"/>
  <c r="F134" i="5"/>
  <c r="E134" i="5"/>
  <c r="D134" i="5"/>
  <c r="O119" i="5"/>
  <c r="N119" i="5"/>
  <c r="L119" i="5"/>
  <c r="K119" i="5"/>
  <c r="J119" i="5"/>
  <c r="H119" i="5"/>
  <c r="G119" i="5"/>
  <c r="F119" i="5"/>
  <c r="E119" i="5"/>
  <c r="D119" i="5"/>
  <c r="O105" i="5"/>
  <c r="N105" i="5"/>
  <c r="L105" i="5"/>
  <c r="K105" i="5"/>
  <c r="J105" i="5"/>
  <c r="H105" i="5"/>
  <c r="G105" i="5"/>
  <c r="F105" i="5"/>
  <c r="E105" i="5"/>
  <c r="D105" i="5"/>
  <c r="AL27" i="5"/>
  <c r="AN27" i="5" s="1"/>
  <c r="M7" i="8"/>
  <c r="D2" i="8"/>
  <c r="Y178" i="5" l="1"/>
  <c r="W15" i="4"/>
  <c r="X15" i="4" s="1"/>
  <c r="Y15" i="4" s="1"/>
  <c r="O19" i="4" s="1"/>
  <c r="O20" i="4" s="1"/>
  <c r="Z114" i="5"/>
  <c r="H39" i="4"/>
  <c r="AI29" i="5"/>
  <c r="AI28" i="5"/>
  <c r="AI27" i="5"/>
  <c r="AA114" i="5" l="1"/>
  <c r="AE114" i="5" s="1"/>
  <c r="Z178" i="5"/>
  <c r="Y18" i="4"/>
  <c r="Y19" i="4" s="1"/>
  <c r="O23" i="4" s="1"/>
  <c r="I39" i="4"/>
  <c r="J39" i="4" s="1"/>
  <c r="G39" i="4"/>
  <c r="F39" i="4" s="1"/>
  <c r="AA178" i="5" l="1"/>
  <c r="Q138" i="5"/>
  <c r="O113" i="5"/>
  <c r="N113" i="5"/>
  <c r="L113" i="5"/>
  <c r="K113" i="5"/>
  <c r="J113" i="5"/>
  <c r="H113" i="5"/>
  <c r="G113" i="5"/>
  <c r="F113" i="5"/>
  <c r="E113" i="5"/>
  <c r="D113" i="5"/>
  <c r="T138" i="5"/>
  <c r="Y138" i="5" s="1"/>
  <c r="AA138" i="5" s="1"/>
  <c r="O156" i="5"/>
  <c r="N156" i="5"/>
  <c r="L156" i="5"/>
  <c r="K156" i="5"/>
  <c r="J156" i="5"/>
  <c r="P124" i="5"/>
  <c r="Q124" i="5" s="1"/>
  <c r="S124" i="5" s="1"/>
  <c r="K125" i="5"/>
  <c r="J125" i="5"/>
  <c r="O125" i="5"/>
  <c r="N125" i="5"/>
  <c r="L125" i="5"/>
  <c r="T124" i="5" l="1"/>
  <c r="U124" i="5" s="1"/>
  <c r="V124" i="5" s="1"/>
  <c r="X124" i="5" s="1"/>
  <c r="Y124" i="5" s="1"/>
  <c r="Z124" i="5" s="1"/>
  <c r="AA124" i="5" s="1"/>
  <c r="H156" i="5"/>
  <c r="G156" i="5"/>
  <c r="F156" i="5"/>
  <c r="E156" i="5"/>
  <c r="D156" i="5"/>
  <c r="O97" i="5"/>
  <c r="N97" i="5"/>
  <c r="L97" i="5"/>
  <c r="K97" i="5"/>
  <c r="J97" i="5"/>
  <c r="H97" i="5"/>
  <c r="G97" i="5"/>
  <c r="F97" i="5"/>
  <c r="E97" i="5"/>
  <c r="D97" i="5"/>
  <c r="D34" i="4"/>
  <c r="O154" i="5"/>
  <c r="N154" i="5"/>
  <c r="L154" i="5"/>
  <c r="K154" i="5"/>
  <c r="J154" i="5"/>
  <c r="I154" i="5"/>
  <c r="H154" i="5"/>
  <c r="G154" i="5"/>
  <c r="F154" i="5"/>
  <c r="E154" i="5"/>
  <c r="D154" i="5"/>
  <c r="C154" i="5"/>
  <c r="P150" i="5"/>
  <c r="Q150" i="5" s="1"/>
  <c r="AB147" i="5"/>
  <c r="P147" i="5"/>
  <c r="Q147" i="5" s="1"/>
  <c r="P146" i="5"/>
  <c r="Q146" i="5" s="1"/>
  <c r="S146" i="5" s="1"/>
  <c r="P145" i="5"/>
  <c r="AE144" i="5"/>
  <c r="AF144" i="5" s="1"/>
  <c r="AG144" i="5" s="1"/>
  <c r="AH144" i="5" s="1"/>
  <c r="AD144" i="5"/>
  <c r="AC144" i="5"/>
  <c r="AC143" i="5"/>
  <c r="H142" i="5"/>
  <c r="G142" i="5"/>
  <c r="F142" i="5"/>
  <c r="E142" i="5"/>
  <c r="D142" i="5"/>
  <c r="C142" i="5"/>
  <c r="O136" i="5"/>
  <c r="N136" i="5"/>
  <c r="L136" i="5"/>
  <c r="K136" i="5"/>
  <c r="J136" i="5"/>
  <c r="H136" i="5"/>
  <c r="G136" i="5"/>
  <c r="F136" i="5"/>
  <c r="E136" i="5"/>
  <c r="D136" i="5"/>
  <c r="Q140" i="5"/>
  <c r="T140" i="5" s="1"/>
  <c r="V140" i="5" s="1"/>
  <c r="Y140" i="5" s="1"/>
  <c r="Z140" i="5" s="1"/>
  <c r="AA140" i="5" s="1"/>
  <c r="H139" i="5"/>
  <c r="G139" i="5"/>
  <c r="F139" i="5"/>
  <c r="E139" i="5"/>
  <c r="D139" i="5"/>
  <c r="C139" i="5"/>
  <c r="H138" i="5"/>
  <c r="G138" i="5"/>
  <c r="F138" i="5"/>
  <c r="E138" i="5"/>
  <c r="D138" i="5"/>
  <c r="I137" i="5"/>
  <c r="J137" i="5" s="1"/>
  <c r="K137" i="5" s="1"/>
  <c r="L137" i="5" s="1"/>
  <c r="N137" i="5" s="1"/>
  <c r="AE132" i="5"/>
  <c r="AF132" i="5" s="1"/>
  <c r="AG132" i="5" s="1"/>
  <c r="AH132" i="5" s="1"/>
  <c r="AD132" i="5"/>
  <c r="AC132" i="5"/>
  <c r="S131" i="5"/>
  <c r="T131" i="5" s="1"/>
  <c r="U131" i="5" s="1"/>
  <c r="V131" i="5" s="1"/>
  <c r="X131" i="5" s="1"/>
  <c r="Y131" i="5" s="1"/>
  <c r="Z131" i="5" s="1"/>
  <c r="AA131" i="5" s="1"/>
  <c r="O131" i="5"/>
  <c r="N131" i="5"/>
  <c r="L131" i="5"/>
  <c r="K131" i="5"/>
  <c r="J131" i="5"/>
  <c r="AG129" i="5"/>
  <c r="AH129" i="5" s="1"/>
  <c r="Q129" i="5"/>
  <c r="S129" i="5" s="1"/>
  <c r="O129" i="5"/>
  <c r="N129" i="5"/>
  <c r="L129" i="5"/>
  <c r="K129" i="5"/>
  <c r="J129" i="5"/>
  <c r="I129" i="5"/>
  <c r="H129" i="5"/>
  <c r="G129" i="5"/>
  <c r="F129" i="5"/>
  <c r="E129" i="5"/>
  <c r="AE126" i="5"/>
  <c r="AD126" i="5"/>
  <c r="AC126" i="5"/>
  <c r="AC124" i="5"/>
  <c r="O123" i="5"/>
  <c r="N123" i="5"/>
  <c r="L123" i="5"/>
  <c r="K123" i="5"/>
  <c r="J123" i="5"/>
  <c r="I123" i="5"/>
  <c r="H123" i="5"/>
  <c r="G123" i="5"/>
  <c r="F123" i="5"/>
  <c r="E123" i="5"/>
  <c r="D123" i="5"/>
  <c r="C123" i="5"/>
  <c r="O115" i="5"/>
  <c r="N115" i="5"/>
  <c r="L115" i="5"/>
  <c r="K115" i="5"/>
  <c r="J115" i="5"/>
  <c r="I115" i="5"/>
  <c r="AA111" i="5"/>
  <c r="Z111" i="5"/>
  <c r="Y111" i="5"/>
  <c r="X111" i="5"/>
  <c r="P111" i="5"/>
  <c r="Q111" i="5" s="1"/>
  <c r="O121" i="5"/>
  <c r="Q121" i="5" s="1"/>
  <c r="N121" i="5"/>
  <c r="L121" i="5"/>
  <c r="K121" i="5"/>
  <c r="J121" i="5"/>
  <c r="I121" i="5"/>
  <c r="H121" i="5"/>
  <c r="G121" i="5"/>
  <c r="F121" i="5"/>
  <c r="E121" i="5"/>
  <c r="D121" i="5"/>
  <c r="C121" i="5"/>
  <c r="H115" i="5"/>
  <c r="G115" i="5"/>
  <c r="F115" i="5"/>
  <c r="E115" i="5"/>
  <c r="D115" i="5"/>
  <c r="C115" i="5"/>
  <c r="AB104" i="5"/>
  <c r="AC111" i="5"/>
  <c r="D230" i="5"/>
  <c r="H109" i="5"/>
  <c r="G109" i="5"/>
  <c r="F109" i="5"/>
  <c r="E109" i="5"/>
  <c r="D109" i="5"/>
  <c r="AC213" i="5"/>
  <c r="AB213" i="5"/>
  <c r="S213" i="5"/>
  <c r="O211" i="5"/>
  <c r="O233" i="5"/>
  <c r="I6" i="8" s="1"/>
  <c r="N233" i="5"/>
  <c r="L233" i="5"/>
  <c r="K233" i="5"/>
  <c r="J233" i="5"/>
  <c r="I233" i="5"/>
  <c r="H233" i="5"/>
  <c r="G233" i="5"/>
  <c r="F233" i="5"/>
  <c r="E233" i="5"/>
  <c r="D233" i="5"/>
  <c r="C233" i="5"/>
  <c r="AE200" i="5"/>
  <c r="AE199" i="5"/>
  <c r="AE198" i="5"/>
  <c r="AE197" i="5"/>
  <c r="AE196" i="5"/>
  <c r="AD200" i="5"/>
  <c r="AD199" i="5"/>
  <c r="AD198" i="5"/>
  <c r="AD197" i="5"/>
  <c r="AD196" i="5"/>
  <c r="AC200" i="5"/>
  <c r="AC199" i="5"/>
  <c r="AC198" i="5"/>
  <c r="AB199" i="5"/>
  <c r="P204" i="5"/>
  <c r="Q204" i="5" s="1"/>
  <c r="Q158" i="5" s="1"/>
  <c r="P195" i="5"/>
  <c r="P194" i="5"/>
  <c r="D193" i="5"/>
  <c r="O193" i="5"/>
  <c r="N193" i="5"/>
  <c r="L193" i="5"/>
  <c r="K193" i="5"/>
  <c r="J193" i="5"/>
  <c r="H193" i="5"/>
  <c r="G193" i="5"/>
  <c r="F193" i="5"/>
  <c r="E193" i="5"/>
  <c r="O180" i="5"/>
  <c r="N180" i="5"/>
  <c r="L180" i="5"/>
  <c r="K180" i="5"/>
  <c r="J180" i="5"/>
  <c r="H180" i="5"/>
  <c r="G180" i="5"/>
  <c r="F180" i="5"/>
  <c r="E180" i="5"/>
  <c r="D180" i="5"/>
  <c r="B193" i="5"/>
  <c r="AE176" i="5"/>
  <c r="AD176" i="5"/>
  <c r="AC176" i="5"/>
  <c r="AH162" i="5"/>
  <c r="AG162" i="5"/>
  <c r="AF162" i="5"/>
  <c r="AF169" i="5"/>
  <c r="O161" i="5"/>
  <c r="N161" i="5"/>
  <c r="L161" i="5"/>
  <c r="K161" i="5"/>
  <c r="J161" i="5"/>
  <c r="I161" i="5"/>
  <c r="AE163" i="5"/>
  <c r="AD163" i="5"/>
  <c r="AE170" i="5"/>
  <c r="AE172" i="5"/>
  <c r="AD172" i="5"/>
  <c r="O173" i="5"/>
  <c r="N173" i="5"/>
  <c r="L173" i="5"/>
  <c r="K173" i="5"/>
  <c r="J173" i="5"/>
  <c r="I173" i="5"/>
  <c r="H173" i="5"/>
  <c r="G173" i="5"/>
  <c r="F173" i="5"/>
  <c r="E173" i="5"/>
  <c r="D173" i="5"/>
  <c r="C173" i="5"/>
  <c r="T169" i="5"/>
  <c r="T170" i="5" s="1"/>
  <c r="S170" i="5"/>
  <c r="Q170" i="5"/>
  <c r="P170" i="5"/>
  <c r="O170" i="5"/>
  <c r="N170" i="5"/>
  <c r="L170" i="5"/>
  <c r="K170" i="5"/>
  <c r="J170" i="5"/>
  <c r="H170" i="5"/>
  <c r="G170" i="5"/>
  <c r="F170" i="5"/>
  <c r="E170" i="5"/>
  <c r="D170" i="5"/>
  <c r="T162" i="5"/>
  <c r="AC172" i="5"/>
  <c r="AC171" i="5"/>
  <c r="AC169" i="5"/>
  <c r="AD170" i="5" s="1"/>
  <c r="AC166" i="5"/>
  <c r="AC163" i="5"/>
  <c r="AC162" i="5"/>
  <c r="P187" i="5"/>
  <c r="Q187" i="5" s="1"/>
  <c r="P184" i="5"/>
  <c r="Q184" i="5" s="1"/>
  <c r="S184" i="5" s="1"/>
  <c r="T184" i="5" s="1"/>
  <c r="P179" i="5"/>
  <c r="H167" i="5"/>
  <c r="G167" i="5"/>
  <c r="F167" i="5"/>
  <c r="E167" i="5"/>
  <c r="D167" i="5"/>
  <c r="C167" i="5"/>
  <c r="H164" i="5"/>
  <c r="G164" i="5"/>
  <c r="F164" i="5"/>
  <c r="E164" i="5"/>
  <c r="D164" i="5"/>
  <c r="C164" i="5"/>
  <c r="AB169" i="5"/>
  <c r="AJ169" i="5" s="1"/>
  <c r="N9" i="6"/>
  <c r="M9" i="6"/>
  <c r="M17" i="6" s="1"/>
  <c r="L9" i="6"/>
  <c r="L18" i="6" s="1"/>
  <c r="K9" i="6"/>
  <c r="K17" i="6" s="1"/>
  <c r="O8" i="6"/>
  <c r="N13" i="6" s="1"/>
  <c r="O7" i="6"/>
  <c r="K12" i="6" s="1"/>
  <c r="G12" i="6"/>
  <c r="G21" i="6" s="1"/>
  <c r="G11" i="6"/>
  <c r="E20" i="6" s="1"/>
  <c r="G10" i="6"/>
  <c r="G19" i="6" s="1"/>
  <c r="F9" i="6"/>
  <c r="E9" i="6"/>
  <c r="E13" i="6" s="1"/>
  <c r="E29" i="6" s="1"/>
  <c r="D9" i="6"/>
  <c r="D13" i="6" s="1"/>
  <c r="D30" i="6" s="1"/>
  <c r="C9" i="6"/>
  <c r="C13" i="6" s="1"/>
  <c r="C30" i="6" s="1"/>
  <c r="G8" i="6"/>
  <c r="E17" i="6" s="1"/>
  <c r="G7" i="6"/>
  <c r="G16" i="6" s="1"/>
  <c r="G230" i="5"/>
  <c r="F230" i="5"/>
  <c r="E230" i="5"/>
  <c r="H230" i="5"/>
  <c r="G228" i="5"/>
  <c r="G107" i="5" s="1"/>
  <c r="F228" i="5"/>
  <c r="F107" i="5" s="1"/>
  <c r="E228" i="5"/>
  <c r="E107" i="5" s="1"/>
  <c r="D228" i="5"/>
  <c r="D107" i="5" s="1"/>
  <c r="H228" i="5"/>
  <c r="H107" i="5" s="1"/>
  <c r="G226" i="5"/>
  <c r="G101" i="5" s="1"/>
  <c r="F226" i="5"/>
  <c r="F101" i="5" s="1"/>
  <c r="E226" i="5"/>
  <c r="E101" i="5" s="1"/>
  <c r="D226" i="5"/>
  <c r="D101" i="5" s="1"/>
  <c r="H226" i="5"/>
  <c r="H101" i="5" s="1"/>
  <c r="G225" i="5"/>
  <c r="G103" i="5" s="1"/>
  <c r="F225" i="5"/>
  <c r="F103" i="5" s="1"/>
  <c r="E225" i="5"/>
  <c r="E103" i="5" s="1"/>
  <c r="D225" i="5"/>
  <c r="D103" i="5" s="1"/>
  <c r="H225" i="5"/>
  <c r="H103" i="5" s="1"/>
  <c r="G224" i="5"/>
  <c r="G99" i="5" s="1"/>
  <c r="F224" i="5"/>
  <c r="F99" i="5" s="1"/>
  <c r="E224" i="5"/>
  <c r="E99" i="5" s="1"/>
  <c r="D224" i="5"/>
  <c r="D99" i="5" s="1"/>
  <c r="H224" i="5"/>
  <c r="H99" i="5" s="1"/>
  <c r="H165" i="5"/>
  <c r="G165" i="5"/>
  <c r="F165" i="5"/>
  <c r="E165" i="5"/>
  <c r="D165" i="5"/>
  <c r="H220" i="5"/>
  <c r="G220" i="5"/>
  <c r="F220" i="5"/>
  <c r="E220" i="5"/>
  <c r="H222" i="5"/>
  <c r="H227" i="5" s="1"/>
  <c r="D222" i="5"/>
  <c r="D227" i="5" s="1"/>
  <c r="G222" i="5"/>
  <c r="G227" i="5" s="1"/>
  <c r="F222" i="5"/>
  <c r="F227" i="5" s="1"/>
  <c r="E222" i="5"/>
  <c r="E227" i="5" s="1"/>
  <c r="H219" i="5"/>
  <c r="G219" i="5"/>
  <c r="F219" i="5"/>
  <c r="E219" i="5"/>
  <c r="D219" i="5"/>
  <c r="C219" i="5"/>
  <c r="AJ40" i="5"/>
  <c r="AJ19" i="5"/>
  <c r="AJ18" i="5"/>
  <c r="AJ17" i="5"/>
  <c r="AJ16" i="5"/>
  <c r="AJ7" i="5"/>
  <c r="AJ5" i="5"/>
  <c r="AB39" i="5"/>
  <c r="O39" i="5"/>
  <c r="N39" i="5"/>
  <c r="L39" i="5"/>
  <c r="K39" i="5"/>
  <c r="J39" i="5"/>
  <c r="H39" i="5"/>
  <c r="G39" i="5"/>
  <c r="F39" i="5"/>
  <c r="AB37" i="5"/>
  <c r="O37" i="5"/>
  <c r="N37" i="5"/>
  <c r="L37" i="5"/>
  <c r="K37" i="5"/>
  <c r="J37" i="5"/>
  <c r="H37" i="5"/>
  <c r="G37" i="5"/>
  <c r="F37" i="5"/>
  <c r="AB48" i="5"/>
  <c r="O48" i="5"/>
  <c r="N48" i="5"/>
  <c r="L48" i="5"/>
  <c r="K48" i="5"/>
  <c r="J48" i="5"/>
  <c r="H48" i="5"/>
  <c r="G48" i="5"/>
  <c r="F48" i="5"/>
  <c r="AB45" i="5"/>
  <c r="O45" i="5"/>
  <c r="N45" i="5"/>
  <c r="L45" i="5"/>
  <c r="K45" i="5"/>
  <c r="J45" i="5"/>
  <c r="H45" i="5"/>
  <c r="G45" i="5"/>
  <c r="F45" i="5"/>
  <c r="AB42" i="5"/>
  <c r="O42" i="5"/>
  <c r="N42" i="5"/>
  <c r="L42" i="5"/>
  <c r="K42" i="5"/>
  <c r="J42" i="5"/>
  <c r="H42" i="5"/>
  <c r="G42" i="5"/>
  <c r="F42" i="5"/>
  <c r="E42" i="5"/>
  <c r="D42" i="5"/>
  <c r="C46" i="5"/>
  <c r="C129" i="5" s="1"/>
  <c r="C43" i="5"/>
  <c r="C38" i="5"/>
  <c r="C36" i="5"/>
  <c r="D38" i="5"/>
  <c r="E39" i="5" s="1"/>
  <c r="D36" i="5"/>
  <c r="E37" i="5" s="1"/>
  <c r="D46" i="5"/>
  <c r="E48" i="5" s="1"/>
  <c r="D43" i="5"/>
  <c r="E45" i="5" s="1"/>
  <c r="AB33" i="5"/>
  <c r="O33" i="5"/>
  <c r="O31" i="5" s="1"/>
  <c r="N33" i="5"/>
  <c r="N31" i="5" s="1"/>
  <c r="L33" i="5"/>
  <c r="L31" i="5" s="1"/>
  <c r="K33" i="5"/>
  <c r="K31" i="5" s="1"/>
  <c r="K47" i="5" s="1"/>
  <c r="J33" i="5"/>
  <c r="J31" i="5" s="1"/>
  <c r="J41" i="5" s="1"/>
  <c r="I33" i="5"/>
  <c r="I31" i="5" s="1"/>
  <c r="I44" i="5" s="1"/>
  <c r="H33" i="5"/>
  <c r="H31" i="5" s="1"/>
  <c r="G33" i="5"/>
  <c r="F33" i="5"/>
  <c r="E33" i="5"/>
  <c r="AH19" i="5"/>
  <c r="AG19" i="5"/>
  <c r="AF19" i="5"/>
  <c r="AE19" i="5"/>
  <c r="AD19" i="5"/>
  <c r="AH17" i="5"/>
  <c r="AG17" i="5"/>
  <c r="AF17" i="5"/>
  <c r="AE17" i="5"/>
  <c r="AD17" i="5"/>
  <c r="AH16" i="5"/>
  <c r="AG16" i="5"/>
  <c r="AF16" i="5"/>
  <c r="AE16" i="5"/>
  <c r="AD16" i="5"/>
  <c r="AC19" i="5"/>
  <c r="AC17" i="5"/>
  <c r="AC16" i="5"/>
  <c r="AD7" i="5"/>
  <c r="AF8" i="5"/>
  <c r="AG8" i="5" s="1"/>
  <c r="AF6" i="5"/>
  <c r="AG6" i="5" s="1"/>
  <c r="AC5" i="5"/>
  <c r="AC9" i="5" s="1"/>
  <c r="AC8" i="5"/>
  <c r="AB9" i="5"/>
  <c r="AB23" i="5" s="1"/>
  <c r="AB28" i="5" s="1"/>
  <c r="AC28" i="5" s="1"/>
  <c r="H9" i="5"/>
  <c r="H21" i="5" s="1"/>
  <c r="G9" i="5"/>
  <c r="G23" i="5" s="1"/>
  <c r="G28" i="5" s="1"/>
  <c r="F9" i="5"/>
  <c r="F24" i="5" s="1"/>
  <c r="F29" i="5" s="1"/>
  <c r="E9" i="5"/>
  <c r="E23" i="5" s="1"/>
  <c r="E28" i="5" s="1"/>
  <c r="D9" i="5"/>
  <c r="D22" i="5" s="1"/>
  <c r="D27" i="5" s="1"/>
  <c r="C9" i="5"/>
  <c r="C21" i="5" s="1"/>
  <c r="AB8" i="5"/>
  <c r="H8" i="5"/>
  <c r="G8" i="5"/>
  <c r="F8" i="5"/>
  <c r="E8" i="5"/>
  <c r="D8" i="5"/>
  <c r="H10" i="5"/>
  <c r="C10" i="5"/>
  <c r="AB10" i="5"/>
  <c r="AB13" i="5" s="1"/>
  <c r="D10" i="5"/>
  <c r="D13" i="5" s="1"/>
  <c r="E10" i="5"/>
  <c r="E13" i="5" s="1"/>
  <c r="F10" i="5"/>
  <c r="F13" i="5" s="1"/>
  <c r="G10" i="5"/>
  <c r="G13" i="5" s="1"/>
  <c r="C209" i="5"/>
  <c r="AB6" i="5"/>
  <c r="H6" i="5"/>
  <c r="G6" i="5"/>
  <c r="F6" i="5"/>
  <c r="E6" i="5"/>
  <c r="D6" i="5"/>
  <c r="G3" i="5"/>
  <c r="F3" i="5" s="1"/>
  <c r="E3" i="5" s="1"/>
  <c r="D3" i="5" s="1"/>
  <c r="C3" i="5" s="1"/>
  <c r="T213" i="5" l="1"/>
  <c r="U213" i="5" s="1"/>
  <c r="AF176" i="5"/>
  <c r="I167" i="5"/>
  <c r="K164" i="5"/>
  <c r="AB161" i="5"/>
  <c r="AB220" i="5" s="1"/>
  <c r="N167" i="5"/>
  <c r="O164" i="5"/>
  <c r="AD124" i="5"/>
  <c r="AD125" i="5" s="1"/>
  <c r="P173" i="5"/>
  <c r="T173" i="5" s="1"/>
  <c r="P115" i="5"/>
  <c r="AE124" i="5"/>
  <c r="AJ104" i="5"/>
  <c r="AB105" i="5"/>
  <c r="AB31" i="5"/>
  <c r="AB32" i="5" s="1"/>
  <c r="O137" i="5"/>
  <c r="N142" i="5"/>
  <c r="M18" i="6"/>
  <c r="M19" i="6" s="1"/>
  <c r="L12" i="6"/>
  <c r="M12" i="6"/>
  <c r="O12" i="6"/>
  <c r="M13" i="6"/>
  <c r="N12" i="6"/>
  <c r="K18" i="6"/>
  <c r="K19" i="6" s="1"/>
  <c r="L13" i="6"/>
  <c r="L17" i="6"/>
  <c r="L19" i="6" s="1"/>
  <c r="N18" i="6"/>
  <c r="K13" i="6"/>
  <c r="O13" i="6"/>
  <c r="AD28" i="5"/>
  <c r="AE28" i="5" s="1"/>
  <c r="N17" i="6"/>
  <c r="E140" i="5"/>
  <c r="S150" i="5"/>
  <c r="T150" i="5" s="1"/>
  <c r="U150" i="5" s="1"/>
  <c r="V150" i="5" s="1"/>
  <c r="X150" i="5" s="1"/>
  <c r="Y150" i="5" s="1"/>
  <c r="Z150" i="5" s="1"/>
  <c r="AA150" i="5" s="1"/>
  <c r="AC150" i="5"/>
  <c r="G140" i="5"/>
  <c r="Q145" i="5"/>
  <c r="S145" i="5" s="1"/>
  <c r="T145" i="5" s="1"/>
  <c r="U145" i="5" s="1"/>
  <c r="V145" i="5" s="1"/>
  <c r="X145" i="5" s="1"/>
  <c r="O167" i="5"/>
  <c r="T146" i="5"/>
  <c r="U146" i="5" s="1"/>
  <c r="V146" i="5" s="1"/>
  <c r="X146" i="5" s="1"/>
  <c r="K142" i="5"/>
  <c r="AC146" i="5"/>
  <c r="J142" i="5"/>
  <c r="L142" i="5"/>
  <c r="H140" i="5"/>
  <c r="I142" i="5"/>
  <c r="S147" i="5"/>
  <c r="AC147" i="5"/>
  <c r="D140" i="5"/>
  <c r="F140" i="5"/>
  <c r="L139" i="5"/>
  <c r="N139" i="5"/>
  <c r="I139" i="5"/>
  <c r="J139" i="5"/>
  <c r="K139" i="5"/>
  <c r="P128" i="5"/>
  <c r="Q130" i="5"/>
  <c r="AC130" i="5" s="1"/>
  <c r="Q123" i="5"/>
  <c r="S123" i="5" s="1"/>
  <c r="T129" i="5"/>
  <c r="D129" i="5"/>
  <c r="L167" i="5"/>
  <c r="I164" i="5"/>
  <c r="AC170" i="5"/>
  <c r="P180" i="5"/>
  <c r="P192" i="5" s="1"/>
  <c r="P233" i="5" s="1"/>
  <c r="P158" i="5"/>
  <c r="AC158" i="5" s="1"/>
  <c r="S204" i="5"/>
  <c r="AC204" i="5"/>
  <c r="L164" i="5"/>
  <c r="S173" i="5"/>
  <c r="AG169" i="5"/>
  <c r="AG170" i="5" s="1"/>
  <c r="K167" i="5"/>
  <c r="AF170" i="5"/>
  <c r="J164" i="5"/>
  <c r="J167" i="5"/>
  <c r="N164" i="5"/>
  <c r="U169" i="5"/>
  <c r="U184" i="5"/>
  <c r="V184" i="5" s="1"/>
  <c r="O9" i="6"/>
  <c r="C16" i="6"/>
  <c r="D16" i="6"/>
  <c r="C28" i="6"/>
  <c r="D25" i="6"/>
  <c r="E30" i="6"/>
  <c r="F16" i="6"/>
  <c r="D28" i="6"/>
  <c r="D26" i="6"/>
  <c r="E27" i="6"/>
  <c r="D29" i="6"/>
  <c r="C25" i="6"/>
  <c r="C26" i="6"/>
  <c r="E25" i="6"/>
  <c r="E28" i="6"/>
  <c r="G9" i="6"/>
  <c r="E16" i="6"/>
  <c r="C27" i="6"/>
  <c r="D27" i="6"/>
  <c r="C29" i="6"/>
  <c r="F13" i="6"/>
  <c r="F20" i="6"/>
  <c r="E26" i="6"/>
  <c r="D19" i="6"/>
  <c r="C17" i="6"/>
  <c r="G17" i="6"/>
  <c r="E19" i="6"/>
  <c r="G20" i="6"/>
  <c r="D21" i="6"/>
  <c r="C19" i="6"/>
  <c r="E21" i="6"/>
  <c r="C20" i="6"/>
  <c r="D17" i="6"/>
  <c r="D20" i="6"/>
  <c r="F21" i="6"/>
  <c r="F17" i="6"/>
  <c r="F19" i="6"/>
  <c r="C21" i="6"/>
  <c r="D231" i="5"/>
  <c r="G231" i="5"/>
  <c r="F231" i="5"/>
  <c r="E231" i="5"/>
  <c r="H231" i="5"/>
  <c r="G223" i="5"/>
  <c r="F221" i="5"/>
  <c r="G221" i="5"/>
  <c r="E221" i="5"/>
  <c r="H221" i="5"/>
  <c r="H223" i="5"/>
  <c r="F223" i="5"/>
  <c r="E223" i="5"/>
  <c r="D223" i="5"/>
  <c r="AJ36" i="5"/>
  <c r="AJ38" i="5"/>
  <c r="AJ43" i="5"/>
  <c r="AJ46" i="5"/>
  <c r="AJ10" i="5"/>
  <c r="AD5" i="5"/>
  <c r="D39" i="5"/>
  <c r="E31" i="5"/>
  <c r="E41" i="5" s="1"/>
  <c r="D37" i="5"/>
  <c r="F35" i="5"/>
  <c r="D33" i="5"/>
  <c r="AJ33" i="5" s="1"/>
  <c r="D48" i="5"/>
  <c r="D21" i="5"/>
  <c r="H35" i="5"/>
  <c r="C33" i="5"/>
  <c r="C26" i="5" s="1"/>
  <c r="O41" i="5"/>
  <c r="O44" i="5"/>
  <c r="O47" i="5"/>
  <c r="H41" i="5"/>
  <c r="H47" i="5"/>
  <c r="H44" i="5"/>
  <c r="L47" i="5"/>
  <c r="L44" i="5"/>
  <c r="L41" i="5"/>
  <c r="N44" i="5"/>
  <c r="N47" i="5"/>
  <c r="N41" i="5"/>
  <c r="K41" i="5"/>
  <c r="J44" i="5"/>
  <c r="I47" i="5"/>
  <c r="AB35" i="5"/>
  <c r="D45" i="5"/>
  <c r="AE7" i="5"/>
  <c r="F31" i="5"/>
  <c r="F34" i="5" s="1"/>
  <c r="K44" i="5"/>
  <c r="J47" i="5"/>
  <c r="H26" i="5"/>
  <c r="F21" i="5"/>
  <c r="F26" i="5" s="1"/>
  <c r="G31" i="5"/>
  <c r="G34" i="5" s="1"/>
  <c r="H34" i="5"/>
  <c r="I41" i="5"/>
  <c r="G35" i="5"/>
  <c r="D24" i="5"/>
  <c r="D29" i="5" s="1"/>
  <c r="AC24" i="5"/>
  <c r="G22" i="5"/>
  <c r="G27" i="5" s="1"/>
  <c r="H23" i="5"/>
  <c r="H28" i="5" s="1"/>
  <c r="G24" i="5"/>
  <c r="G29" i="5" s="1"/>
  <c r="H22" i="5"/>
  <c r="H27" i="5" s="1"/>
  <c r="G21" i="5"/>
  <c r="G26" i="5" s="1"/>
  <c r="AB24" i="5"/>
  <c r="AB21" i="5"/>
  <c r="AB26" i="5" s="1"/>
  <c r="AC26" i="5" s="1"/>
  <c r="AB22" i="5"/>
  <c r="E22" i="5"/>
  <c r="E27" i="5" s="1"/>
  <c r="F23" i="5"/>
  <c r="F28" i="5" s="1"/>
  <c r="E21" i="5"/>
  <c r="E26" i="5" s="1"/>
  <c r="F22" i="5"/>
  <c r="F27" i="5" s="1"/>
  <c r="H24" i="5"/>
  <c r="H29" i="5" s="1"/>
  <c r="C24" i="5"/>
  <c r="C29" i="5" s="1"/>
  <c r="C23" i="5"/>
  <c r="C28" i="5" s="1"/>
  <c r="C22" i="5"/>
  <c r="C27" i="5" s="1"/>
  <c r="D23" i="5"/>
  <c r="D28" i="5" s="1"/>
  <c r="AJ28" i="5" s="1"/>
  <c r="E24" i="5"/>
  <c r="E29" i="5" s="1"/>
  <c r="AC21" i="5"/>
  <c r="AC22" i="5"/>
  <c r="AC23" i="5"/>
  <c r="F14" i="5"/>
  <c r="G14" i="5"/>
  <c r="E14" i="5"/>
  <c r="AC11" i="5"/>
  <c r="D11" i="5"/>
  <c r="E11" i="5"/>
  <c r="AC13" i="5"/>
  <c r="AC14" i="5" s="1"/>
  <c r="G209" i="5"/>
  <c r="G11" i="5"/>
  <c r="C13" i="5"/>
  <c r="D14" i="5" s="1"/>
  <c r="F11" i="5"/>
  <c r="AB11" i="5"/>
  <c r="H13" i="5"/>
  <c r="H11" i="5"/>
  <c r="F209" i="5"/>
  <c r="E209" i="5"/>
  <c r="D209" i="5"/>
  <c r="H209" i="5"/>
  <c r="O83" i="5"/>
  <c r="N83" i="5"/>
  <c r="L83" i="5"/>
  <c r="K83" i="5"/>
  <c r="J83" i="5"/>
  <c r="I83" i="5"/>
  <c r="O69" i="5"/>
  <c r="N69" i="5"/>
  <c r="L69" i="5"/>
  <c r="K69" i="5"/>
  <c r="J69" i="5"/>
  <c r="I69" i="5"/>
  <c r="O56" i="5"/>
  <c r="N56" i="5"/>
  <c r="L56" i="5"/>
  <c r="K56" i="5"/>
  <c r="J56" i="5"/>
  <c r="I56" i="5"/>
  <c r="O55" i="5"/>
  <c r="N55" i="5"/>
  <c r="L55" i="5"/>
  <c r="K55" i="5"/>
  <c r="J55" i="5"/>
  <c r="I55" i="5"/>
  <c r="O91" i="5"/>
  <c r="N91" i="5"/>
  <c r="L91" i="5"/>
  <c r="K91" i="5"/>
  <c r="J91" i="5"/>
  <c r="O89" i="5"/>
  <c r="N89" i="5"/>
  <c r="L89" i="5"/>
  <c r="K89" i="5"/>
  <c r="J89" i="5"/>
  <c r="O87" i="5"/>
  <c r="N87" i="5"/>
  <c r="L87" i="5"/>
  <c r="K87" i="5"/>
  <c r="J87" i="5"/>
  <c r="O84" i="5"/>
  <c r="N84" i="5"/>
  <c r="L84" i="5"/>
  <c r="K84" i="5"/>
  <c r="J84" i="5"/>
  <c r="O77" i="5"/>
  <c r="N77" i="5"/>
  <c r="L77" i="5"/>
  <c r="K77" i="5"/>
  <c r="J77" i="5"/>
  <c r="O75" i="5"/>
  <c r="N75" i="5"/>
  <c r="L75" i="5"/>
  <c r="K75" i="5"/>
  <c r="J75" i="5"/>
  <c r="O73" i="5"/>
  <c r="N73" i="5"/>
  <c r="L73" i="5"/>
  <c r="K73" i="5"/>
  <c r="J73" i="5"/>
  <c r="O70" i="5"/>
  <c r="N70" i="5"/>
  <c r="L70" i="5"/>
  <c r="K70" i="5"/>
  <c r="J70" i="5"/>
  <c r="O63" i="5"/>
  <c r="N63" i="5"/>
  <c r="L63" i="5"/>
  <c r="K63" i="5"/>
  <c r="J63" i="5"/>
  <c r="O61" i="5"/>
  <c r="N61" i="5"/>
  <c r="L61" i="5"/>
  <c r="K61" i="5"/>
  <c r="J61" i="5"/>
  <c r="O59" i="5"/>
  <c r="N59" i="5"/>
  <c r="L59" i="5"/>
  <c r="K59" i="5"/>
  <c r="J59" i="5"/>
  <c r="O57" i="5"/>
  <c r="N57" i="5"/>
  <c r="L57" i="5"/>
  <c r="O53" i="5"/>
  <c r="N53" i="5"/>
  <c r="L53" i="5"/>
  <c r="K53" i="5"/>
  <c r="J53" i="5"/>
  <c r="L92" i="5"/>
  <c r="L78" i="5"/>
  <c r="N79" i="5" s="1"/>
  <c r="L64" i="5"/>
  <c r="N65" i="5" s="1"/>
  <c r="K92" i="5"/>
  <c r="K78" i="5"/>
  <c r="K64" i="5"/>
  <c r="I92" i="5"/>
  <c r="I78" i="5"/>
  <c r="I64" i="5"/>
  <c r="J92" i="5"/>
  <c r="O92" i="5"/>
  <c r="O93" i="5" s="1"/>
  <c r="O78" i="5"/>
  <c r="O79" i="5" s="1"/>
  <c r="J78" i="5"/>
  <c r="J64" i="5"/>
  <c r="O64" i="5"/>
  <c r="O65" i="5" s="1"/>
  <c r="O212" i="5"/>
  <c r="N212" i="5"/>
  <c r="L212" i="5"/>
  <c r="AB212" i="5" s="1"/>
  <c r="K212" i="5"/>
  <c r="J212" i="5"/>
  <c r="I212" i="5"/>
  <c r="I211" i="5"/>
  <c r="N211" i="5"/>
  <c r="L211" i="5"/>
  <c r="AB211" i="5" s="1"/>
  <c r="M10" i="8" s="1"/>
  <c r="K211" i="5"/>
  <c r="J211" i="5"/>
  <c r="O209" i="5"/>
  <c r="N209" i="5"/>
  <c r="L209" i="5"/>
  <c r="K209" i="5"/>
  <c r="J209" i="5"/>
  <c r="I209" i="5"/>
  <c r="AB207" i="5"/>
  <c r="AB206" i="5"/>
  <c r="AB205" i="5"/>
  <c r="AB204" i="5"/>
  <c r="AB203" i="5"/>
  <c r="AB202" i="5"/>
  <c r="AB200" i="5"/>
  <c r="AB198" i="5"/>
  <c r="AB197" i="5"/>
  <c r="AB196" i="5"/>
  <c r="AB195" i="5"/>
  <c r="AB194" i="5"/>
  <c r="AB192" i="5"/>
  <c r="AJ192" i="5" s="1"/>
  <c r="AB188" i="5"/>
  <c r="AB187" i="5"/>
  <c r="AB186" i="5"/>
  <c r="AC186" i="5" s="1"/>
  <c r="AB185" i="5"/>
  <c r="AC185" i="5" s="1"/>
  <c r="AD185" i="5" s="1"/>
  <c r="AE185" i="5" s="1"/>
  <c r="AF185" i="5" s="1"/>
  <c r="AG185" i="5" s="1"/>
  <c r="AH185" i="5" s="1"/>
  <c r="AB184" i="5"/>
  <c r="AD184" i="5" s="1"/>
  <c r="AE184" i="5" s="1"/>
  <c r="AF184" i="5" s="1"/>
  <c r="AG184" i="5" s="1"/>
  <c r="AH184" i="5" s="1"/>
  <c r="AB183" i="5"/>
  <c r="AB182" i="5"/>
  <c r="AB179" i="5"/>
  <c r="AB176" i="5"/>
  <c r="AB175" i="5"/>
  <c r="AJ175" i="5" s="1"/>
  <c r="AB172" i="5"/>
  <c r="AB171" i="5"/>
  <c r="AB166" i="5"/>
  <c r="AB163" i="5"/>
  <c r="AB162" i="5"/>
  <c r="AB158" i="5"/>
  <c r="AB157" i="5"/>
  <c r="M8" i="8" s="1"/>
  <c r="M9" i="8" s="1"/>
  <c r="AB155" i="5"/>
  <c r="AB153" i="5"/>
  <c r="AB152" i="5"/>
  <c r="AB150" i="5"/>
  <c r="AB149" i="5"/>
  <c r="AB148" i="5"/>
  <c r="AB146" i="5"/>
  <c r="AB145" i="5"/>
  <c r="AB144" i="5"/>
  <c r="AB143" i="5"/>
  <c r="AB141" i="5"/>
  <c r="AB142" i="5" s="1"/>
  <c r="AB135" i="5"/>
  <c r="AB136" i="5" s="1"/>
  <c r="AB133" i="5"/>
  <c r="AB132" i="5"/>
  <c r="AB130" i="5"/>
  <c r="AB131" i="5" s="1"/>
  <c r="AB128" i="5"/>
  <c r="AB129" i="5" s="1"/>
  <c r="AB127" i="5"/>
  <c r="AB126" i="5"/>
  <c r="AB124" i="5"/>
  <c r="AB125" i="5" s="1"/>
  <c r="AB122" i="5"/>
  <c r="AB123" i="5" s="1"/>
  <c r="AB120" i="5"/>
  <c r="AB118" i="5"/>
  <c r="AB116" i="5"/>
  <c r="AJ116" i="5" s="1"/>
  <c r="AB114" i="5"/>
  <c r="AB178" i="5" s="1"/>
  <c r="AB112" i="5"/>
  <c r="M3" i="8" s="1"/>
  <c r="AB111" i="5"/>
  <c r="AB110" i="5"/>
  <c r="AB108" i="5"/>
  <c r="AB106" i="5"/>
  <c r="AB102" i="5"/>
  <c r="AB100" i="5"/>
  <c r="AB98" i="5"/>
  <c r="AB96" i="5"/>
  <c r="D23" i="4"/>
  <c r="V213" i="5" l="1"/>
  <c r="AD213" i="5" s="1"/>
  <c r="AB214" i="5"/>
  <c r="AE5" i="5"/>
  <c r="AE9" i="5" s="1"/>
  <c r="AE23" i="5" s="1"/>
  <c r="AE43" i="5" s="1"/>
  <c r="AB235" i="5"/>
  <c r="AB177" i="5"/>
  <c r="AG176" i="5"/>
  <c r="AB164" i="5"/>
  <c r="AF28" i="5"/>
  <c r="AG28" i="5" s="1"/>
  <c r="AH28" i="5" s="1"/>
  <c r="AK28" i="5" s="1"/>
  <c r="AJ133" i="5"/>
  <c r="AB134" i="5"/>
  <c r="AJ118" i="5"/>
  <c r="AB119" i="5"/>
  <c r="AD26" i="5"/>
  <c r="AE26" i="5" s="1"/>
  <c r="AF26" i="5" s="1"/>
  <c r="AG26" i="5" s="1"/>
  <c r="AH26" i="5" s="1"/>
  <c r="AE125" i="5"/>
  <c r="AF124" i="5"/>
  <c r="AG124" i="5" s="1"/>
  <c r="AH124" i="5" s="1"/>
  <c r="AC33" i="5"/>
  <c r="AC35" i="5" s="1"/>
  <c r="AC43" i="5"/>
  <c r="AC45" i="5" s="1"/>
  <c r="AB113" i="5"/>
  <c r="M4" i="8" s="1"/>
  <c r="O142" i="5"/>
  <c r="P142" i="5" s="1"/>
  <c r="P137" i="5"/>
  <c r="AC125" i="5"/>
  <c r="N19" i="6"/>
  <c r="O17" i="6"/>
  <c r="O14" i="6"/>
  <c r="AJ96" i="5"/>
  <c r="AB97" i="5"/>
  <c r="L14" i="6"/>
  <c r="N14" i="6"/>
  <c r="AJ155" i="5"/>
  <c r="AB156" i="5"/>
  <c r="M6" i="8" s="1"/>
  <c r="K14" i="6"/>
  <c r="O18" i="6"/>
  <c r="M14" i="6"/>
  <c r="AD145" i="5"/>
  <c r="AD150" i="5"/>
  <c r="K140" i="5"/>
  <c r="AD146" i="5"/>
  <c r="AE150" i="5"/>
  <c r="AF150" i="5" s="1"/>
  <c r="AG150" i="5" s="1"/>
  <c r="AH150" i="5" s="1"/>
  <c r="Y145" i="5"/>
  <c r="Z145" i="5" s="1"/>
  <c r="AA145" i="5" s="1"/>
  <c r="AC145" i="5"/>
  <c r="AB219" i="5"/>
  <c r="AB221" i="5" s="1"/>
  <c r="AJ112" i="5"/>
  <c r="Y146" i="5"/>
  <c r="Z146" i="5" s="1"/>
  <c r="AA146" i="5" s="1"/>
  <c r="T147" i="5"/>
  <c r="U147" i="5" s="1"/>
  <c r="V147" i="5" s="1"/>
  <c r="X147" i="5" s="1"/>
  <c r="S130" i="5"/>
  <c r="N140" i="5"/>
  <c r="J140" i="5"/>
  <c r="L140" i="5"/>
  <c r="O139" i="5"/>
  <c r="P122" i="5"/>
  <c r="AB121" i="5"/>
  <c r="AC131" i="5"/>
  <c r="U129" i="5"/>
  <c r="T123" i="5"/>
  <c r="S121" i="5"/>
  <c r="P120" i="5"/>
  <c r="AB165" i="5"/>
  <c r="AB115" i="5"/>
  <c r="AB233" i="5"/>
  <c r="P191" i="5"/>
  <c r="T204" i="5"/>
  <c r="T158" i="5" s="1"/>
  <c r="S158" i="5"/>
  <c r="AJ179" i="5"/>
  <c r="AB180" i="5"/>
  <c r="AB193" i="5" s="1"/>
  <c r="AB191" i="5"/>
  <c r="AB190" i="5" s="1"/>
  <c r="AB209" i="5" s="1"/>
  <c r="AB222" i="5"/>
  <c r="AB227" i="5" s="1"/>
  <c r="AB224" i="5"/>
  <c r="AB173" i="5"/>
  <c r="AB167" i="5"/>
  <c r="U162" i="5"/>
  <c r="AH169" i="5"/>
  <c r="V169" i="5"/>
  <c r="U170" i="5"/>
  <c r="AD186" i="5"/>
  <c r="Q186" i="5"/>
  <c r="X184" i="5"/>
  <c r="AB229" i="5"/>
  <c r="E18" i="6"/>
  <c r="G13" i="6"/>
  <c r="C31" i="6"/>
  <c r="E31" i="6"/>
  <c r="D31" i="6"/>
  <c r="C18" i="6"/>
  <c r="F30" i="6"/>
  <c r="F27" i="6"/>
  <c r="F28" i="6"/>
  <c r="F25" i="6"/>
  <c r="F29" i="6"/>
  <c r="F26" i="6"/>
  <c r="D18" i="6"/>
  <c r="F18" i="6"/>
  <c r="G18" i="6"/>
  <c r="AB226" i="5"/>
  <c r="AB228" i="5"/>
  <c r="AB225" i="5"/>
  <c r="AC182" i="5"/>
  <c r="AJ182" i="5"/>
  <c r="E23" i="4"/>
  <c r="AB29" i="5"/>
  <c r="AJ24" i="5"/>
  <c r="AB27" i="5"/>
  <c r="AJ22" i="5"/>
  <c r="AJ23" i="5"/>
  <c r="AJ21" i="5"/>
  <c r="AD9" i="5"/>
  <c r="AD24" i="5" s="1"/>
  <c r="D35" i="5"/>
  <c r="D31" i="5"/>
  <c r="D44" i="5" s="1"/>
  <c r="E44" i="5"/>
  <c r="C31" i="5"/>
  <c r="C47" i="5" s="1"/>
  <c r="D26" i="5"/>
  <c r="E35" i="5"/>
  <c r="E47" i="5"/>
  <c r="E34" i="5"/>
  <c r="AF7" i="5"/>
  <c r="AB41" i="5"/>
  <c r="AB44" i="5"/>
  <c r="AB47" i="5"/>
  <c r="AB34" i="5"/>
  <c r="G44" i="5"/>
  <c r="G41" i="5"/>
  <c r="G47" i="5"/>
  <c r="G32" i="5"/>
  <c r="F47" i="5"/>
  <c r="F44" i="5"/>
  <c r="F41" i="5"/>
  <c r="F32" i="5"/>
  <c r="H32" i="5"/>
  <c r="H14" i="5"/>
  <c r="AB14" i="5"/>
  <c r="I52" i="5"/>
  <c r="J52" i="5"/>
  <c r="K52" i="5"/>
  <c r="L52" i="5"/>
  <c r="N52" i="5"/>
  <c r="O52" i="5"/>
  <c r="J35" i="5"/>
  <c r="K35" i="5"/>
  <c r="L35" i="5"/>
  <c r="N35" i="5"/>
  <c r="O35" i="5"/>
  <c r="L93" i="5"/>
  <c r="J93" i="5"/>
  <c r="K93" i="5"/>
  <c r="N93" i="5"/>
  <c r="J79" i="5"/>
  <c r="K65" i="5"/>
  <c r="L79" i="5"/>
  <c r="K79" i="5"/>
  <c r="J65" i="5"/>
  <c r="L65" i="5"/>
  <c r="AF5" i="5" l="1"/>
  <c r="AF9" i="5" s="1"/>
  <c r="AF23" i="5" s="1"/>
  <c r="AF43" i="5" s="1"/>
  <c r="AF45" i="5" s="1"/>
  <c r="X213" i="5"/>
  <c r="AD21" i="5"/>
  <c r="AD33" i="5" s="1"/>
  <c r="AD35" i="5" s="1"/>
  <c r="AH176" i="5"/>
  <c r="T130" i="5"/>
  <c r="U130" i="5" s="1"/>
  <c r="V130" i="5" s="1"/>
  <c r="X130" i="5" s="1"/>
  <c r="Y130" i="5" s="1"/>
  <c r="Z130" i="5" s="1"/>
  <c r="AA130" i="5" s="1"/>
  <c r="AK26" i="5"/>
  <c r="G22" i="6"/>
  <c r="C22" i="6"/>
  <c r="D22" i="6"/>
  <c r="E22" i="6"/>
  <c r="F22" i="6"/>
  <c r="O19" i="6"/>
  <c r="AD147" i="5"/>
  <c r="AB101" i="5"/>
  <c r="AE145" i="5"/>
  <c r="AF145" i="5" s="1"/>
  <c r="AG145" i="5" s="1"/>
  <c r="AH145" i="5" s="1"/>
  <c r="AB107" i="5"/>
  <c r="AB109" i="5"/>
  <c r="AB103" i="5"/>
  <c r="E27" i="4"/>
  <c r="AE146" i="5"/>
  <c r="AF146" i="5" s="1"/>
  <c r="AG146" i="5" s="1"/>
  <c r="AH146" i="5" s="1"/>
  <c r="P141" i="5"/>
  <c r="Q142" i="5"/>
  <c r="S142" i="5" s="1"/>
  <c r="Y147" i="5"/>
  <c r="Z147" i="5" s="1"/>
  <c r="AA147" i="5" s="1"/>
  <c r="P118" i="5"/>
  <c r="P119" i="5" s="1"/>
  <c r="P139" i="5"/>
  <c r="Q139" i="5" s="1"/>
  <c r="S139" i="5" s="1"/>
  <c r="T139" i="5" s="1"/>
  <c r="U139" i="5" s="1"/>
  <c r="V139" i="5" s="1"/>
  <c r="O140" i="5"/>
  <c r="Q137" i="5"/>
  <c r="V129" i="5"/>
  <c r="U123" i="5"/>
  <c r="T121" i="5"/>
  <c r="U204" i="5"/>
  <c r="U158" i="5" s="1"/>
  <c r="AB230" i="5"/>
  <c r="AD166" i="5"/>
  <c r="V162" i="5"/>
  <c r="AD162" i="5" s="1"/>
  <c r="AK169" i="5"/>
  <c r="AH170" i="5"/>
  <c r="V170" i="5"/>
  <c r="AD182" i="5"/>
  <c r="Q182" i="5"/>
  <c r="P186" i="5"/>
  <c r="AE186" i="5"/>
  <c r="V186" i="5"/>
  <c r="S186" i="5" s="1"/>
  <c r="T186" i="5" s="1"/>
  <c r="U186" i="5" s="1"/>
  <c r="Y184" i="5"/>
  <c r="AB223" i="5"/>
  <c r="AB99" i="5"/>
  <c r="H9" i="6"/>
  <c r="G25" i="6"/>
  <c r="H8" i="6"/>
  <c r="H7" i="6"/>
  <c r="H10" i="6"/>
  <c r="H11" i="6"/>
  <c r="H12" i="6"/>
  <c r="F31" i="6"/>
  <c r="G28" i="6"/>
  <c r="G29" i="6"/>
  <c r="G30" i="6"/>
  <c r="G26" i="6"/>
  <c r="G27" i="6"/>
  <c r="AJ27" i="5"/>
  <c r="AC27" i="5"/>
  <c r="AJ29" i="5"/>
  <c r="AC29" i="5"/>
  <c r="AJ31" i="5"/>
  <c r="AJ26" i="5"/>
  <c r="F23" i="4"/>
  <c r="E32" i="5"/>
  <c r="AD23" i="5"/>
  <c r="AD43" i="5" s="1"/>
  <c r="AD45" i="5" s="1"/>
  <c r="AD22" i="5"/>
  <c r="AE21" i="5"/>
  <c r="AE33" i="5" s="1"/>
  <c r="D32" i="5"/>
  <c r="C41" i="5"/>
  <c r="C34" i="5"/>
  <c r="D34" i="5"/>
  <c r="D41" i="5"/>
  <c r="D47" i="5"/>
  <c r="C44" i="5"/>
  <c r="AE24" i="5"/>
  <c r="AE22" i="5"/>
  <c r="AG5" i="5"/>
  <c r="AG7" i="5"/>
  <c r="Y213" i="5" l="1"/>
  <c r="AC101" i="5"/>
  <c r="AE130" i="5"/>
  <c r="AD130" i="5"/>
  <c r="AD131" i="5" s="1"/>
  <c r="AE35" i="5"/>
  <c r="AE45" i="5"/>
  <c r="P135" i="5"/>
  <c r="AC99" i="5"/>
  <c r="P99" i="5" s="1"/>
  <c r="P98" i="5" s="1"/>
  <c r="AC107" i="5"/>
  <c r="AB231" i="5"/>
  <c r="AC109" i="5"/>
  <c r="AC103" i="5"/>
  <c r="Q103" i="5" s="1"/>
  <c r="Q102" i="5" s="1"/>
  <c r="F27" i="4"/>
  <c r="AE147" i="5"/>
  <c r="AF147" i="5" s="1"/>
  <c r="AG147" i="5" s="1"/>
  <c r="AH147" i="5" s="1"/>
  <c r="Q141" i="5"/>
  <c r="AC141" i="5" s="1"/>
  <c r="S137" i="5"/>
  <c r="AC137" i="5"/>
  <c r="AC138" i="5" s="1"/>
  <c r="Q135" i="5"/>
  <c r="X139" i="5"/>
  <c r="X129" i="5"/>
  <c r="V123" i="5"/>
  <c r="U121" i="5"/>
  <c r="V204" i="5"/>
  <c r="V158" i="5" s="1"/>
  <c r="AD158" i="5" s="1"/>
  <c r="X162" i="5"/>
  <c r="AD99" i="5"/>
  <c r="Y169" i="5"/>
  <c r="X170" i="5"/>
  <c r="AF186" i="5"/>
  <c r="AG186" i="5" s="1"/>
  <c r="AH186" i="5" s="1"/>
  <c r="AK186" i="5" s="1"/>
  <c r="AA186" i="5"/>
  <c r="X186" i="5" s="1"/>
  <c r="Y186" i="5" s="1"/>
  <c r="Z186" i="5" s="1"/>
  <c r="S182" i="5"/>
  <c r="P182" i="5"/>
  <c r="AE182" i="5"/>
  <c r="V182" i="5"/>
  <c r="X182" i="5" s="1"/>
  <c r="Z184" i="5"/>
  <c r="H13" i="6"/>
  <c r="G31" i="6"/>
  <c r="AD29" i="5"/>
  <c r="AC46" i="5"/>
  <c r="AC48" i="5" s="1"/>
  <c r="AD27" i="5"/>
  <c r="AE27" i="5" s="1"/>
  <c r="AC40" i="5"/>
  <c r="AC42" i="5" s="1"/>
  <c r="G23" i="4"/>
  <c r="AF24" i="5"/>
  <c r="AF22" i="5"/>
  <c r="AF21" i="5"/>
  <c r="AF33" i="5" s="1"/>
  <c r="AF35" i="5" s="1"/>
  <c r="AH7" i="5"/>
  <c r="AG9" i="5"/>
  <c r="AG24" i="5" s="1"/>
  <c r="AH5" i="5"/>
  <c r="AK5" i="5" s="1"/>
  <c r="Z213" i="5" l="1"/>
  <c r="AF27" i="5"/>
  <c r="AG27" i="5" s="1"/>
  <c r="AH27" i="5" s="1"/>
  <c r="AK27" i="5" s="1"/>
  <c r="AE131" i="5"/>
  <c r="AF131" i="5" s="1"/>
  <c r="AG131" i="5" s="1"/>
  <c r="AH131" i="5" s="1"/>
  <c r="Q109" i="5"/>
  <c r="P109" i="5"/>
  <c r="AD101" i="5"/>
  <c r="U99" i="5"/>
  <c r="P107" i="5"/>
  <c r="P106" i="5" s="1"/>
  <c r="Q107" i="5"/>
  <c r="Q106" i="5" s="1"/>
  <c r="Q99" i="5"/>
  <c r="S99" i="5" s="1"/>
  <c r="T99" i="5" s="1"/>
  <c r="Q101" i="5"/>
  <c r="Q100" i="5" s="1"/>
  <c r="P101" i="5"/>
  <c r="P100" i="5" s="1"/>
  <c r="P103" i="5"/>
  <c r="P102" i="5" s="1"/>
  <c r="P133" i="5"/>
  <c r="AC135" i="5"/>
  <c r="AC136" i="5" s="1"/>
  <c r="AH9" i="5"/>
  <c r="AH23" i="5" s="1"/>
  <c r="AH43" i="5" s="1"/>
  <c r="AC142" i="5"/>
  <c r="AC31" i="5"/>
  <c r="AD109" i="5"/>
  <c r="U109" i="5" s="1"/>
  <c r="AD107" i="5"/>
  <c r="Q133" i="5"/>
  <c r="AD103" i="5"/>
  <c r="S103" i="5" s="1"/>
  <c r="T103" i="5" s="1"/>
  <c r="G27" i="4"/>
  <c r="P136" i="5"/>
  <c r="T142" i="5"/>
  <c r="S141" i="5"/>
  <c r="Q136" i="5"/>
  <c r="T137" i="5"/>
  <c r="S135" i="5"/>
  <c r="Y139" i="5"/>
  <c r="Z139" i="5" s="1"/>
  <c r="AD204" i="5"/>
  <c r="Y129" i="5"/>
  <c r="X204" i="5"/>
  <c r="X158" i="5" s="1"/>
  <c r="X123" i="5"/>
  <c r="V121" i="5"/>
  <c r="AE99" i="5"/>
  <c r="Y162" i="5"/>
  <c r="Z169" i="5"/>
  <c r="Y170" i="5"/>
  <c r="AF182" i="5"/>
  <c r="AG182" i="5" s="1"/>
  <c r="AH182" i="5" s="1"/>
  <c r="AK182" i="5" s="1"/>
  <c r="AA182" i="5"/>
  <c r="T182" i="5"/>
  <c r="Y182" i="5"/>
  <c r="AA184" i="5"/>
  <c r="AE29" i="5"/>
  <c r="AF29" i="5" s="1"/>
  <c r="AG29" i="5" s="1"/>
  <c r="AH29" i="5" s="1"/>
  <c r="AD46" i="5"/>
  <c r="AD48" i="5" s="1"/>
  <c r="AE40" i="5"/>
  <c r="AD40" i="5"/>
  <c r="AD42" i="5" s="1"/>
  <c r="H23" i="4"/>
  <c r="AG22" i="5"/>
  <c r="AG23" i="5"/>
  <c r="AG43" i="5" s="1"/>
  <c r="AG45" i="5" s="1"/>
  <c r="AG21" i="5"/>
  <c r="AG33" i="5" s="1"/>
  <c r="AG35" i="5" s="1"/>
  <c r="K32" i="5"/>
  <c r="K34" i="5"/>
  <c r="L32" i="5"/>
  <c r="L34" i="5"/>
  <c r="O34" i="5"/>
  <c r="O32" i="5"/>
  <c r="N34" i="5"/>
  <c r="N32" i="5"/>
  <c r="J32" i="5"/>
  <c r="J34" i="5"/>
  <c r="I34" i="5"/>
  <c r="AG40" i="5" l="1"/>
  <c r="AA213" i="5"/>
  <c r="P134" i="5"/>
  <c r="AF40" i="5"/>
  <c r="AF42" i="5" s="1"/>
  <c r="P104" i="5"/>
  <c r="P105" i="5" s="1"/>
  <c r="S109" i="5"/>
  <c r="Q104" i="5"/>
  <c r="V109" i="5"/>
  <c r="Q134" i="5"/>
  <c r="AF130" i="5"/>
  <c r="AG130" i="5" s="1"/>
  <c r="AH130" i="5" s="1"/>
  <c r="Z99" i="5"/>
  <c r="U101" i="5"/>
  <c r="V101" i="5" s="1"/>
  <c r="S101" i="5"/>
  <c r="T101" i="5" s="1"/>
  <c r="U107" i="5"/>
  <c r="V107" i="5" s="1"/>
  <c r="S107" i="5"/>
  <c r="T107" i="5" s="1"/>
  <c r="U103" i="5"/>
  <c r="V103" i="5" s="1"/>
  <c r="AE42" i="5"/>
  <c r="AH45" i="5"/>
  <c r="AC32" i="5"/>
  <c r="AC175" i="5"/>
  <c r="AC102" i="5"/>
  <c r="AC100" i="5"/>
  <c r="Y204" i="5"/>
  <c r="Y158" i="5" s="1"/>
  <c r="AE107" i="5"/>
  <c r="Z107" i="5" s="1"/>
  <c r="AA107" i="5" s="1"/>
  <c r="AC133" i="5"/>
  <c r="AC108" i="5"/>
  <c r="AC106" i="5"/>
  <c r="AE109" i="5"/>
  <c r="Z109" i="5" s="1"/>
  <c r="P96" i="5"/>
  <c r="P97" i="5" s="1"/>
  <c r="AE103" i="5"/>
  <c r="Z103" i="5" s="1"/>
  <c r="AA103" i="5" s="1"/>
  <c r="H27" i="4"/>
  <c r="U142" i="5"/>
  <c r="T141" i="5"/>
  <c r="S136" i="5"/>
  <c r="S133" i="5"/>
  <c r="U137" i="5"/>
  <c r="T135" i="5"/>
  <c r="Z129" i="5"/>
  <c r="Y123" i="5"/>
  <c r="X121" i="5"/>
  <c r="Z162" i="5"/>
  <c r="AF99" i="5"/>
  <c r="AA169" i="5"/>
  <c r="Z170" i="5"/>
  <c r="U182" i="5"/>
  <c r="Z182" i="5"/>
  <c r="AC47" i="5"/>
  <c r="AE46" i="5"/>
  <c r="AE48" i="5" s="1"/>
  <c r="AK43" i="5"/>
  <c r="AC44" i="5"/>
  <c r="AC34" i="5"/>
  <c r="AC41" i="5"/>
  <c r="AD31" i="5"/>
  <c r="AD32" i="5" s="1"/>
  <c r="I23" i="4"/>
  <c r="AH21" i="5"/>
  <c r="AH33" i="5" s="1"/>
  <c r="AH22" i="5"/>
  <c r="AH40" i="5" s="1"/>
  <c r="AH24" i="5"/>
  <c r="AE213" i="5" l="1"/>
  <c r="P235" i="5"/>
  <c r="S134" i="5"/>
  <c r="AC134" i="5"/>
  <c r="Q175" i="5"/>
  <c r="Q177" i="5" s="1"/>
  <c r="AC177" i="5"/>
  <c r="AG42" i="5"/>
  <c r="AE101" i="5"/>
  <c r="Z101" i="5" s="1"/>
  <c r="AA101" i="5" s="1"/>
  <c r="AF101" i="5"/>
  <c r="X109" i="5"/>
  <c r="AF107" i="5"/>
  <c r="AA109" i="5"/>
  <c r="T109" i="5"/>
  <c r="S100" i="5"/>
  <c r="S102" i="5"/>
  <c r="X107" i="5"/>
  <c r="Y107" i="5" s="1"/>
  <c r="X103" i="5"/>
  <c r="Y103" i="5" s="1"/>
  <c r="Q98" i="5"/>
  <c r="AC98" i="5" s="1"/>
  <c r="AC96" i="5" s="1"/>
  <c r="Q105" i="5"/>
  <c r="AK33" i="5"/>
  <c r="AH35" i="5"/>
  <c r="AK40" i="5"/>
  <c r="AH42" i="5"/>
  <c r="Z204" i="5"/>
  <c r="Z158" i="5" s="1"/>
  <c r="P112" i="5"/>
  <c r="AF109" i="5"/>
  <c r="T100" i="5"/>
  <c r="T102" i="5"/>
  <c r="AF103" i="5"/>
  <c r="AF102" i="5" s="1"/>
  <c r="I27" i="4"/>
  <c r="J27" i="4" s="1"/>
  <c r="V142" i="5"/>
  <c r="U141" i="5"/>
  <c r="T136" i="5"/>
  <c r="T133" i="5"/>
  <c r="V137" i="5"/>
  <c r="X137" i="5" s="1"/>
  <c r="U135" i="5"/>
  <c r="AA139" i="5"/>
  <c r="AA129" i="5"/>
  <c r="Z123" i="5"/>
  <c r="Y121" i="5"/>
  <c r="V99" i="5"/>
  <c r="X99" i="5" s="1"/>
  <c r="Y99" i="5" s="1"/>
  <c r="AH99" i="5"/>
  <c r="AG99" i="5"/>
  <c r="AA162" i="5"/>
  <c r="AE162" i="5" s="1"/>
  <c r="AE166" i="5"/>
  <c r="AA170" i="5"/>
  <c r="AC179" i="5"/>
  <c r="AD47" i="5"/>
  <c r="AD175" i="5"/>
  <c r="AD177" i="5" s="1"/>
  <c r="AE31" i="5"/>
  <c r="AE32" i="5" s="1"/>
  <c r="AF46" i="5"/>
  <c r="AD44" i="5"/>
  <c r="AD34" i="5"/>
  <c r="AD41" i="5"/>
  <c r="J23" i="4"/>
  <c r="T134" i="5" l="1"/>
  <c r="Q179" i="5"/>
  <c r="S98" i="5" s="1"/>
  <c r="X101" i="5"/>
  <c r="Y101" i="5" s="1"/>
  <c r="Y100" i="5" s="1"/>
  <c r="AH226" i="5"/>
  <c r="AG101" i="5"/>
  <c r="AG100" i="5" s="1"/>
  <c r="Y109" i="5"/>
  <c r="X102" i="5"/>
  <c r="Q96" i="5"/>
  <c r="P113" i="5"/>
  <c r="AF128" i="5"/>
  <c r="AF48" i="5"/>
  <c r="AA204" i="5"/>
  <c r="AA158" i="5" s="1"/>
  <c r="AE158" i="5" s="1"/>
  <c r="AF158" i="5" s="1"/>
  <c r="AG107" i="5"/>
  <c r="V100" i="5"/>
  <c r="U100" i="5"/>
  <c r="AH109" i="5"/>
  <c r="AG109" i="5"/>
  <c r="AH103" i="5"/>
  <c r="AH102" i="5" s="1"/>
  <c r="AG103" i="5"/>
  <c r="AG102" i="5" s="1"/>
  <c r="Y102" i="5"/>
  <c r="V102" i="5"/>
  <c r="U102" i="5"/>
  <c r="X142" i="5"/>
  <c r="V141" i="5"/>
  <c r="AD141" i="5" s="1"/>
  <c r="U136" i="5"/>
  <c r="U133" i="5"/>
  <c r="AD137" i="5"/>
  <c r="AD138" i="5" s="1"/>
  <c r="V135" i="5"/>
  <c r="AE139" i="5"/>
  <c r="AF139" i="5" s="1"/>
  <c r="AG139" i="5" s="1"/>
  <c r="AH139" i="5" s="1"/>
  <c r="AA123" i="5"/>
  <c r="Z121" i="5"/>
  <c r="AA99" i="5"/>
  <c r="AC180" i="5"/>
  <c r="AF100" i="5"/>
  <c r="AC222" i="5"/>
  <c r="AC173" i="5"/>
  <c r="AC161" i="5"/>
  <c r="S175" i="5"/>
  <c r="S177" i="5" s="1"/>
  <c r="AD179" i="5"/>
  <c r="AD178" i="5" s="1"/>
  <c r="V175" i="5"/>
  <c r="V177" i="5" s="1"/>
  <c r="AE44" i="5"/>
  <c r="AE175" i="5"/>
  <c r="AE177" i="5" s="1"/>
  <c r="AE34" i="5"/>
  <c r="AE41" i="5"/>
  <c r="AE47" i="5"/>
  <c r="AF31" i="5"/>
  <c r="AF32" i="5" s="1"/>
  <c r="AG46" i="5"/>
  <c r="AG158" i="5" l="1"/>
  <c r="AH158" i="5" s="1"/>
  <c r="U134" i="5"/>
  <c r="X100" i="5"/>
  <c r="AH101" i="5"/>
  <c r="AH100" i="5" s="1"/>
  <c r="Q112" i="5"/>
  <c r="Q113" i="5" s="1"/>
  <c r="AH107" i="5"/>
  <c r="Q97" i="5"/>
  <c r="AD142" i="5"/>
  <c r="AG128" i="5"/>
  <c r="AG48" i="5"/>
  <c r="AE204" i="5"/>
  <c r="AF204" i="5" s="1"/>
  <c r="AG204" i="5" s="1"/>
  <c r="AH204" i="5" s="1"/>
  <c r="AD100" i="5"/>
  <c r="AD108" i="5"/>
  <c r="AA100" i="5"/>
  <c r="Z100" i="5"/>
  <c r="V133" i="5"/>
  <c r="AD102" i="5"/>
  <c r="AA102" i="5"/>
  <c r="Z102" i="5"/>
  <c r="Y142" i="5"/>
  <c r="X141" i="5"/>
  <c r="AD135" i="5"/>
  <c r="AD136" i="5" s="1"/>
  <c r="V136" i="5"/>
  <c r="Y137" i="5"/>
  <c r="X135" i="5"/>
  <c r="Q122" i="5"/>
  <c r="AC122" i="5" s="1"/>
  <c r="AC123" i="5" s="1"/>
  <c r="Q128" i="5"/>
  <c r="AC128" i="5" s="1"/>
  <c r="AC129" i="5" s="1"/>
  <c r="Q114" i="5"/>
  <c r="Q178" i="5" s="1"/>
  <c r="P116" i="5"/>
  <c r="P152" i="5" s="1"/>
  <c r="AA121" i="5"/>
  <c r="Q180" i="5"/>
  <c r="Q192" i="5" s="1"/>
  <c r="AC192" i="5" s="1"/>
  <c r="AC191" i="5" s="1"/>
  <c r="S96" i="5"/>
  <c r="AD180" i="5"/>
  <c r="AD222" i="5"/>
  <c r="AC227" i="5"/>
  <c r="AC231" i="5" s="1"/>
  <c r="AC97" i="5"/>
  <c r="AD161" i="5"/>
  <c r="AD173" i="5"/>
  <c r="AC167" i="5"/>
  <c r="AC164" i="5"/>
  <c r="Q161" i="5"/>
  <c r="Q173" i="5"/>
  <c r="V179" i="5"/>
  <c r="X175" i="5"/>
  <c r="X177" i="5" s="1"/>
  <c r="S179" i="5"/>
  <c r="T175" i="5"/>
  <c r="T177" i="5" s="1"/>
  <c r="AE179" i="5"/>
  <c r="AE178" i="5" s="1"/>
  <c r="AA175" i="5"/>
  <c r="AF47" i="5"/>
  <c r="AF175" i="5"/>
  <c r="AG31" i="5"/>
  <c r="AF44" i="5"/>
  <c r="AF41" i="5"/>
  <c r="AF34" i="5"/>
  <c r="AK29" i="5"/>
  <c r="AH46" i="5"/>
  <c r="AH48" i="5" s="1"/>
  <c r="S97" i="5" l="1"/>
  <c r="AF179" i="5"/>
  <c r="AF114" i="5" s="1"/>
  <c r="AF177" i="5"/>
  <c r="AA179" i="5"/>
  <c r="AA115" i="5" s="1"/>
  <c r="AA177" i="5"/>
  <c r="T98" i="5"/>
  <c r="T96" i="5" s="1"/>
  <c r="S115" i="5"/>
  <c r="Q115" i="5"/>
  <c r="AC114" i="5"/>
  <c r="AC115" i="5" s="1"/>
  <c r="AD133" i="5"/>
  <c r="V134" i="5"/>
  <c r="Q233" i="5"/>
  <c r="AE108" i="5"/>
  <c r="AF108" i="5" s="1"/>
  <c r="AG108" i="5" s="1"/>
  <c r="AH108" i="5" s="1"/>
  <c r="AE100" i="5"/>
  <c r="AE102" i="5"/>
  <c r="P153" i="5"/>
  <c r="P155" i="5" s="1"/>
  <c r="X136" i="5"/>
  <c r="X133" i="5"/>
  <c r="Z142" i="5"/>
  <c r="Y141" i="5"/>
  <c r="Z137" i="5"/>
  <c r="Y135" i="5"/>
  <c r="AK46" i="5"/>
  <c r="AH128" i="5"/>
  <c r="S122" i="5"/>
  <c r="S128" i="5"/>
  <c r="AC104" i="5"/>
  <c r="V122" i="5"/>
  <c r="V128" i="5"/>
  <c r="T114" i="5"/>
  <c r="Q116" i="5"/>
  <c r="S106" i="5"/>
  <c r="Q120" i="5"/>
  <c r="Q191" i="5"/>
  <c r="Q202" i="5" s="1"/>
  <c r="AE180" i="5"/>
  <c r="S161" i="5"/>
  <c r="S180" i="5"/>
  <c r="S192" i="5" s="1"/>
  <c r="T106" i="5" s="1"/>
  <c r="T104" i="5" s="1"/>
  <c r="AE222" i="5"/>
  <c r="AE161" i="5"/>
  <c r="AE164" i="5" s="1"/>
  <c r="AE173" i="5"/>
  <c r="AF173" i="5" s="1"/>
  <c r="AD164" i="5"/>
  <c r="AD167" i="5"/>
  <c r="V161" i="5"/>
  <c r="V173" i="5"/>
  <c r="U173" i="5"/>
  <c r="X173" i="5"/>
  <c r="U175" i="5"/>
  <c r="T179" i="5"/>
  <c r="T128" i="5" s="1"/>
  <c r="X179" i="5"/>
  <c r="Y175" i="5"/>
  <c r="Y177" i="5" s="1"/>
  <c r="AG34" i="5"/>
  <c r="AG32" i="5"/>
  <c r="AG175" i="5"/>
  <c r="AG44" i="5"/>
  <c r="AG47" i="5"/>
  <c r="AG41" i="5"/>
  <c r="AH31" i="5"/>
  <c r="AH32" i="5" s="1"/>
  <c r="AD134" i="5" l="1"/>
  <c r="X134" i="5"/>
  <c r="AA161" i="5"/>
  <c r="AA164" i="5" s="1"/>
  <c r="AF180" i="5"/>
  <c r="AF98" i="5"/>
  <c r="AF96" i="5" s="1"/>
  <c r="AA128" i="5"/>
  <c r="AA122" i="5"/>
  <c r="AG179" i="5"/>
  <c r="AG177" i="5"/>
  <c r="U179" i="5"/>
  <c r="X98" i="5" s="1"/>
  <c r="X96" i="5" s="1"/>
  <c r="U177" i="5"/>
  <c r="T178" i="5"/>
  <c r="S167" i="5"/>
  <c r="AC202" i="5"/>
  <c r="Q212" i="5"/>
  <c r="AC212" i="5" s="1"/>
  <c r="T115" i="5"/>
  <c r="AC112" i="5"/>
  <c r="AC105" i="5"/>
  <c r="P157" i="5"/>
  <c r="P156" i="5"/>
  <c r="T97" i="5"/>
  <c r="AA142" i="5"/>
  <c r="Z141" i="5"/>
  <c r="Y136" i="5"/>
  <c r="Y133" i="5"/>
  <c r="S164" i="5"/>
  <c r="AA137" i="5"/>
  <c r="Z135" i="5"/>
  <c r="AC193" i="5"/>
  <c r="AC120" i="5"/>
  <c r="Q118" i="5"/>
  <c r="Q235" i="5" s="1"/>
  <c r="T112" i="5"/>
  <c r="X122" i="5"/>
  <c r="X128" i="5"/>
  <c r="AC233" i="5"/>
  <c r="T122" i="5"/>
  <c r="U114" i="5"/>
  <c r="S104" i="5"/>
  <c r="S105" i="5" s="1"/>
  <c r="U98" i="5"/>
  <c r="S233" i="5"/>
  <c r="S120" i="5"/>
  <c r="S118" i="5" s="1"/>
  <c r="S235" i="5" s="1"/>
  <c r="Z173" i="5"/>
  <c r="Q211" i="5"/>
  <c r="X161" i="5"/>
  <c r="X180" i="5"/>
  <c r="X193" i="5" s="1"/>
  <c r="Q190" i="5"/>
  <c r="Q209" i="5" s="1"/>
  <c r="S191" i="5"/>
  <c r="S202" i="5" s="1"/>
  <c r="T161" i="5"/>
  <c r="T180" i="5"/>
  <c r="T192" i="5" s="1"/>
  <c r="U106" i="5" s="1"/>
  <c r="U104" i="5" s="1"/>
  <c r="U105" i="5" s="1"/>
  <c r="Y173" i="5"/>
  <c r="AA173" i="5"/>
  <c r="V167" i="5"/>
  <c r="V164" i="5"/>
  <c r="AE167" i="5"/>
  <c r="AG173" i="5"/>
  <c r="AF172" i="5"/>
  <c r="Z175" i="5"/>
  <c r="Y179" i="5"/>
  <c r="Y115" i="5" s="1"/>
  <c r="AH47" i="5"/>
  <c r="AH175" i="5"/>
  <c r="AH177" i="5" s="1"/>
  <c r="AH44" i="5"/>
  <c r="AH34" i="5"/>
  <c r="AH41" i="5"/>
  <c r="AK31" i="5"/>
  <c r="N16" i="4" l="1"/>
  <c r="P214" i="5"/>
  <c r="Y134" i="5"/>
  <c r="AA167" i="5"/>
  <c r="AG180" i="5"/>
  <c r="AG98" i="5"/>
  <c r="AG96" i="5" s="1"/>
  <c r="AG97" i="5" s="1"/>
  <c r="U122" i="5"/>
  <c r="AD122" i="5" s="1"/>
  <c r="AD123" i="5" s="1"/>
  <c r="V180" i="5"/>
  <c r="V193" i="5" s="1"/>
  <c r="U180" i="5"/>
  <c r="U193" i="5" s="1"/>
  <c r="U192" i="5" s="1"/>
  <c r="V106" i="5" s="1"/>
  <c r="V104" i="5" s="1"/>
  <c r="Y98" i="5"/>
  <c r="Y96" i="5" s="1"/>
  <c r="Y97" i="5" s="1"/>
  <c r="U161" i="5"/>
  <c r="U167" i="5" s="1"/>
  <c r="V98" i="5"/>
  <c r="V96" i="5" s="1"/>
  <c r="U128" i="5"/>
  <c r="AD128" i="5" s="1"/>
  <c r="AD129" i="5" s="1"/>
  <c r="Z179" i="5"/>
  <c r="AA180" i="5" s="1"/>
  <c r="AA193" i="5" s="1"/>
  <c r="Z177" i="5"/>
  <c r="U115" i="5"/>
  <c r="U178" i="5"/>
  <c r="T164" i="5"/>
  <c r="N3" i="8"/>
  <c r="AC218" i="5"/>
  <c r="N7" i="8" s="1"/>
  <c r="AC116" i="5"/>
  <c r="AC113" i="5"/>
  <c r="N4" i="8" s="1"/>
  <c r="S119" i="5"/>
  <c r="Q152" i="5"/>
  <c r="Q153" i="5" s="1"/>
  <c r="AC153" i="5" s="1"/>
  <c r="Q119" i="5"/>
  <c r="S112" i="5"/>
  <c r="S113" i="5" s="1"/>
  <c r="T105" i="5"/>
  <c r="T116" i="5"/>
  <c r="AC118" i="5"/>
  <c r="AC235" i="5" s="1"/>
  <c r="AC121" i="5"/>
  <c r="Z136" i="5"/>
  <c r="Z133" i="5"/>
  <c r="AA141" i="5"/>
  <c r="AE141" i="5" s="1"/>
  <c r="AC190" i="5"/>
  <c r="AC209" i="5" s="1"/>
  <c r="AE137" i="5"/>
  <c r="AA135" i="5"/>
  <c r="AE135" i="5" s="1"/>
  <c r="Z98" i="5"/>
  <c r="Z96" i="5" s="1"/>
  <c r="Y128" i="5"/>
  <c r="Y180" i="5"/>
  <c r="Y193" i="5" s="1"/>
  <c r="Y122" i="5"/>
  <c r="T167" i="5"/>
  <c r="T233" i="5"/>
  <c r="T120" i="5"/>
  <c r="T118" i="5" s="1"/>
  <c r="T235" i="5" s="1"/>
  <c r="U96" i="5"/>
  <c r="V114" i="5"/>
  <c r="AD114" i="5" s="1"/>
  <c r="S212" i="5"/>
  <c r="S211" i="5"/>
  <c r="T191" i="5"/>
  <c r="T202" i="5" s="1"/>
  <c r="S190" i="5"/>
  <c r="S209" i="5" s="1"/>
  <c r="X167" i="5"/>
  <c r="X164" i="5"/>
  <c r="AF161" i="5"/>
  <c r="AF222" i="5"/>
  <c r="AF227" i="5" s="1"/>
  <c r="AF231" i="5" s="1"/>
  <c r="AH173" i="5"/>
  <c r="AG172" i="5"/>
  <c r="Y161" i="5"/>
  <c r="AH179" i="5"/>
  <c r="AK175" i="5"/>
  <c r="AD115" i="5" l="1"/>
  <c r="X97" i="5"/>
  <c r="Z134" i="5"/>
  <c r="T119" i="5"/>
  <c r="AD98" i="5"/>
  <c r="AD227" i="5" s="1"/>
  <c r="AD231" i="5" s="1"/>
  <c r="Z97" i="5"/>
  <c r="Z180" i="5"/>
  <c r="Z193" i="5" s="1"/>
  <c r="Z161" i="5"/>
  <c r="Z167" i="5" s="1"/>
  <c r="Z122" i="5"/>
  <c r="AE122" i="5" s="1"/>
  <c r="AE123" i="5" s="1"/>
  <c r="U164" i="5"/>
  <c r="AA98" i="5"/>
  <c r="AA96" i="5" s="1"/>
  <c r="AA97" i="5" s="1"/>
  <c r="Z115" i="5"/>
  <c r="Z128" i="5"/>
  <c r="AE128" i="5" s="1"/>
  <c r="AE129" i="5" s="1"/>
  <c r="V178" i="5"/>
  <c r="AF137" i="5"/>
  <c r="AF135" i="5" s="1"/>
  <c r="AF136" i="5" s="1"/>
  <c r="AE138" i="5"/>
  <c r="V115" i="5"/>
  <c r="S116" i="5"/>
  <c r="S152" i="5" s="1"/>
  <c r="S153" i="5" s="1"/>
  <c r="T113" i="5"/>
  <c r="AC152" i="5"/>
  <c r="AC155" i="5" s="1"/>
  <c r="AC119" i="5"/>
  <c r="V112" i="5"/>
  <c r="V116" i="5" s="1"/>
  <c r="V105" i="5"/>
  <c r="AE142" i="5"/>
  <c r="AF142" i="5" s="1"/>
  <c r="T152" i="5"/>
  <c r="T153" i="5" s="1"/>
  <c r="U112" i="5"/>
  <c r="U97" i="5"/>
  <c r="V97" i="5"/>
  <c r="AA133" i="5"/>
  <c r="Q155" i="5"/>
  <c r="D17" i="4" s="1"/>
  <c r="AE136" i="5"/>
  <c r="AA136" i="5"/>
  <c r="U233" i="5"/>
  <c r="U120" i="5"/>
  <c r="U118" i="5" s="1"/>
  <c r="U119" i="5" s="1"/>
  <c r="AD106" i="5"/>
  <c r="AK179" i="5"/>
  <c r="T212" i="5"/>
  <c r="T211" i="5"/>
  <c r="AF167" i="5"/>
  <c r="U191" i="5"/>
  <c r="U202" i="5" s="1"/>
  <c r="V192" i="5"/>
  <c r="AH98" i="5"/>
  <c r="AH96" i="5" s="1"/>
  <c r="AH97" i="5" s="1"/>
  <c r="AH180" i="5"/>
  <c r="AF164" i="5"/>
  <c r="T190" i="5"/>
  <c r="T209" i="5" s="1"/>
  <c r="Y167" i="5"/>
  <c r="Y164" i="5"/>
  <c r="AG161" i="5"/>
  <c r="AG222" i="5"/>
  <c r="AH172" i="5"/>
  <c r="U235" i="5" l="1"/>
  <c r="AD96" i="5"/>
  <c r="Z164" i="5"/>
  <c r="AE98" i="5"/>
  <c r="AE96" i="5" s="1"/>
  <c r="D19" i="4"/>
  <c r="N10" i="8" s="1"/>
  <c r="D31" i="4"/>
  <c r="D16" i="4"/>
  <c r="AG137" i="5"/>
  <c r="AH137" i="5" s="1"/>
  <c r="AG123" i="5"/>
  <c r="AF122" i="5"/>
  <c r="S155" i="5"/>
  <c r="S157" i="5" s="1"/>
  <c r="AE133" i="5"/>
  <c r="AA134" i="5"/>
  <c r="AF141" i="5"/>
  <c r="AF133" i="5" s="1"/>
  <c r="AG142" i="5"/>
  <c r="U113" i="5"/>
  <c r="V113" i="5"/>
  <c r="U116" i="5"/>
  <c r="U152" i="5" s="1"/>
  <c r="U153" i="5" s="1"/>
  <c r="Q157" i="5"/>
  <c r="Q156" i="5"/>
  <c r="AG227" i="5"/>
  <c r="AG231" i="5" s="1"/>
  <c r="D15" i="4"/>
  <c r="AC156" i="5"/>
  <c r="T155" i="5"/>
  <c r="X106" i="5"/>
  <c r="V120" i="5"/>
  <c r="AK96" i="5"/>
  <c r="V233" i="5"/>
  <c r="AD192" i="5"/>
  <c r="AD104" i="5" s="1"/>
  <c r="AG164" i="5"/>
  <c r="V191" i="5"/>
  <c r="V202" i="5" s="1"/>
  <c r="X192" i="5"/>
  <c r="AG167" i="5"/>
  <c r="AH222" i="5"/>
  <c r="AH227" i="5" s="1"/>
  <c r="AH231" i="5" s="1"/>
  <c r="AH161" i="5"/>
  <c r="P162" i="5"/>
  <c r="P161" i="5" s="1"/>
  <c r="Q16" i="4" l="1"/>
  <c r="S214" i="5"/>
  <c r="O16" i="4"/>
  <c r="Q214" i="5"/>
  <c r="AE97" i="5"/>
  <c r="AD97" i="5"/>
  <c r="AE134" i="5"/>
  <c r="AF97" i="5"/>
  <c r="AE227" i="5"/>
  <c r="AE231" i="5" s="1"/>
  <c r="D26" i="4"/>
  <c r="D28" i="4" s="1"/>
  <c r="D29" i="4" s="1"/>
  <c r="M5" i="8"/>
  <c r="D18" i="4"/>
  <c r="P202" i="5"/>
  <c r="P167" i="5"/>
  <c r="AG135" i="5"/>
  <c r="AG136" i="5" s="1"/>
  <c r="AH123" i="5"/>
  <c r="AH122" i="5" s="1"/>
  <c r="AG122" i="5"/>
  <c r="S156" i="5"/>
  <c r="AH142" i="5"/>
  <c r="AH141" i="5" s="1"/>
  <c r="AG141" i="5"/>
  <c r="AF134" i="5"/>
  <c r="AD112" i="5"/>
  <c r="AD116" i="5" s="1"/>
  <c r="AD105" i="5"/>
  <c r="AC157" i="5"/>
  <c r="T157" i="5"/>
  <c r="T156" i="5"/>
  <c r="D22" i="4"/>
  <c r="D24" i="4" s="1"/>
  <c r="U155" i="5"/>
  <c r="AH135" i="5"/>
  <c r="AD120" i="5"/>
  <c r="V118" i="5"/>
  <c r="V235" i="5" s="1"/>
  <c r="X233" i="5"/>
  <c r="X120" i="5"/>
  <c r="X104" i="5"/>
  <c r="Y106" i="5"/>
  <c r="Y104" i="5" s="1"/>
  <c r="U190" i="5"/>
  <c r="U209" i="5" s="1"/>
  <c r="U212" i="5"/>
  <c r="U211" i="5"/>
  <c r="AD193" i="5"/>
  <c r="AD233" i="5"/>
  <c r="AD191" i="5"/>
  <c r="Y192" i="5"/>
  <c r="X191" i="5"/>
  <c r="X202" i="5" s="1"/>
  <c r="AH164" i="5"/>
  <c r="AH167" i="5"/>
  <c r="Q167" i="5"/>
  <c r="Q164" i="5"/>
  <c r="P164" i="5"/>
  <c r="O3" i="8" l="1"/>
  <c r="N8" i="8"/>
  <c r="N9" i="8" s="1"/>
  <c r="AC214" i="5"/>
  <c r="R16" i="4"/>
  <c r="T214" i="5"/>
  <c r="X118" i="5"/>
  <c r="X235" i="5" s="1"/>
  <c r="AD113" i="5"/>
  <c r="O4" i="8" s="1"/>
  <c r="AG133" i="5"/>
  <c r="V152" i="5"/>
  <c r="V153" i="5" s="1"/>
  <c r="AD153" i="5" s="1"/>
  <c r="V119" i="5"/>
  <c r="AD218" i="5"/>
  <c r="O7" i="8" s="1"/>
  <c r="X112" i="5"/>
  <c r="X105" i="5"/>
  <c r="Y112" i="5"/>
  <c r="Y116" i="5" s="1"/>
  <c r="Y105" i="5"/>
  <c r="U157" i="5"/>
  <c r="U156" i="5"/>
  <c r="AD118" i="5"/>
  <c r="AD235" i="5" s="1"/>
  <c r="AD121" i="5"/>
  <c r="AH136" i="5"/>
  <c r="AH133" i="5"/>
  <c r="Y233" i="5"/>
  <c r="Y120" i="5"/>
  <c r="Y118" i="5" s="1"/>
  <c r="Y235" i="5" s="1"/>
  <c r="Z106" i="5"/>
  <c r="Z104" i="5" s="1"/>
  <c r="P212" i="5"/>
  <c r="P211" i="5"/>
  <c r="P190" i="5"/>
  <c r="P209" i="5" s="1"/>
  <c r="AD202" i="5"/>
  <c r="AD190" i="5" s="1"/>
  <c r="AD209" i="5" s="1"/>
  <c r="V212" i="5"/>
  <c r="AD212" i="5" s="1"/>
  <c r="V211" i="5"/>
  <c r="AC211" i="5" s="1"/>
  <c r="V190" i="5"/>
  <c r="V209" i="5" s="1"/>
  <c r="Y191" i="5"/>
  <c r="Y202" i="5" s="1"/>
  <c r="Z192" i="5"/>
  <c r="AD152" i="5" l="1"/>
  <c r="AD155" i="5" s="1"/>
  <c r="S16" i="4"/>
  <c r="U214" i="5"/>
  <c r="AK133" i="5"/>
  <c r="AG134" i="5"/>
  <c r="X119" i="5"/>
  <c r="Y119" i="5"/>
  <c r="AD119" i="5"/>
  <c r="Y113" i="5"/>
  <c r="X113" i="5"/>
  <c r="AH134" i="5"/>
  <c r="Z112" i="5"/>
  <c r="Z116" i="5" s="1"/>
  <c r="Z105" i="5"/>
  <c r="Y152" i="5"/>
  <c r="Y153" i="5" s="1"/>
  <c r="Y155" i="5" s="1"/>
  <c r="V155" i="5"/>
  <c r="Z233" i="5"/>
  <c r="Z120" i="5"/>
  <c r="Z118" i="5" s="1"/>
  <c r="Z235" i="5" s="1"/>
  <c r="AA106" i="5"/>
  <c r="AA104" i="5" s="1"/>
  <c r="X190" i="5"/>
  <c r="X209" i="5" s="1"/>
  <c r="X211" i="5"/>
  <c r="X212" i="5"/>
  <c r="Z191" i="5"/>
  <c r="Z202" i="5" s="1"/>
  <c r="AA192" i="5"/>
  <c r="AE192" i="5" s="1"/>
  <c r="Z119" i="5" l="1"/>
  <c r="AF192" i="5"/>
  <c r="AG192" i="5" s="1"/>
  <c r="AH192" i="5" s="1"/>
  <c r="AE193" i="5"/>
  <c r="Z113" i="5"/>
  <c r="AA112" i="5"/>
  <c r="AA116" i="5" s="1"/>
  <c r="AA105" i="5"/>
  <c r="Z152" i="5"/>
  <c r="Z153" i="5" s="1"/>
  <c r="Y157" i="5"/>
  <c r="V157" i="5"/>
  <c r="V156" i="5"/>
  <c r="E15" i="4"/>
  <c r="AD156" i="5"/>
  <c r="AA120" i="5"/>
  <c r="AE120" i="5" s="1"/>
  <c r="AE106" i="5"/>
  <c r="Y190" i="5"/>
  <c r="Y209" i="5" s="1"/>
  <c r="Y211" i="5"/>
  <c r="Y212" i="5"/>
  <c r="AA191" i="5"/>
  <c r="AA202" i="5" s="1"/>
  <c r="AA233" i="5"/>
  <c r="T16" i="4" l="1"/>
  <c r="V214" i="5"/>
  <c r="W16" i="4"/>
  <c r="Y214" i="5"/>
  <c r="AE233" i="5"/>
  <c r="AF120" i="5"/>
  <c r="E26" i="4"/>
  <c r="E28" i="4" s="1"/>
  <c r="E29" i="4" s="1"/>
  <c r="E17" i="4" s="1"/>
  <c r="E16" i="4" s="1"/>
  <c r="E22" i="4" s="1"/>
  <c r="E24" i="4" s="1"/>
  <c r="N5" i="8"/>
  <c r="AA211" i="5"/>
  <c r="AE211" i="5" s="1"/>
  <c r="AA113" i="5"/>
  <c r="AD157" i="5"/>
  <c r="AE191" i="5"/>
  <c r="Z155" i="5"/>
  <c r="AA118" i="5"/>
  <c r="AA235" i="5" s="1"/>
  <c r="AE104" i="5"/>
  <c r="AE202" i="5"/>
  <c r="AA212" i="5"/>
  <c r="AE212" i="5" s="1"/>
  <c r="Z190" i="5"/>
  <c r="Z209" i="5" s="1"/>
  <c r="Z212" i="5"/>
  <c r="Z211" i="5"/>
  <c r="AA190" i="5"/>
  <c r="AA209" i="5" s="1"/>
  <c r="O8" i="8" l="1"/>
  <c r="O9" i="8" s="1"/>
  <c r="AD214" i="5"/>
  <c r="AD211" i="5"/>
  <c r="E18" i="4"/>
  <c r="E19" i="4"/>
  <c r="T34" i="4" s="1"/>
  <c r="AF106" i="5"/>
  <c r="AF104" i="5" s="1"/>
  <c r="AF112" i="5" s="1"/>
  <c r="AA152" i="5"/>
  <c r="AA153" i="5" s="1"/>
  <c r="AA119" i="5"/>
  <c r="AE112" i="5"/>
  <c r="AE105" i="5"/>
  <c r="Z157" i="5"/>
  <c r="Z156" i="5"/>
  <c r="AE118" i="5"/>
  <c r="AE235" i="5" s="1"/>
  <c r="AE121" i="5"/>
  <c r="AE190" i="5"/>
  <c r="AE209" i="5" s="1"/>
  <c r="AF191" i="5"/>
  <c r="AF202" i="5" s="1"/>
  <c r="AF233" i="5"/>
  <c r="AG233" i="5"/>
  <c r="AF218" i="5" l="1"/>
  <c r="AF116" i="5"/>
  <c r="P3" i="8"/>
  <c r="I4" i="8" s="1"/>
  <c r="AE116" i="5"/>
  <c r="X16" i="4"/>
  <c r="Z214" i="5"/>
  <c r="O10" i="8"/>
  <c r="AF105" i="5"/>
  <c r="AE119" i="5"/>
  <c r="AE218" i="5"/>
  <c r="P7" i="8" s="1"/>
  <c r="AF113" i="5"/>
  <c r="AE113" i="5"/>
  <c r="P4" i="8" s="1"/>
  <c r="AF118" i="5"/>
  <c r="AF235" i="5" s="1"/>
  <c r="AF121" i="5"/>
  <c r="AG191" i="5"/>
  <c r="AG202" i="5" s="1"/>
  <c r="AG212" i="5" s="1"/>
  <c r="AA155" i="5"/>
  <c r="AG120" i="5"/>
  <c r="AH120" i="5"/>
  <c r="AG106" i="5"/>
  <c r="AG104" i="5" s="1"/>
  <c r="AF190" i="5"/>
  <c r="AF209" i="5" s="1"/>
  <c r="AF212" i="5"/>
  <c r="AF211" i="5"/>
  <c r="AF119" i="5" l="1"/>
  <c r="AG112" i="5"/>
  <c r="AG113" i="5" s="1"/>
  <c r="AG105" i="5"/>
  <c r="AA157" i="5"/>
  <c r="AA156" i="5"/>
  <c r="AH118" i="5"/>
  <c r="AH235" i="5" s="1"/>
  <c r="AH121" i="5"/>
  <c r="AG118" i="5"/>
  <c r="AG235" i="5" s="1"/>
  <c r="AG121" i="5"/>
  <c r="AG211" i="5"/>
  <c r="AG190" i="5"/>
  <c r="AG209" i="5" s="1"/>
  <c r="AH233" i="5"/>
  <c r="AH191" i="5"/>
  <c r="AH202" i="5" s="1"/>
  <c r="AH212" i="5" s="1"/>
  <c r="AK192" i="5"/>
  <c r="AH106" i="5"/>
  <c r="AH104" i="5" s="1"/>
  <c r="AH105" i="5" s="1"/>
  <c r="Y16" i="4" l="1"/>
  <c r="AA214" i="5"/>
  <c r="AG119" i="5"/>
  <c r="AG218" i="5"/>
  <c r="AK118" i="5"/>
  <c r="AH119" i="5"/>
  <c r="AH211" i="5"/>
  <c r="AH112" i="5"/>
  <c r="AK104" i="5"/>
  <c r="AH190" i="5"/>
  <c r="AH209" i="5" s="1"/>
  <c r="AH113" i="5" l="1"/>
  <c r="AH218" i="5"/>
  <c r="AK112" i="5"/>
  <c r="N6" i="8" l="1"/>
  <c r="AE115" i="5" l="1"/>
  <c r="X115" i="5"/>
  <c r="X116" i="5"/>
  <c r="X152" i="5" s="1"/>
  <c r="X153" i="5" s="1"/>
  <c r="AE153" i="5" s="1"/>
  <c r="AG115" i="5" l="1"/>
  <c r="AG114" i="5" s="1"/>
  <c r="AF152" i="5"/>
  <c r="AF153" i="5" s="1"/>
  <c r="AF155" i="5" s="1"/>
  <c r="X155" i="5"/>
  <c r="X157" i="5" s="1"/>
  <c r="AE152" i="5"/>
  <c r="AE155" i="5" s="1"/>
  <c r="AF157" i="5" l="1"/>
  <c r="AF213" i="5" s="1"/>
  <c r="G15" i="4"/>
  <c r="AH115" i="5"/>
  <c r="AH114" i="5" s="1"/>
  <c r="AH116" i="5" s="1"/>
  <c r="AG116" i="5"/>
  <c r="AG152" i="5" s="1"/>
  <c r="AG153" i="5" s="1"/>
  <c r="AG155" i="5" s="1"/>
  <c r="AE157" i="5"/>
  <c r="AE214" i="5" s="1"/>
  <c r="X214" i="5"/>
  <c r="V16" i="4"/>
  <c r="X156" i="5"/>
  <c r="Y156" i="5"/>
  <c r="AF156" i="5"/>
  <c r="F15" i="4"/>
  <c r="AE156" i="5"/>
  <c r="AH152" i="5" l="1"/>
  <c r="AH153" i="5" s="1"/>
  <c r="AH155" i="5" s="1"/>
  <c r="AK116" i="5"/>
  <c r="G26" i="4"/>
  <c r="G28" i="4" s="1"/>
  <c r="G29" i="4" s="1"/>
  <c r="P5" i="8"/>
  <c r="I5" i="8" s="1"/>
  <c r="AG156" i="5"/>
  <c r="H15" i="4"/>
  <c r="H26" i="4" s="1"/>
  <c r="H28" i="4" s="1"/>
  <c r="H29" i="4" s="1"/>
  <c r="AG157" i="5"/>
  <c r="AG213" i="5" s="1"/>
  <c r="P8" i="8"/>
  <c r="P9" i="8" s="1"/>
  <c r="O5" i="8"/>
  <c r="O22" i="4"/>
  <c r="F26" i="4"/>
  <c r="AH156" i="5" l="1"/>
  <c r="I15" i="4"/>
  <c r="I26" i="4" s="1"/>
  <c r="I28" i="4" s="1"/>
  <c r="I29" i="4" s="1"/>
  <c r="AK155" i="5"/>
  <c r="AH157" i="5"/>
  <c r="AH213" i="5" s="1"/>
  <c r="O24" i="4"/>
  <c r="O26" i="4" s="1"/>
  <c r="E4" i="4" s="1"/>
  <c r="O6" i="8"/>
  <c r="P6" i="8"/>
  <c r="F28" i="4"/>
  <c r="F29" i="4" s="1"/>
  <c r="F17" i="4" s="1"/>
  <c r="D4" i="4" l="1"/>
  <c r="F19" i="4"/>
  <c r="F18" i="4"/>
  <c r="G17" i="4"/>
  <c r="F16" i="4"/>
  <c r="F22" i="4" s="1"/>
  <c r="F24" i="4" s="1"/>
  <c r="G19" i="4" l="1"/>
  <c r="G18" i="4"/>
  <c r="Y34" i="4"/>
  <c r="O40" i="4" s="1"/>
  <c r="O42" i="4" s="1"/>
  <c r="P10" i="8"/>
  <c r="G16" i="4"/>
  <c r="G22" i="4" s="1"/>
  <c r="G24" i="4" s="1"/>
  <c r="H17" i="4"/>
  <c r="H19" i="4" l="1"/>
  <c r="H18" i="4"/>
  <c r="H16" i="4"/>
  <c r="H22" i="4" s="1"/>
  <c r="H24" i="4" s="1"/>
  <c r="I17" i="4"/>
  <c r="D5" i="4" l="1"/>
  <c r="O44" i="4"/>
  <c r="E5" i="4" s="1"/>
  <c r="J15" i="4"/>
  <c r="I18" i="4"/>
  <c r="I19" i="4"/>
  <c r="I16" i="4"/>
  <c r="I22" i="4" s="1"/>
  <c r="I24" i="4" s="1"/>
  <c r="J17" i="4"/>
  <c r="J18" i="4" l="1"/>
  <c r="J16" i="4"/>
  <c r="J22" i="4" s="1"/>
  <c r="J24" i="4" s="1"/>
  <c r="D32" i="4" s="1"/>
  <c r="D33" i="4" s="1"/>
  <c r="D35" i="4" s="1"/>
  <c r="J19" i="4"/>
  <c r="J26" i="4"/>
  <c r="D3" i="4" l="1"/>
  <c r="J28" i="4"/>
  <c r="J29" i="4" s="1"/>
  <c r="E39" i="4" l="1"/>
  <c r="D37" i="4"/>
  <c r="E3" i="4" s="1"/>
  <c r="F6" i="4"/>
  <c r="D3" i="8" s="1"/>
  <c r="D4" i="8"/>
  <c r="F8" i="4" l="1"/>
</calcChain>
</file>

<file path=xl/sharedStrings.xml><?xml version="1.0" encoding="utf-8"?>
<sst xmlns="http://schemas.openxmlformats.org/spreadsheetml/2006/main" count="463" uniqueCount="293">
  <si>
    <t>1Q21</t>
  </si>
  <si>
    <t>2Q21</t>
  </si>
  <si>
    <t>3Q21</t>
  </si>
  <si>
    <t>4Q21</t>
  </si>
  <si>
    <t>1Q22</t>
  </si>
  <si>
    <t>2Q22</t>
  </si>
  <si>
    <t>FY21</t>
  </si>
  <si>
    <t>FY22E</t>
  </si>
  <si>
    <t>FY23E</t>
  </si>
  <si>
    <t>FY24E</t>
  </si>
  <si>
    <t>Full Year</t>
  </si>
  <si>
    <t>2022E</t>
  </si>
  <si>
    <t>2023E</t>
  </si>
  <si>
    <t>2024E</t>
  </si>
  <si>
    <t>4Q22E</t>
  </si>
  <si>
    <t>1Q23E</t>
  </si>
  <si>
    <t>2Q23E</t>
  </si>
  <si>
    <t>3Q23E</t>
  </si>
  <si>
    <t>4Q23E</t>
  </si>
  <si>
    <t>1Q24E</t>
  </si>
  <si>
    <t>2Q24E</t>
  </si>
  <si>
    <t>3Q24E</t>
  </si>
  <si>
    <t>4Q24E</t>
  </si>
  <si>
    <t>Net Interest Income</t>
  </si>
  <si>
    <t>Interest Income</t>
  </si>
  <si>
    <t>Loans, including fees</t>
  </si>
  <si>
    <t>Deposits with other banks and short term investments</t>
  </si>
  <si>
    <t>Investment securities</t>
  </si>
  <si>
    <t>Interest Expense</t>
  </si>
  <si>
    <t>Deposits</t>
  </si>
  <si>
    <t>Federal Home Loan Bank advances</t>
  </si>
  <si>
    <t>Paycheck Protection Program liquidity facility</t>
  </si>
  <si>
    <t>Other borrowings</t>
  </si>
  <si>
    <t>Provision for loan losses</t>
  </si>
  <si>
    <t>Net interest income after provision for loan losses</t>
  </si>
  <si>
    <t>Noninterest Income</t>
  </si>
  <si>
    <t>Service charges on deposits</t>
  </si>
  <si>
    <t>Mortgage fee income</t>
  </si>
  <si>
    <t>Gain on sales of SBA loans</t>
  </si>
  <si>
    <t>Gain (loss) on sales of securities</t>
  </si>
  <si>
    <t>Gain on sales of assets</t>
  </si>
  <si>
    <t>Interchange fees</t>
  </si>
  <si>
    <t>BOLI income</t>
  </si>
  <si>
    <t>Other</t>
  </si>
  <si>
    <t>Noninterest Expense</t>
  </si>
  <si>
    <t>Salaries and employee benefits</t>
  </si>
  <si>
    <t>Occupancy and equipment</t>
  </si>
  <si>
    <t>Acquisition related expenses</t>
  </si>
  <si>
    <t>Information technology expense</t>
  </si>
  <si>
    <t>Professional fees</t>
  </si>
  <si>
    <t>Communications</t>
  </si>
  <si>
    <t>Writedown of building</t>
  </si>
  <si>
    <t>FHLB prepayment penalty</t>
  </si>
  <si>
    <t>Income before income taxes</t>
  </si>
  <si>
    <t>Income taxes</t>
  </si>
  <si>
    <t>Net Income</t>
  </si>
  <si>
    <t>Total Assets</t>
  </si>
  <si>
    <t>Cash and due from banks</t>
  </si>
  <si>
    <t>Fed Funds sold and interest-bearing deposits in banks</t>
  </si>
  <si>
    <t>Cash and cash equivalents</t>
  </si>
  <si>
    <t>Investment securities available for sale, at fair value</t>
  </si>
  <si>
    <t>Other investments</t>
  </si>
  <si>
    <t>Loans held for sale</t>
  </si>
  <si>
    <t>Loans</t>
  </si>
  <si>
    <t>Allowance for loan losses</t>
  </si>
  <si>
    <t>Net loans</t>
  </si>
  <si>
    <t>Premises and equipment</t>
  </si>
  <si>
    <t>Other real estate owned</t>
  </si>
  <si>
    <t>Goodwill</t>
  </si>
  <si>
    <t>Other intangible assets</t>
  </si>
  <si>
    <t>Bank-owened life insurance</t>
  </si>
  <si>
    <t>Deferred income taxes, net</t>
  </si>
  <si>
    <t>Other assets</t>
  </si>
  <si>
    <t>Total Liabilities</t>
  </si>
  <si>
    <t>Noninterest-bearing</t>
  </si>
  <si>
    <t>Interest-bearing</t>
  </si>
  <si>
    <t>Total Deposits</t>
  </si>
  <si>
    <t>Paycheck Protection Program Liquidity Facility</t>
  </si>
  <si>
    <t>Othere borrowed money</t>
  </si>
  <si>
    <t>Other liabilities</t>
  </si>
  <si>
    <t>Preferred stock</t>
  </si>
  <si>
    <t>Common stock</t>
  </si>
  <si>
    <t>Paid-in capital</t>
  </si>
  <si>
    <t>Retained earnings</t>
  </si>
  <si>
    <t>AOCI</t>
  </si>
  <si>
    <t>Total Stockholders' Equity</t>
  </si>
  <si>
    <t>Total Liabilities &amp; Stockholders' Equity</t>
  </si>
  <si>
    <t>Net Interest Margin (NIM)</t>
  </si>
  <si>
    <t>Credit Quality</t>
  </si>
  <si>
    <t>Per Share Data</t>
  </si>
  <si>
    <t>Reported Book Value</t>
  </si>
  <si>
    <t>Tangible Book Value</t>
  </si>
  <si>
    <t>Dividends</t>
  </si>
  <si>
    <t>Advertising and public relations</t>
  </si>
  <si>
    <t>Fed Funds purchased</t>
  </si>
  <si>
    <t>MATCH</t>
  </si>
  <si>
    <t>Earnings Per Share</t>
  </si>
  <si>
    <t>Average Shares O/S (M)</t>
  </si>
  <si>
    <t>FY25E</t>
  </si>
  <si>
    <t>FY26E</t>
  </si>
  <si>
    <t>FY27E</t>
  </si>
  <si>
    <t>Less: Equity Cost</t>
  </si>
  <si>
    <t>Excess Equity Return</t>
  </si>
  <si>
    <t>Terminal</t>
  </si>
  <si>
    <t>Cumulated Cost of Equity</t>
  </si>
  <si>
    <t>Present Value</t>
  </si>
  <si>
    <t>Beginning BV of Equity</t>
  </si>
  <si>
    <t>Cost of Equity</t>
  </si>
  <si>
    <t>COE Assumptions</t>
  </si>
  <si>
    <t>RF Rate (2yr T Bond)</t>
  </si>
  <si>
    <t>Equity Risk Premium</t>
  </si>
  <si>
    <t>CBAN Beta</t>
  </si>
  <si>
    <t>Interest Rate Spread</t>
  </si>
  <si>
    <t>Income Statement ('000)</t>
  </si>
  <si>
    <t>Balance Sheet (M)</t>
  </si>
  <si>
    <t>Business Divisions</t>
  </si>
  <si>
    <t>Bank</t>
  </si>
  <si>
    <t>Provision for Loan Losses</t>
  </si>
  <si>
    <t>Noninterest Expenses</t>
  </si>
  <si>
    <t>Income Taxes</t>
  </si>
  <si>
    <t>Segment Profit</t>
  </si>
  <si>
    <t>Mortgage Banking</t>
  </si>
  <si>
    <t>Small Business Specialty Lending</t>
  </si>
  <si>
    <t>FTEs</t>
  </si>
  <si>
    <t>QoQ Change</t>
  </si>
  <si>
    <t>3Q22E</t>
  </si>
  <si>
    <t>% total</t>
  </si>
  <si>
    <t>Loans Outstanding</t>
  </si>
  <si>
    <t>Construction, land and land development</t>
  </si>
  <si>
    <t>Other commercial real estate</t>
  </si>
  <si>
    <t>Total commercial real estate</t>
  </si>
  <si>
    <t>Residential real estate</t>
  </si>
  <si>
    <t xml:space="preserve">Commercial, financial, and agricultural </t>
  </si>
  <si>
    <t>Consumer and other</t>
  </si>
  <si>
    <t>Total loans</t>
  </si>
  <si>
    <t>% of NII</t>
  </si>
  <si>
    <t>% of Commercial RE, Consumer &amp; Other</t>
  </si>
  <si>
    <t>% of Residential RE</t>
  </si>
  <si>
    <t>% of Commercial, Agricultural, and Financial</t>
  </si>
  <si>
    <t>US GDP (B)</t>
  </si>
  <si>
    <t>% growth</t>
  </si>
  <si>
    <t>Loan Market Sizing</t>
  </si>
  <si>
    <t>* Federal reserve bank of Atlanta - upward trending momentum in office, industrial, and retail spaces</t>
  </si>
  <si>
    <t>https://www.atlantafed.org/center-for-housing-and-policy/data-and-tools/commercial-real-estate-momentum-index</t>
  </si>
  <si>
    <t>Colony Bank Market Share (%)</t>
  </si>
  <si>
    <t>Total Georgia Deposits (B)</t>
  </si>
  <si>
    <t>YoY Growth</t>
  </si>
  <si>
    <t>Colony Bank Implied Deposits</t>
  </si>
  <si>
    <t>Georgia GDP (M)</t>
  </si>
  <si>
    <t>Percentage of US GDP</t>
  </si>
  <si>
    <t>Commercial, financial, and agricultural (C&amp;I)</t>
  </si>
  <si>
    <t>Estimate of US Composition</t>
  </si>
  <si>
    <t>Estimated Georgia Addressable Market (M)</t>
  </si>
  <si>
    <t>% Period over Period Growth</t>
  </si>
  <si>
    <t>Cursory Market Share by Loan Type</t>
  </si>
  <si>
    <t>CAGRs</t>
  </si>
  <si>
    <t>Historical 5yr</t>
  </si>
  <si>
    <t>Forward 5yr</t>
  </si>
  <si>
    <t>Step</t>
  </si>
  <si>
    <t>Function</t>
  </si>
  <si>
    <t>Difference (%)</t>
  </si>
  <si>
    <t>3 yr average of assets?</t>
  </si>
  <si>
    <t>Implied Interest Earning Assets</t>
  </si>
  <si>
    <t>Calculated Interest Earning Assets</t>
  </si>
  <si>
    <t>Yields &amp; Rates</t>
  </si>
  <si>
    <t>Loans, net of unearned fees</t>
  </si>
  <si>
    <t>Deposits in banks and short term investments</t>
  </si>
  <si>
    <t>Total interest earnings assets</t>
  </si>
  <si>
    <t>Add: provision for loan losses</t>
  </si>
  <si>
    <t>Total deposits</t>
  </si>
  <si>
    <t>FHLB advances</t>
  </si>
  <si>
    <t>Total Interest bearing liabilites</t>
  </si>
  <si>
    <t>Calculated average loan yield</t>
  </si>
  <si>
    <t>One year or less</t>
  </si>
  <si>
    <t>Total</t>
  </si>
  <si>
    <t>Construction, land, and land development</t>
  </si>
  <si>
    <t>Commercial, financial, and agricultural</t>
  </si>
  <si>
    <t>Between 1 and 5 yrs</t>
  </si>
  <si>
    <t>Between 5 and 15 yrs</t>
  </si>
  <si>
    <t>After 15 yrs</t>
  </si>
  <si>
    <t>Proportion by Duration</t>
  </si>
  <si>
    <t>Proportion by Loan Type</t>
  </si>
  <si>
    <t>FY 2021 Loans</t>
  </si>
  <si>
    <t>% of Total</t>
  </si>
  <si>
    <t>Many CRE loans are adjustable, while residential are 15-30yr fixed</t>
  </si>
  <si>
    <t>Prime Rate</t>
  </si>
  <si>
    <t>Target Fed Funds Rate</t>
  </si>
  <si>
    <t>Fixed Rate</t>
  </si>
  <si>
    <t>Variable</t>
  </si>
  <si>
    <t>Half of all total commercial real estate loans reprice between 2022 and 2026</t>
  </si>
  <si>
    <t>Rate Sensitivity by Duration</t>
  </si>
  <si>
    <t>Rate Sensitivity</t>
  </si>
  <si>
    <t>Rate Sensitivity by Loan Type</t>
  </si>
  <si>
    <t>% total assets</t>
  </si>
  <si>
    <t>% net loans</t>
  </si>
  <si>
    <t>% of total</t>
  </si>
  <si>
    <t>Loan / Deposit</t>
  </si>
  <si>
    <t>% total net loans</t>
  </si>
  <si>
    <t>% of total deposits</t>
  </si>
  <si>
    <t>% of residential RE loans</t>
  </si>
  <si>
    <t>% of consumer &amp; other loans</t>
  </si>
  <si>
    <t>Number of FTEs</t>
  </si>
  <si>
    <t>Organic FTE growth</t>
  </si>
  <si>
    <t>Pay per FTE</t>
  </si>
  <si>
    <t>Growth rate</t>
  </si>
  <si>
    <t>Per FTE</t>
  </si>
  <si>
    <t>Implied tax rate</t>
  </si>
  <si>
    <t>Dividend Payout Ratio</t>
  </si>
  <si>
    <t>Dividends Paid</t>
  </si>
  <si>
    <t>Retained Earnings</t>
  </si>
  <si>
    <t>Equity Invested</t>
  </si>
  <si>
    <t>PV of Excess Equity Return</t>
  </si>
  <si>
    <t>Value of Equity</t>
  </si>
  <si>
    <t>Number of Shares</t>
  </si>
  <si>
    <t>Value per Share</t>
  </si>
  <si>
    <t>Excess Equity Model</t>
  </si>
  <si>
    <t>Modeled Income Statement</t>
  </si>
  <si>
    <t>Current price</t>
  </si>
  <si>
    <t>Upside</t>
  </si>
  <si>
    <t>&amp; LT ROE Expectation</t>
  </si>
  <si>
    <t>Fiscal Year &amp; Interim Earnings Model</t>
  </si>
  <si>
    <t>Bear</t>
  </si>
  <si>
    <t>Bull</t>
  </si>
  <si>
    <t>Toggle</t>
  </si>
  <si>
    <t>Base</t>
  </si>
  <si>
    <t>Beta:</t>
  </si>
  <si>
    <t>FY: Dec</t>
  </si>
  <si>
    <t>2021A</t>
  </si>
  <si>
    <t>52WK H-L ($):</t>
  </si>
  <si>
    <t>Market Cap (Mil):</t>
  </si>
  <si>
    <t>Insider Holding (%):</t>
  </si>
  <si>
    <t>Avg. Daily Vol (3M):</t>
  </si>
  <si>
    <t>Short Interest (%):</t>
  </si>
  <si>
    <t>Yield (%):</t>
  </si>
  <si>
    <t>($USD '000)</t>
  </si>
  <si>
    <t>Price (10/7/22) ($):</t>
  </si>
  <si>
    <t>ROA:</t>
  </si>
  <si>
    <t>ROE:</t>
  </si>
  <si>
    <t>Net Interest Margin (%)</t>
  </si>
  <si>
    <t>EPS:</t>
  </si>
  <si>
    <t>P/E</t>
  </si>
  <si>
    <t>P/B</t>
  </si>
  <si>
    <t xml:space="preserve">  Growth (%)</t>
  </si>
  <si>
    <t>$12.89 - 19.42</t>
  </si>
  <si>
    <t>COE (%):</t>
  </si>
  <si>
    <t>Loans/Deposits:</t>
  </si>
  <si>
    <t>CT1 Capital Ratio:</t>
  </si>
  <si>
    <t>NPL/Total Loans:</t>
  </si>
  <si>
    <t>M-Term Net Int Gr Rate Est:</t>
  </si>
  <si>
    <t>M-Term EPS Gr Rate Est:</t>
  </si>
  <si>
    <t>Current Price</t>
  </si>
  <si>
    <t>Modeled NTM EPS</t>
  </si>
  <si>
    <t>Concensus EPS</t>
  </si>
  <si>
    <t>Modeled EPS</t>
  </si>
  <si>
    <t>Market Implied NTM Multiple</t>
  </si>
  <si>
    <t>Concensus NTM EPS</t>
  </si>
  <si>
    <t>Price Estimate</t>
  </si>
  <si>
    <t>Per share</t>
  </si>
  <si>
    <t>COE yr1</t>
  </si>
  <si>
    <t>One-year Price Target</t>
  </si>
  <si>
    <t>Concensus P/B</t>
  </si>
  <si>
    <t>Market Implied NTM P/B</t>
  </si>
  <si>
    <t>Modeled P/B</t>
  </si>
  <si>
    <t>Market Implied NTM P/B Multiple</t>
  </si>
  <si>
    <t>Consensus NTM P/B</t>
  </si>
  <si>
    <t>Step COE</t>
  </si>
  <si>
    <t>S&amp;P500 Price</t>
  </si>
  <si>
    <t>-</t>
  </si>
  <si>
    <t>ROE</t>
  </si>
  <si>
    <t>Weighted Average Valuation</t>
  </si>
  <si>
    <t>Value</t>
  </si>
  <si>
    <t>Weight</t>
  </si>
  <si>
    <t>One-Year Forward P/E</t>
  </si>
  <si>
    <t>One-Year Forward P/B</t>
  </si>
  <si>
    <t>Price Target</t>
  </si>
  <si>
    <t>Market Implied NTM P/E Multiple</t>
  </si>
  <si>
    <t>S&amp;P500 NTM BV / Share</t>
  </si>
  <si>
    <t>S&amp;P500 NTM EPS</t>
  </si>
  <si>
    <t>CBAN NTM P/E Discount to Market</t>
  </si>
  <si>
    <t>CBAN NTM P/B Discount to Market</t>
  </si>
  <si>
    <t>One-Year Relative P/E to Market</t>
  </si>
  <si>
    <t>One-Year Relative P/B to Market</t>
  </si>
  <si>
    <t>Historical Median Discount to Market</t>
  </si>
  <si>
    <t>Date</t>
  </si>
  <si>
    <t>CBAN Close</t>
  </si>
  <si>
    <t>RUT Close</t>
  </si>
  <si>
    <t>Weekly Return</t>
  </si>
  <si>
    <t>3-Yr Beta</t>
  </si>
  <si>
    <t>1-Yr Price Target ($):</t>
  </si>
  <si>
    <t>LT Price Target ($):</t>
  </si>
  <si>
    <t>Modeled NTM BVPS</t>
  </si>
  <si>
    <t>Bank Efficiency Ratio</t>
  </si>
  <si>
    <t>Payout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</si>
</sst>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#,##0.0_);\(#,##0.0\)"/>
    <numFmt numFmtId="166" formatCode="#,##0.0%_);\(#,##0.0%\)"/>
    <numFmt numFmtId="167" formatCode="#,##0.00%_);\(#,##0.00%\)"/>
    <numFmt numFmtId="168" formatCode="#,##0.000_);\(#,##0.000\)"/>
    <numFmt numFmtId="169" formatCode="#,##0.000%_);\(#,##0.000%\)"/>
    <numFmt numFmtId="170" formatCode="0.0%"/>
    <numFmt numFmtId="171" formatCode="#,##0.0000%_);\(#,##0.0000%\)"/>
    <numFmt numFmtId="172" formatCode="&quot;Correlation w/ net loan growth:&quot;\ #.##%"/>
    <numFmt numFmtId="173" formatCode="#,##0.0\x"/>
    <numFmt numFmtId="174" formatCode="&quot;$&quot;#,##0"/>
    <numFmt numFmtId="175" formatCode="&quot;$&quot;#,##0.00"/>
    <numFmt numFmtId="176" formatCode="#,##0.00\x"/>
    <numFmt numFmtId="177" formatCode="_(* #,##0.0_);_(* \(#,##0.0\);_(* &quot;-&quot;??_);_(@_)"/>
  </numFmts>
  <fonts count="3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0"/>
      <name val="Times New Roman"/>
      <family val="1"/>
    </font>
    <font>
      <b/>
      <sz val="10"/>
      <color theme="0" tint="-4.9989318521683403E-2"/>
      <name val="Times New Roman"/>
      <family val="1"/>
    </font>
    <font>
      <sz val="10"/>
      <color theme="1"/>
      <name val="Arial"/>
      <family val="2"/>
    </font>
    <font>
      <b/>
      <sz val="10"/>
      <color rgb="FFFFFFFF"/>
      <name val="Times New Roman"/>
      <family val="1"/>
    </font>
    <font>
      <sz val="10"/>
      <color rgb="FF0000FF"/>
      <name val="Times New Roman"/>
      <family val="1"/>
    </font>
    <font>
      <sz val="10"/>
      <color rgb="FF008000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  <font>
      <u/>
      <sz val="10"/>
      <color rgb="FF0000FF"/>
      <name val="Arial"/>
      <family val="2"/>
    </font>
    <font>
      <i/>
      <sz val="10"/>
      <color theme="1"/>
      <name val="Times New Roman"/>
      <family val="1"/>
    </font>
    <font>
      <i/>
      <sz val="10"/>
      <color rgb="FF0000FF"/>
      <name val="Times New Roman"/>
      <family val="1"/>
    </font>
    <font>
      <i/>
      <sz val="10"/>
      <name val="Times New Roman"/>
      <family val="1"/>
    </font>
    <font>
      <i/>
      <sz val="10"/>
      <color rgb="FF008000"/>
      <name val="Times New Roman"/>
      <family val="1"/>
    </font>
    <font>
      <u/>
      <sz val="10"/>
      <color rgb="FF0000FF"/>
      <name val="Times New Roman"/>
      <family val="1"/>
    </font>
    <font>
      <b/>
      <sz val="10"/>
      <color rgb="FFFF0000"/>
      <name val="Times New Roman"/>
      <family val="1"/>
    </font>
    <font>
      <i/>
      <sz val="10"/>
      <color rgb="FFFF000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8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FF0000"/>
      <name val="Times New Roman"/>
      <family val="1"/>
    </font>
    <font>
      <i/>
      <sz val="12"/>
      <color rgb="FF000000"/>
      <name val="Times New Roman"/>
      <family val="1"/>
    </font>
    <font>
      <i/>
      <sz val="12"/>
      <name val="Times New Roman"/>
      <family val="1"/>
    </font>
    <font>
      <b/>
      <i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5" fillId="0" borderId="0"/>
    <xf numFmtId="0" fontId="11" fillId="0" borderId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43" fontId="5" fillId="0" borderId="0" applyFont="0" applyFill="0" applyBorder="0" applyAlignment="0" applyProtection="0"/>
    <xf numFmtId="9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54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vertical="top"/>
    </xf>
    <xf numFmtId="0" fontId="1" fillId="2" borderId="0" xfId="0" applyFont="1" applyFill="1"/>
    <xf numFmtId="0" fontId="4" fillId="2" borderId="0" xfId="0" applyFont="1" applyFill="1"/>
    <xf numFmtId="0" fontId="1" fillId="0" borderId="0" xfId="0" applyFont="1" applyAlignment="1">
      <alignment horizontal="left" indent="1"/>
    </xf>
    <xf numFmtId="0" fontId="3" fillId="2" borderId="0" xfId="0" applyFont="1" applyFill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3"/>
    </xf>
    <xf numFmtId="0" fontId="2" fillId="0" borderId="0" xfId="0" applyFont="1" applyAlignment="1">
      <alignment horizontal="left" indent="1"/>
    </xf>
    <xf numFmtId="3" fontId="1" fillId="0" borderId="0" xfId="0" applyNumberFormat="1" applyFont="1"/>
    <xf numFmtId="3" fontId="2" fillId="0" borderId="1" xfId="0" applyNumberFormat="1" applyFont="1" applyBorder="1"/>
    <xf numFmtId="37" fontId="1" fillId="0" borderId="0" xfId="0" applyNumberFormat="1" applyFont="1"/>
    <xf numFmtId="37" fontId="2" fillId="0" borderId="1" xfId="0" applyNumberFormat="1" applyFont="1" applyBorder="1"/>
    <xf numFmtId="0" fontId="2" fillId="0" borderId="0" xfId="0" applyFont="1" applyAlignment="1">
      <alignment horizontal="left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1" fillId="2" borderId="6" xfId="0" applyFont="1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11" xfId="0" applyFont="1" applyBorder="1"/>
    <xf numFmtId="37" fontId="1" fillId="0" borderId="6" xfId="0" applyNumberFormat="1" applyFont="1" applyBorder="1"/>
    <xf numFmtId="37" fontId="2" fillId="0" borderId="6" xfId="0" applyNumberFormat="1" applyFont="1" applyBorder="1"/>
    <xf numFmtId="0" fontId="2" fillId="0" borderId="6" xfId="0" applyFont="1" applyBorder="1" applyAlignment="1">
      <alignment horizontal="right"/>
    </xf>
    <xf numFmtId="166" fontId="1" fillId="0" borderId="0" xfId="0" applyNumberFormat="1" applyFont="1"/>
    <xf numFmtId="39" fontId="1" fillId="0" borderId="6" xfId="0" applyNumberFormat="1" applyFont="1" applyBorder="1"/>
    <xf numFmtId="37" fontId="2" fillId="0" borderId="10" xfId="0" applyNumberFormat="1" applyFont="1" applyBorder="1"/>
    <xf numFmtId="0" fontId="6" fillId="2" borderId="0" xfId="0" applyFont="1" applyFill="1" applyAlignment="1">
      <alignment horizontal="centerContinuous"/>
    </xf>
    <xf numFmtId="10" fontId="1" fillId="0" borderId="0" xfId="0" applyNumberFormat="1" applyFont="1"/>
    <xf numFmtId="168" fontId="1" fillId="0" borderId="0" xfId="0" applyNumberFormat="1" applyFont="1"/>
    <xf numFmtId="0" fontId="2" fillId="0" borderId="0" xfId="0" applyFont="1" applyBorder="1"/>
    <xf numFmtId="37" fontId="1" fillId="0" borderId="0" xfId="0" applyNumberFormat="1" applyFont="1" applyBorder="1"/>
    <xf numFmtId="37" fontId="1" fillId="0" borderId="1" xfId="0" applyNumberFormat="1" applyFont="1" applyBorder="1"/>
    <xf numFmtId="0" fontId="1" fillId="0" borderId="10" xfId="0" applyFont="1" applyBorder="1"/>
    <xf numFmtId="0" fontId="12" fillId="0" borderId="0" xfId="0" applyFont="1" applyAlignment="1">
      <alignment horizontal="left" indent="2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left" indent="3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2" borderId="6" xfId="0" applyFont="1" applyFill="1" applyBorder="1"/>
    <xf numFmtId="0" fontId="4" fillId="2" borderId="0" xfId="0" applyFont="1" applyFill="1" applyBorder="1"/>
    <xf numFmtId="0" fontId="4" fillId="2" borderId="7" xfId="0" applyFont="1" applyFill="1" applyBorder="1"/>
    <xf numFmtId="0" fontId="12" fillId="0" borderId="6" xfId="0" applyFont="1" applyBorder="1" applyAlignment="1">
      <alignment horizontal="left" indent="1"/>
    </xf>
    <xf numFmtId="0" fontId="1" fillId="0" borderId="6" xfId="0" applyFont="1" applyBorder="1" applyAlignment="1">
      <alignment horizontal="left" indent="1"/>
    </xf>
    <xf numFmtId="0" fontId="1" fillId="0" borderId="0" xfId="0" applyFont="1" applyBorder="1" applyAlignment="1">
      <alignment horizontal="left" indent="1"/>
    </xf>
    <xf numFmtId="0" fontId="1" fillId="0" borderId="7" xfId="0" applyFont="1" applyBorder="1" applyAlignment="1">
      <alignment horizontal="left" indent="1"/>
    </xf>
    <xf numFmtId="0" fontId="12" fillId="0" borderId="6" xfId="0" applyFont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12" fillId="0" borderId="7" xfId="0" applyFont="1" applyBorder="1" applyAlignment="1">
      <alignment horizontal="left" indent="2"/>
    </xf>
    <xf numFmtId="0" fontId="1" fillId="0" borderId="6" xfId="0" applyFont="1" applyBorder="1" applyAlignment="1">
      <alignment horizontal="left" indent="2"/>
    </xf>
    <xf numFmtId="0" fontId="1" fillId="0" borderId="0" xfId="0" applyFont="1" applyBorder="1" applyAlignment="1">
      <alignment horizontal="left" indent="2"/>
    </xf>
    <xf numFmtId="0" fontId="1" fillId="0" borderId="7" xfId="0" applyFont="1" applyBorder="1" applyAlignment="1">
      <alignment horizontal="left" indent="2"/>
    </xf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0" borderId="7" xfId="0" applyFont="1" applyBorder="1" applyAlignment="1">
      <alignment horizontal="left" indent="1"/>
    </xf>
    <xf numFmtId="0" fontId="2" fillId="0" borderId="10" xfId="0" applyFont="1" applyBorder="1"/>
    <xf numFmtId="0" fontId="2" fillId="0" borderId="11" xfId="0" applyFont="1" applyBorder="1"/>
    <xf numFmtId="0" fontId="3" fillId="2" borderId="6" xfId="0" applyFont="1" applyFill="1" applyBorder="1"/>
    <xf numFmtId="0" fontId="3" fillId="2" borderId="0" xfId="0" applyFont="1" applyFill="1" applyBorder="1"/>
    <xf numFmtId="0" fontId="3" fillId="2" borderId="7" xfId="0" applyFont="1" applyFill="1" applyBorder="1"/>
    <xf numFmtId="37" fontId="1" fillId="0" borderId="7" xfId="0" applyNumberFormat="1" applyFont="1" applyBorder="1"/>
    <xf numFmtId="37" fontId="7" fillId="0" borderId="6" xfId="0" applyNumberFormat="1" applyFont="1" applyBorder="1"/>
    <xf numFmtId="37" fontId="7" fillId="0" borderId="0" xfId="0" applyNumberFormat="1" applyFont="1" applyBorder="1"/>
    <xf numFmtId="37" fontId="7" fillId="0" borderId="7" xfId="0" applyNumberFormat="1" applyFont="1" applyBorder="1"/>
    <xf numFmtId="166" fontId="1" fillId="0" borderId="0" xfId="0" applyNumberFormat="1" applyFont="1" applyBorder="1"/>
    <xf numFmtId="166" fontId="1" fillId="0" borderId="6" xfId="0" applyNumberFormat="1" applyFont="1" applyBorder="1"/>
    <xf numFmtId="0" fontId="12" fillId="0" borderId="6" xfId="0" applyFont="1" applyBorder="1"/>
    <xf numFmtId="166" fontId="12" fillId="0" borderId="0" xfId="0" applyNumberFormat="1" applyFont="1" applyBorder="1"/>
    <xf numFmtId="166" fontId="12" fillId="0" borderId="6" xfId="0" applyNumberFormat="1" applyFont="1" applyBorder="1"/>
    <xf numFmtId="37" fontId="2" fillId="0" borderId="0" xfId="0" applyNumberFormat="1" applyFont="1" applyBorder="1"/>
    <xf numFmtId="37" fontId="2" fillId="0" borderId="7" xfId="0" applyNumberFormat="1" applyFont="1" applyBorder="1"/>
    <xf numFmtId="39" fontId="7" fillId="0" borderId="6" xfId="0" applyNumberFormat="1" applyFont="1" applyBorder="1" applyAlignment="1"/>
    <xf numFmtId="39" fontId="7" fillId="0" borderId="0" xfId="0" applyNumberFormat="1" applyFont="1" applyBorder="1" applyAlignment="1"/>
    <xf numFmtId="39" fontId="7" fillId="0" borderId="7" xfId="0" applyNumberFormat="1" applyFont="1" applyBorder="1" applyAlignment="1"/>
    <xf numFmtId="37" fontId="1" fillId="0" borderId="6" xfId="0" applyNumberFormat="1" applyFont="1" applyBorder="1" applyAlignment="1"/>
    <xf numFmtId="37" fontId="7" fillId="0" borderId="6" xfId="0" applyNumberFormat="1" applyFont="1" applyBorder="1" applyAlignment="1"/>
    <xf numFmtId="37" fontId="7" fillId="0" borderId="0" xfId="0" applyNumberFormat="1" applyFont="1" applyBorder="1" applyAlignment="1"/>
    <xf numFmtId="37" fontId="7" fillId="0" borderId="7" xfId="0" applyNumberFormat="1" applyFont="1" applyBorder="1" applyAlignment="1"/>
    <xf numFmtId="37" fontId="2" fillId="0" borderId="0" xfId="0" applyNumberFormat="1" applyFont="1" applyBorder="1" applyAlignment="1">
      <alignment horizontal="right"/>
    </xf>
    <xf numFmtId="37" fontId="2" fillId="0" borderId="7" xfId="0" applyNumberFormat="1" applyFont="1" applyBorder="1" applyAlignment="1">
      <alignment horizontal="right"/>
    </xf>
    <xf numFmtId="37" fontId="2" fillId="0" borderId="1" xfId="0" applyNumberFormat="1" applyFont="1" applyBorder="1" applyAlignment="1">
      <alignment horizontal="right"/>
    </xf>
    <xf numFmtId="37" fontId="2" fillId="0" borderId="11" xfId="0" applyNumberFormat="1" applyFont="1" applyBorder="1" applyAlignment="1">
      <alignment horizontal="right"/>
    </xf>
    <xf numFmtId="37" fontId="7" fillId="0" borderId="0" xfId="0" applyNumberFormat="1" applyFont="1" applyBorder="1" applyAlignment="1">
      <alignment horizontal="right"/>
    </xf>
    <xf numFmtId="37" fontId="7" fillId="0" borderId="7" xfId="0" applyNumberFormat="1" applyFont="1" applyBorder="1" applyAlignment="1">
      <alignment horizontal="right"/>
    </xf>
    <xf numFmtId="37" fontId="2" fillId="0" borderId="0" xfId="0" applyNumberFormat="1" applyFont="1" applyBorder="1" applyAlignment="1"/>
    <xf numFmtId="37" fontId="2" fillId="0" borderId="7" xfId="0" applyNumberFormat="1" applyFont="1" applyBorder="1" applyAlignment="1"/>
    <xf numFmtId="37" fontId="2" fillId="0" borderId="1" xfId="0" applyNumberFormat="1" applyFont="1" applyBorder="1" applyAlignment="1"/>
    <xf numFmtId="37" fontId="2" fillId="0" borderId="11" xfId="0" applyNumberFormat="1" applyFont="1" applyBorder="1" applyAlignment="1"/>
    <xf numFmtId="0" fontId="1" fillId="0" borderId="0" xfId="0" applyFont="1" applyBorder="1" applyAlignment="1"/>
    <xf numFmtId="0" fontId="1" fillId="0" borderId="7" xfId="0" applyFont="1" applyBorder="1" applyAlignment="1"/>
    <xf numFmtId="3" fontId="2" fillId="0" borderId="1" xfId="0" applyNumberFormat="1" applyFont="1" applyBorder="1" applyAlignment="1"/>
    <xf numFmtId="39" fontId="2" fillId="0" borderId="1" xfId="0" applyNumberFormat="1" applyFont="1" applyBorder="1" applyAlignment="1"/>
    <xf numFmtId="39" fontId="2" fillId="0" borderId="11" xfId="0" applyNumberFormat="1" applyFont="1" applyBorder="1" applyAlignment="1"/>
    <xf numFmtId="2" fontId="2" fillId="0" borderId="1" xfId="0" applyNumberFormat="1" applyFont="1" applyBorder="1" applyAlignment="1"/>
    <xf numFmtId="37" fontId="2" fillId="0" borderId="10" xfId="0" applyNumberFormat="1" applyFont="1" applyBorder="1" applyAlignment="1">
      <alignment horizontal="right"/>
    </xf>
    <xf numFmtId="37" fontId="7" fillId="0" borderId="6" xfId="0" applyNumberFormat="1" applyFont="1" applyBorder="1" applyAlignment="1">
      <alignment horizontal="right"/>
    </xf>
    <xf numFmtId="37" fontId="2" fillId="0" borderId="6" xfId="0" applyNumberFormat="1" applyFont="1" applyBorder="1" applyAlignment="1">
      <alignment horizontal="right"/>
    </xf>
    <xf numFmtId="3" fontId="2" fillId="0" borderId="6" xfId="0" applyNumberFormat="1" applyFont="1" applyBorder="1" applyAlignment="1"/>
    <xf numFmtId="3" fontId="7" fillId="0" borderId="6" xfId="0" applyNumberFormat="1" applyFont="1" applyBorder="1" applyAlignment="1"/>
    <xf numFmtId="0" fontId="1" fillId="0" borderId="6" xfId="0" applyFont="1" applyBorder="1" applyAlignment="1"/>
    <xf numFmtId="3" fontId="2" fillId="0" borderId="10" xfId="0" applyNumberFormat="1" applyFont="1" applyBorder="1" applyAlignment="1"/>
    <xf numFmtId="0" fontId="7" fillId="0" borderId="6" xfId="0" applyFont="1" applyBorder="1" applyAlignment="1"/>
    <xf numFmtId="0" fontId="2" fillId="0" borderId="6" xfId="0" applyFont="1" applyBorder="1" applyAlignment="1"/>
    <xf numFmtId="37" fontId="2" fillId="0" borderId="10" xfId="0" applyNumberFormat="1" applyFont="1" applyBorder="1" applyAlignment="1"/>
    <xf numFmtId="37" fontId="2" fillId="0" borderId="6" xfId="0" applyNumberFormat="1" applyFont="1" applyBorder="1" applyAlignment="1"/>
    <xf numFmtId="39" fontId="2" fillId="0" borderId="10" xfId="0" applyNumberFormat="1" applyFont="1" applyBorder="1" applyAlignment="1"/>
    <xf numFmtId="2" fontId="7" fillId="0" borderId="6" xfId="0" applyNumberFormat="1" applyFont="1" applyBorder="1"/>
    <xf numFmtId="2" fontId="7" fillId="0" borderId="0" xfId="0" applyNumberFormat="1" applyFont="1" applyBorder="1"/>
    <xf numFmtId="2" fontId="7" fillId="0" borderId="7" xfId="0" applyNumberFormat="1" applyFont="1" applyBorder="1"/>
    <xf numFmtId="39" fontId="7" fillId="0" borderId="6" xfId="0" applyNumberFormat="1" applyFont="1" applyBorder="1"/>
    <xf numFmtId="39" fontId="7" fillId="0" borderId="0" xfId="0" applyNumberFormat="1" applyFont="1" applyBorder="1"/>
    <xf numFmtId="39" fontId="7" fillId="0" borderId="7" xfId="0" applyNumberFormat="1" applyFont="1" applyBorder="1"/>
    <xf numFmtId="166" fontId="1" fillId="0" borderId="7" xfId="0" applyNumberFormat="1" applyFont="1" applyBorder="1"/>
    <xf numFmtId="167" fontId="7" fillId="0" borderId="6" xfId="0" applyNumberFormat="1" applyFont="1" applyBorder="1"/>
    <xf numFmtId="167" fontId="7" fillId="0" borderId="0" xfId="0" applyNumberFormat="1" applyFont="1" applyBorder="1"/>
    <xf numFmtId="167" fontId="7" fillId="0" borderId="7" xfId="0" applyNumberFormat="1" applyFont="1" applyBorder="1"/>
    <xf numFmtId="37" fontId="9" fillId="0" borderId="0" xfId="0" applyNumberFormat="1" applyFont="1" applyBorder="1"/>
    <xf numFmtId="166" fontId="12" fillId="0" borderId="7" xfId="0" applyNumberFormat="1" applyFont="1" applyBorder="1"/>
    <xf numFmtId="167" fontId="7" fillId="0" borderId="1" xfId="0" applyNumberFormat="1" applyFont="1" applyBorder="1"/>
    <xf numFmtId="167" fontId="8" fillId="0" borderId="1" xfId="0" applyNumberFormat="1" applyFont="1" applyBorder="1"/>
    <xf numFmtId="0" fontId="1" fillId="0" borderId="0" xfId="0" applyFont="1" applyAlignment="1">
      <alignment horizontal="left"/>
    </xf>
    <xf numFmtId="167" fontId="13" fillId="0" borderId="7" xfId="0" applyNumberFormat="1" applyFont="1" applyBorder="1"/>
    <xf numFmtId="37" fontId="12" fillId="0" borderId="7" xfId="0" applyNumberFormat="1" applyFont="1" applyBorder="1"/>
    <xf numFmtId="37" fontId="12" fillId="0" borderId="0" xfId="0" applyNumberFormat="1" applyFont="1" applyBorder="1"/>
    <xf numFmtId="169" fontId="12" fillId="0" borderId="0" xfId="0" applyNumberFormat="1" applyFont="1" applyBorder="1"/>
    <xf numFmtId="169" fontId="12" fillId="0" borderId="7" xfId="0" applyNumberFormat="1" applyFont="1" applyBorder="1"/>
    <xf numFmtId="167" fontId="13" fillId="0" borderId="0" xfId="0" applyNumberFormat="1" applyFont="1" applyBorder="1"/>
    <xf numFmtId="37" fontId="10" fillId="0" borderId="6" xfId="0" applyNumberFormat="1" applyFont="1" applyBorder="1"/>
    <xf numFmtId="37" fontId="14" fillId="0" borderId="0" xfId="0" applyNumberFormat="1" applyFont="1" applyBorder="1"/>
    <xf numFmtId="37" fontId="14" fillId="0" borderId="7" xfId="0" applyNumberFormat="1" applyFont="1" applyBorder="1"/>
    <xf numFmtId="37" fontId="12" fillId="0" borderId="6" xfId="0" applyNumberFormat="1" applyFont="1" applyBorder="1"/>
    <xf numFmtId="167" fontId="13" fillId="0" borderId="6" xfId="0" applyNumberFormat="1" applyFont="1" applyBorder="1"/>
    <xf numFmtId="37" fontId="10" fillId="0" borderId="0" xfId="0" applyNumberFormat="1" applyFont="1" applyBorder="1"/>
    <xf numFmtId="0" fontId="1" fillId="0" borderId="6" xfId="0" applyNumberFormat="1" applyFont="1" applyBorder="1"/>
    <xf numFmtId="0" fontId="16" fillId="0" borderId="0" xfId="2" applyFont="1"/>
    <xf numFmtId="166" fontId="9" fillId="0" borderId="0" xfId="0" applyNumberFormat="1" applyFont="1" applyBorder="1"/>
    <xf numFmtId="169" fontId="12" fillId="0" borderId="6" xfId="0" applyNumberFormat="1" applyFont="1" applyBorder="1"/>
    <xf numFmtId="166" fontId="10" fillId="0" borderId="0" xfId="0" applyNumberFormat="1" applyFont="1" applyFill="1" applyBorder="1"/>
    <xf numFmtId="166" fontId="9" fillId="0" borderId="7" xfId="0" applyNumberFormat="1" applyFont="1" applyBorder="1"/>
    <xf numFmtId="167" fontId="1" fillId="0" borderId="0" xfId="0" applyNumberFormat="1" applyFont="1" applyBorder="1"/>
    <xf numFmtId="167" fontId="1" fillId="0" borderId="7" xfId="0" applyNumberFormat="1" applyFont="1" applyBorder="1"/>
    <xf numFmtId="167" fontId="10" fillId="0" borderId="0" xfId="0" applyNumberFormat="1" applyFont="1" applyBorder="1"/>
    <xf numFmtId="167" fontId="10" fillId="0" borderId="7" xfId="0" applyNumberFormat="1" applyFont="1" applyBorder="1"/>
    <xf numFmtId="170" fontId="1" fillId="0" borderId="0" xfId="0" applyNumberFormat="1" applyFont="1" applyBorder="1"/>
    <xf numFmtId="37" fontId="12" fillId="0" borderId="6" xfId="0" applyNumberFormat="1" applyFont="1" applyBorder="1" applyAlignment="1">
      <alignment horizontal="right"/>
    </xf>
    <xf numFmtId="167" fontId="12" fillId="0" borderId="0" xfId="0" applyNumberFormat="1" applyFont="1" applyBorder="1" applyAlignment="1"/>
    <xf numFmtId="166" fontId="12" fillId="0" borderId="6" xfId="0" applyNumberFormat="1" applyFont="1" applyBorder="1" applyAlignment="1">
      <alignment horizontal="right"/>
    </xf>
    <xf numFmtId="166" fontId="12" fillId="0" borderId="0" xfId="0" applyNumberFormat="1" applyFont="1" applyBorder="1" applyAlignment="1">
      <alignment horizontal="right"/>
    </xf>
    <xf numFmtId="166" fontId="12" fillId="0" borderId="0" xfId="0" applyNumberFormat="1" applyFont="1" applyBorder="1" applyAlignment="1"/>
    <xf numFmtId="166" fontId="12" fillId="0" borderId="7" xfId="0" applyNumberFormat="1" applyFont="1" applyBorder="1" applyAlignment="1"/>
    <xf numFmtId="166" fontId="12" fillId="0" borderId="7" xfId="0" applyNumberFormat="1" applyFont="1" applyBorder="1" applyAlignment="1">
      <alignment horizontal="right"/>
    </xf>
    <xf numFmtId="167" fontId="1" fillId="0" borderId="6" xfId="0" applyNumberFormat="1" applyFont="1" applyBorder="1"/>
    <xf numFmtId="0" fontId="1" fillId="4" borderId="0" xfId="0" applyFont="1" applyFill="1" applyBorder="1"/>
    <xf numFmtId="0" fontId="1" fillId="4" borderId="7" xfId="0" applyFont="1" applyFill="1" applyBorder="1"/>
    <xf numFmtId="37" fontId="1" fillId="2" borderId="6" xfId="0" applyNumberFormat="1" applyFont="1" applyFill="1" applyBorder="1"/>
    <xf numFmtId="167" fontId="12" fillId="0" borderId="0" xfId="0" applyNumberFormat="1" applyFont="1" applyBorder="1"/>
    <xf numFmtId="171" fontId="12" fillId="0" borderId="0" xfId="0" applyNumberFormat="1" applyFont="1" applyBorder="1"/>
    <xf numFmtId="167" fontId="12" fillId="0" borderId="7" xfId="0" applyNumberFormat="1" applyFont="1" applyBorder="1"/>
    <xf numFmtId="37" fontId="8" fillId="0" borderId="0" xfId="0" applyNumberFormat="1" applyFont="1" applyBorder="1"/>
    <xf numFmtId="37" fontId="8" fillId="0" borderId="7" xfId="0" applyNumberFormat="1" applyFont="1" applyBorder="1"/>
    <xf numFmtId="39" fontId="8" fillId="0" borderId="0" xfId="0" applyNumberFormat="1" applyFont="1" applyBorder="1" applyAlignment="1"/>
    <xf numFmtId="39" fontId="8" fillId="0" borderId="7" xfId="0" applyNumberFormat="1" applyFont="1" applyBorder="1" applyAlignment="1"/>
    <xf numFmtId="39" fontId="8" fillId="0" borderId="6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7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37" fontId="1" fillId="0" borderId="0" xfId="0" applyNumberFormat="1" applyFont="1" applyBorder="1" applyAlignment="1">
      <alignment horizontal="right"/>
    </xf>
    <xf numFmtId="37" fontId="1" fillId="0" borderId="7" xfId="0" applyNumberFormat="1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9" fillId="0" borderId="7" xfId="0" applyFont="1" applyBorder="1" applyAlignment="1">
      <alignment horizontal="right"/>
    </xf>
    <xf numFmtId="37" fontId="9" fillId="0" borderId="0" xfId="0" applyNumberFormat="1" applyFont="1" applyBorder="1" applyAlignment="1">
      <alignment horizontal="right"/>
    </xf>
    <xf numFmtId="37" fontId="9" fillId="0" borderId="7" xfId="0" applyNumberFormat="1" applyFont="1" applyBorder="1" applyAlignment="1">
      <alignment horizontal="right"/>
    </xf>
    <xf numFmtId="0" fontId="9" fillId="0" borderId="0" xfId="0" applyFont="1" applyBorder="1"/>
    <xf numFmtId="0" fontId="9" fillId="0" borderId="7" xfId="0" applyFont="1" applyBorder="1"/>
    <xf numFmtId="0" fontId="1" fillId="0" borderId="1" xfId="0" applyFont="1" applyBorder="1" applyAlignment="1">
      <alignment horizontal="left"/>
    </xf>
    <xf numFmtId="37" fontId="12" fillId="0" borderId="10" xfId="0" applyNumberFormat="1" applyFont="1" applyBorder="1"/>
    <xf numFmtId="167" fontId="12" fillId="0" borderId="1" xfId="0" applyNumberFormat="1" applyFont="1" applyBorder="1"/>
    <xf numFmtId="167" fontId="12" fillId="0" borderId="11" xfId="0" applyNumberFormat="1" applyFont="1" applyBorder="1"/>
    <xf numFmtId="167" fontId="1" fillId="0" borderId="1" xfId="0" applyNumberFormat="1" applyFont="1" applyBorder="1"/>
    <xf numFmtId="167" fontId="1" fillId="0" borderId="10" xfId="0" applyNumberFormat="1" applyFont="1" applyBorder="1"/>
    <xf numFmtId="167" fontId="8" fillId="0" borderId="6" xfId="0" applyNumberFormat="1" applyFont="1" applyBorder="1" applyAlignment="1"/>
    <xf numFmtId="167" fontId="8" fillId="0" borderId="0" xfId="0" applyNumberFormat="1" applyFont="1" applyBorder="1" applyAlignment="1"/>
    <xf numFmtId="167" fontId="8" fillId="0" borderId="7" xfId="0" applyNumberFormat="1" applyFont="1" applyBorder="1" applyAlignment="1"/>
    <xf numFmtId="167" fontId="8" fillId="0" borderId="6" xfId="0" applyNumberFormat="1" applyFont="1" applyBorder="1"/>
    <xf numFmtId="167" fontId="15" fillId="0" borderId="6" xfId="0" applyNumberFormat="1" applyFont="1" applyBorder="1" applyAlignment="1"/>
    <xf numFmtId="167" fontId="15" fillId="0" borderId="0" xfId="0" applyNumberFormat="1" applyFont="1" applyBorder="1" applyAlignment="1"/>
    <xf numFmtId="167" fontId="15" fillId="0" borderId="7" xfId="0" applyNumberFormat="1" applyFont="1" applyBorder="1" applyAlignment="1"/>
    <xf numFmtId="167" fontId="15" fillId="0" borderId="6" xfId="0" applyNumberFormat="1" applyFont="1" applyBorder="1"/>
    <xf numFmtId="165" fontId="1" fillId="0" borderId="0" xfId="0" applyNumberFormat="1" applyFont="1" applyBorder="1"/>
    <xf numFmtId="167" fontId="8" fillId="0" borderId="0" xfId="0" applyNumberFormat="1" applyFont="1" applyBorder="1"/>
    <xf numFmtId="167" fontId="9" fillId="0" borderId="0" xfId="0" applyNumberFormat="1" applyFont="1" applyBorder="1"/>
    <xf numFmtId="167" fontId="18" fillId="0" borderId="0" xfId="0" applyNumberFormat="1" applyFont="1" applyBorder="1"/>
    <xf numFmtId="167" fontId="12" fillId="0" borderId="6" xfId="0" applyNumberFormat="1" applyFont="1" applyBorder="1"/>
    <xf numFmtId="167" fontId="12" fillId="0" borderId="10" xfId="0" applyNumberFormat="1" applyFont="1" applyBorder="1"/>
    <xf numFmtId="165" fontId="1" fillId="0" borderId="7" xfId="0" applyNumberFormat="1" applyFont="1" applyBorder="1"/>
    <xf numFmtId="167" fontId="15" fillId="0" borderId="0" xfId="0" applyNumberFormat="1" applyFont="1" applyBorder="1"/>
    <xf numFmtId="167" fontId="15" fillId="0" borderId="7" xfId="0" applyNumberFormat="1" applyFont="1" applyBorder="1"/>
    <xf numFmtId="167" fontId="18" fillId="0" borderId="7" xfId="0" applyNumberFormat="1" applyFont="1" applyBorder="1"/>
    <xf numFmtId="0" fontId="6" fillId="2" borderId="0" xfId="0" applyFont="1" applyFill="1"/>
    <xf numFmtId="166" fontId="10" fillId="0" borderId="0" xfId="0" applyNumberFormat="1" applyFont="1"/>
    <xf numFmtId="166" fontId="1" fillId="0" borderId="1" xfId="0" applyNumberFormat="1" applyFont="1" applyBorder="1"/>
    <xf numFmtId="166" fontId="10" fillId="0" borderId="1" xfId="0" applyNumberFormat="1" applyFont="1" applyBorder="1"/>
    <xf numFmtId="167" fontId="8" fillId="0" borderId="7" xfId="0" applyNumberFormat="1" applyFont="1" applyBorder="1"/>
    <xf numFmtId="167" fontId="9" fillId="0" borderId="7" xfId="0" applyNumberFormat="1" applyFont="1" applyBorder="1"/>
    <xf numFmtId="166" fontId="10" fillId="0" borderId="6" xfId="0" applyNumberFormat="1" applyFont="1" applyBorder="1" applyAlignment="1"/>
    <xf numFmtId="166" fontId="14" fillId="0" borderId="6" xfId="0" applyNumberFormat="1" applyFont="1" applyBorder="1" applyAlignment="1"/>
    <xf numFmtId="166" fontId="14" fillId="0" borderId="0" xfId="0" applyNumberFormat="1" applyFont="1" applyBorder="1" applyAlignment="1"/>
    <xf numFmtId="166" fontId="14" fillId="0" borderId="7" xfId="0" applyNumberFormat="1" applyFont="1" applyBorder="1" applyAlignment="1"/>
    <xf numFmtId="37" fontId="1" fillId="0" borderId="6" xfId="0" applyNumberFormat="1" applyFont="1" applyBorder="1" applyAlignment="1">
      <alignment horizontal="right"/>
    </xf>
    <xf numFmtId="39" fontId="1" fillId="0" borderId="0" xfId="0" applyNumberFormat="1" applyFont="1" applyBorder="1"/>
    <xf numFmtId="0" fontId="7" fillId="0" borderId="0" xfId="0" applyFont="1" applyBorder="1"/>
    <xf numFmtId="0" fontId="8" fillId="0" borderId="0" xfId="0" applyFont="1" applyBorder="1"/>
    <xf numFmtId="37" fontId="9" fillId="0" borderId="7" xfId="0" applyNumberFormat="1" applyFont="1" applyBorder="1"/>
    <xf numFmtId="166" fontId="7" fillId="0" borderId="0" xfId="0" applyNumberFormat="1" applyFont="1" applyBorder="1"/>
    <xf numFmtId="166" fontId="8" fillId="0" borderId="0" xfId="0" applyNumberFormat="1" applyFont="1" applyBorder="1"/>
    <xf numFmtId="167" fontId="14" fillId="0" borderId="0" xfId="0" applyNumberFormat="1" applyFont="1" applyBorder="1"/>
    <xf numFmtId="0" fontId="1" fillId="0" borderId="7" xfId="0" applyFont="1" applyFill="1" applyBorder="1"/>
    <xf numFmtId="0" fontId="2" fillId="0" borderId="0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172" fontId="12" fillId="3" borderId="0" xfId="0" applyNumberFormat="1" applyFont="1" applyFill="1" applyAlignment="1">
      <alignment horizontal="left" indent="3"/>
    </xf>
    <xf numFmtId="166" fontId="18" fillId="0" borderId="0" xfId="0" applyNumberFormat="1" applyFont="1" applyBorder="1"/>
    <xf numFmtId="166" fontId="7" fillId="0" borderId="6" xfId="0" applyNumberFormat="1" applyFont="1" applyBorder="1"/>
    <xf numFmtId="37" fontId="2" fillId="0" borderId="11" xfId="0" applyNumberFormat="1" applyFont="1" applyBorder="1"/>
    <xf numFmtId="165" fontId="2" fillId="0" borderId="6" xfId="0" applyNumberFormat="1" applyFont="1" applyBorder="1"/>
    <xf numFmtId="165" fontId="2" fillId="0" borderId="0" xfId="0" applyNumberFormat="1" applyFont="1" applyBorder="1"/>
    <xf numFmtId="165" fontId="8" fillId="0" borderId="0" xfId="0" applyNumberFormat="1" applyFont="1" applyBorder="1"/>
    <xf numFmtId="165" fontId="9" fillId="0" borderId="0" xfId="0" applyNumberFormat="1" applyFont="1" applyBorder="1"/>
    <xf numFmtId="165" fontId="1" fillId="4" borderId="0" xfId="0" applyNumberFormat="1" applyFont="1" applyFill="1" applyBorder="1"/>
    <xf numFmtId="165" fontId="2" fillId="0" borderId="7" xfId="0" applyNumberFormat="1" applyFont="1" applyBorder="1"/>
    <xf numFmtId="39" fontId="2" fillId="0" borderId="10" xfId="0" applyNumberFormat="1" applyFont="1" applyBorder="1"/>
    <xf numFmtId="167" fontId="12" fillId="0" borderId="7" xfId="0" applyNumberFormat="1" applyFont="1" applyBorder="1" applyAlignment="1"/>
    <xf numFmtId="39" fontId="8" fillId="0" borderId="0" xfId="0" applyNumberFormat="1" applyFont="1" applyBorder="1"/>
    <xf numFmtId="0" fontId="12" fillId="0" borderId="0" xfId="0" applyFont="1" applyBorder="1"/>
    <xf numFmtId="169" fontId="13" fillId="0" borderId="6" xfId="0" applyNumberFormat="1" applyFont="1" applyBorder="1"/>
    <xf numFmtId="169" fontId="13" fillId="0" borderId="0" xfId="0" applyNumberFormat="1" applyFont="1" applyBorder="1"/>
    <xf numFmtId="169" fontId="15" fillId="0" borderId="0" xfId="0" applyNumberFormat="1" applyFont="1" applyBorder="1"/>
    <xf numFmtId="167" fontId="7" fillId="0" borderId="10" xfId="0" applyNumberFormat="1" applyFont="1" applyBorder="1"/>
    <xf numFmtId="167" fontId="14" fillId="0" borderId="6" xfId="0" applyNumberFormat="1" applyFont="1" applyBorder="1"/>
    <xf numFmtId="37" fontId="13" fillId="0" borderId="6" xfId="0" applyNumberFormat="1" applyFont="1" applyBorder="1"/>
    <xf numFmtId="166" fontId="14" fillId="0" borderId="0" xfId="0" applyNumberFormat="1" applyFont="1" applyBorder="1"/>
    <xf numFmtId="37" fontId="1" fillId="0" borderId="10" xfId="0" applyNumberFormat="1" applyFont="1" applyBorder="1"/>
    <xf numFmtId="3" fontId="7" fillId="0" borderId="0" xfId="0" applyNumberFormat="1" applyFont="1" applyBorder="1" applyAlignment="1"/>
    <xf numFmtId="0" fontId="7" fillId="0" borderId="0" xfId="0" applyFont="1" applyBorder="1" applyAlignment="1"/>
    <xf numFmtId="3" fontId="1" fillId="0" borderId="6" xfId="0" applyNumberFormat="1" applyFont="1" applyBorder="1" applyAlignment="1"/>
    <xf numFmtId="3" fontId="2" fillId="0" borderId="0" xfId="0" applyNumberFormat="1" applyFont="1" applyBorder="1" applyAlignment="1"/>
    <xf numFmtId="2" fontId="2" fillId="0" borderId="10" xfId="0" applyNumberFormat="1" applyFont="1" applyBorder="1" applyAlignment="1"/>
    <xf numFmtId="164" fontId="7" fillId="0" borderId="6" xfId="0" applyNumberFormat="1" applyFont="1" applyBorder="1" applyAlignment="1"/>
    <xf numFmtId="164" fontId="7" fillId="0" borderId="0" xfId="0" applyNumberFormat="1" applyFont="1" applyBorder="1" applyAlignment="1"/>
    <xf numFmtId="37" fontId="19" fillId="0" borderId="0" xfId="0" applyNumberFormat="1" applyFont="1" applyBorder="1"/>
    <xf numFmtId="166" fontId="14" fillId="0" borderId="6" xfId="0" applyNumberFormat="1" applyFont="1" applyBorder="1"/>
    <xf numFmtId="166" fontId="14" fillId="0" borderId="7" xfId="0" applyNumberFormat="1" applyFont="1" applyBorder="1"/>
    <xf numFmtId="166" fontId="18" fillId="0" borderId="7" xfId="0" applyNumberFormat="1" applyFont="1" applyBorder="1"/>
    <xf numFmtId="39" fontId="9" fillId="0" borderId="0" xfId="0" applyNumberFormat="1" applyFont="1" applyBorder="1"/>
    <xf numFmtId="39" fontId="9" fillId="0" borderId="0" xfId="0" applyNumberFormat="1" applyFont="1" applyFill="1" applyBorder="1"/>
    <xf numFmtId="37" fontId="8" fillId="0" borderId="0" xfId="0" applyNumberFormat="1" applyFont="1" applyBorder="1" applyAlignment="1">
      <alignment horizontal="right"/>
    </xf>
    <xf numFmtId="166" fontId="1" fillId="4" borderId="0" xfId="0" applyNumberFormat="1" applyFont="1" applyFill="1" applyBorder="1"/>
    <xf numFmtId="0" fontId="9" fillId="0" borderId="0" xfId="0" applyFont="1" applyFill="1" applyBorder="1"/>
    <xf numFmtId="165" fontId="2" fillId="0" borderId="6" xfId="0" applyNumberFormat="1" applyFont="1" applyBorder="1" applyAlignment="1">
      <alignment horizontal="right"/>
    </xf>
    <xf numFmtId="165" fontId="2" fillId="0" borderId="0" xfId="0" applyNumberFormat="1" applyFont="1" applyBorder="1" applyAlignment="1">
      <alignment horizontal="right"/>
    </xf>
    <xf numFmtId="165" fontId="7" fillId="0" borderId="6" xfId="0" applyNumberFormat="1" applyFont="1" applyBorder="1" applyAlignment="1">
      <alignment horizontal="right"/>
    </xf>
    <xf numFmtId="165" fontId="7" fillId="0" borderId="0" xfId="0" applyNumberFormat="1" applyFont="1" applyBorder="1" applyAlignment="1">
      <alignment horizontal="right"/>
    </xf>
    <xf numFmtId="165" fontId="9" fillId="0" borderId="7" xfId="0" applyNumberFormat="1" applyFont="1" applyBorder="1"/>
    <xf numFmtId="165" fontId="1" fillId="0" borderId="6" xfId="0" applyNumberFormat="1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  <xf numFmtId="167" fontId="1" fillId="0" borderId="11" xfId="0" applyNumberFormat="1" applyFont="1" applyBorder="1"/>
    <xf numFmtId="166" fontId="14" fillId="0" borderId="0" xfId="0" applyNumberFormat="1" applyFont="1" applyBorder="1" applyAlignment="1">
      <alignment horizontal="right"/>
    </xf>
    <xf numFmtId="166" fontId="14" fillId="0" borderId="7" xfId="0" applyNumberFormat="1" applyFont="1" applyBorder="1" applyAlignment="1">
      <alignment horizontal="right"/>
    </xf>
    <xf numFmtId="37" fontId="14" fillId="0" borderId="6" xfId="0" applyNumberFormat="1" applyFont="1" applyBorder="1"/>
    <xf numFmtId="166" fontId="15" fillId="0" borderId="0" xfId="0" applyNumberFormat="1" applyFont="1" applyBorder="1"/>
    <xf numFmtId="166" fontId="15" fillId="0" borderId="7" xfId="0" applyNumberFormat="1" applyFont="1" applyBorder="1"/>
    <xf numFmtId="166" fontId="15" fillId="0" borderId="6" xfId="0" applyNumberFormat="1" applyFont="1" applyBorder="1"/>
    <xf numFmtId="2" fontId="9" fillId="0" borderId="0" xfId="0" applyNumberFormat="1" applyFont="1" applyBorder="1"/>
    <xf numFmtId="2" fontId="1" fillId="0" borderId="0" xfId="0" applyNumberFormat="1" applyFont="1" applyBorder="1"/>
    <xf numFmtId="2" fontId="1" fillId="0" borderId="6" xfId="0" applyNumberFormat="1" applyFont="1" applyBorder="1"/>
    <xf numFmtId="39" fontId="1" fillId="0" borderId="0" xfId="0" applyNumberFormat="1" applyFont="1" applyFill="1" applyBorder="1"/>
    <xf numFmtId="164" fontId="1" fillId="0" borderId="0" xfId="0" applyNumberFormat="1" applyFont="1" applyBorder="1"/>
    <xf numFmtId="167" fontId="18" fillId="0" borderId="1" xfId="0" applyNumberFormat="1" applyFont="1" applyBorder="1"/>
    <xf numFmtId="167" fontId="18" fillId="0" borderId="11" xfId="0" applyNumberFormat="1" applyFont="1" applyBorder="1"/>
    <xf numFmtId="0" fontId="2" fillId="3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Continuous" vertical="top"/>
    </xf>
    <xf numFmtId="166" fontId="17" fillId="0" borderId="7" xfId="0" applyNumberFormat="1" applyFont="1" applyBorder="1" applyAlignment="1">
      <alignment horizontal="centerContinuous"/>
    </xf>
    <xf numFmtId="0" fontId="17" fillId="0" borderId="7" xfId="0" applyFont="1" applyBorder="1" applyAlignment="1">
      <alignment horizontal="centerContinuous"/>
    </xf>
    <xf numFmtId="2" fontId="9" fillId="0" borderId="7" xfId="0" applyNumberFormat="1" applyFont="1" applyBorder="1"/>
    <xf numFmtId="167" fontId="14" fillId="0" borderId="6" xfId="0" applyNumberFormat="1" applyFont="1" applyBorder="1" applyAlignment="1"/>
    <xf numFmtId="167" fontId="14" fillId="0" borderId="0" xfId="0" applyNumberFormat="1" applyFont="1" applyBorder="1" applyAlignment="1"/>
    <xf numFmtId="167" fontId="14" fillId="0" borderId="7" xfId="0" applyNumberFormat="1" applyFont="1" applyBorder="1" applyAlignment="1"/>
    <xf numFmtId="3" fontId="1" fillId="0" borderId="0" xfId="0" applyNumberFormat="1" applyFont="1" applyBorder="1"/>
    <xf numFmtId="167" fontId="1" fillId="3" borderId="0" xfId="0" applyNumberFormat="1" applyFont="1" applyFill="1" applyBorder="1"/>
    <xf numFmtId="167" fontId="1" fillId="3" borderId="7" xfId="0" applyNumberFormat="1" applyFont="1" applyFill="1" applyBorder="1"/>
    <xf numFmtId="1" fontId="1" fillId="0" borderId="0" xfId="0" applyNumberFormat="1" applyFont="1" applyBorder="1"/>
    <xf numFmtId="3" fontId="9" fillId="0" borderId="0" xfId="0" applyNumberFormat="1" applyFont="1" applyBorder="1"/>
    <xf numFmtId="1" fontId="9" fillId="0" borderId="0" xfId="0" applyNumberFormat="1" applyFont="1" applyBorder="1"/>
    <xf numFmtId="3" fontId="2" fillId="0" borderId="11" xfId="0" applyNumberFormat="1" applyFont="1" applyBorder="1"/>
    <xf numFmtId="37" fontId="10" fillId="0" borderId="0" xfId="0" applyNumberFormat="1" applyFont="1" applyBorder="1" applyAlignment="1"/>
    <xf numFmtId="37" fontId="10" fillId="0" borderId="6" xfId="0" applyNumberFormat="1" applyFont="1" applyBorder="1" applyAlignment="1"/>
    <xf numFmtId="165" fontId="10" fillId="0" borderId="0" xfId="0" applyNumberFormat="1" applyFont="1" applyBorder="1" applyAlignment="1"/>
    <xf numFmtId="166" fontId="10" fillId="0" borderId="0" xfId="0" applyNumberFormat="1" applyFont="1" applyBorder="1" applyAlignment="1"/>
    <xf numFmtId="37" fontId="14" fillId="0" borderId="6" xfId="0" applyNumberFormat="1" applyFont="1" applyBorder="1" applyAlignment="1"/>
    <xf numFmtId="37" fontId="14" fillId="0" borderId="0" xfId="0" applyNumberFormat="1" applyFont="1" applyBorder="1" applyAlignment="1"/>
    <xf numFmtId="37" fontId="14" fillId="0" borderId="7" xfId="0" applyNumberFormat="1" applyFont="1" applyBorder="1" applyAlignment="1"/>
    <xf numFmtId="166" fontId="18" fillId="0" borderId="0" xfId="0" applyNumberFormat="1" applyFont="1" applyBorder="1" applyAlignment="1"/>
    <xf numFmtId="165" fontId="14" fillId="0" borderId="6" xfId="0" applyNumberFormat="1" applyFont="1" applyBorder="1" applyAlignment="1"/>
    <xf numFmtId="165" fontId="14" fillId="0" borderId="0" xfId="0" applyNumberFormat="1" applyFont="1" applyBorder="1" applyAlignment="1"/>
    <xf numFmtId="165" fontId="12" fillId="0" borderId="0" xfId="0" applyNumberFormat="1" applyFont="1" applyBorder="1"/>
    <xf numFmtId="165" fontId="12" fillId="0" borderId="7" xfId="0" applyNumberFormat="1" applyFont="1" applyBorder="1"/>
    <xf numFmtId="165" fontId="10" fillId="0" borderId="6" xfId="0" applyNumberFormat="1" applyFont="1" applyBorder="1" applyAlignment="1"/>
    <xf numFmtId="166" fontId="10" fillId="0" borderId="7" xfId="0" applyNumberFormat="1" applyFont="1" applyBorder="1" applyAlignment="1"/>
    <xf numFmtId="39" fontId="2" fillId="0" borderId="1" xfId="0" applyNumberFormat="1" applyFont="1" applyBorder="1"/>
    <xf numFmtId="39" fontId="2" fillId="0" borderId="11" xfId="0" applyNumberFormat="1" applyFont="1" applyBorder="1"/>
    <xf numFmtId="44" fontId="1" fillId="0" borderId="0" xfId="0" applyNumberFormat="1" applyFont="1"/>
    <xf numFmtId="0" fontId="1" fillId="0" borderId="1" xfId="0" applyFont="1" applyBorder="1" applyAlignment="1">
      <alignment horizontal="left" indent="2"/>
    </xf>
    <xf numFmtId="167" fontId="17" fillId="0" borderId="7" xfId="0" applyNumberFormat="1" applyFont="1" applyBorder="1" applyAlignment="1">
      <alignment horizontal="centerContinuous"/>
    </xf>
    <xf numFmtId="0" fontId="2" fillId="0" borderId="10" xfId="0" applyFont="1" applyBorder="1" applyAlignment="1"/>
    <xf numFmtId="167" fontId="2" fillId="0" borderId="6" xfId="0" applyNumberFormat="1" applyFont="1" applyBorder="1"/>
    <xf numFmtId="165" fontId="1" fillId="0" borderId="6" xfId="0" applyNumberFormat="1" applyFont="1" applyBorder="1"/>
    <xf numFmtId="0" fontId="12" fillId="0" borderId="6" xfId="0" applyFont="1" applyBorder="1" applyAlignment="1"/>
    <xf numFmtId="167" fontId="1" fillId="0" borderId="0" xfId="0" applyNumberFormat="1" applyFont="1"/>
    <xf numFmtId="39" fontId="1" fillId="0" borderId="0" xfId="0" applyNumberFormat="1" applyFont="1"/>
    <xf numFmtId="167" fontId="2" fillId="0" borderId="0" xfId="0" applyNumberFormat="1" applyFo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/>
    <xf numFmtId="167" fontId="2" fillId="0" borderId="0" xfId="0" applyNumberFormat="1" applyFont="1" applyBorder="1"/>
    <xf numFmtId="167" fontId="2" fillId="4" borderId="0" xfId="0" applyNumberFormat="1" applyFont="1" applyFill="1" applyBorder="1"/>
    <xf numFmtId="0" fontId="6" fillId="5" borderId="0" xfId="0" applyFont="1" applyFill="1" applyAlignment="1">
      <alignment horizontal="centerContinuous"/>
    </xf>
    <xf numFmtId="0" fontId="6" fillId="5" borderId="10" xfId="0" applyFont="1" applyFill="1" applyBorder="1" applyAlignment="1">
      <alignment horizontal="centerContinuous"/>
    </xf>
    <xf numFmtId="0" fontId="6" fillId="5" borderId="1" xfId="0" applyFont="1" applyFill="1" applyBorder="1" applyAlignment="1">
      <alignment horizontal="centerContinuous"/>
    </xf>
    <xf numFmtId="0" fontId="6" fillId="5" borderId="11" xfId="0" applyFont="1" applyFill="1" applyBorder="1" applyAlignment="1">
      <alignment horizontal="centerContinuous"/>
    </xf>
    <xf numFmtId="2" fontId="24" fillId="0" borderId="13" xfId="5" applyNumberFormat="1" applyFont="1" applyBorder="1" applyAlignment="1">
      <alignment horizontal="right"/>
    </xf>
    <xf numFmtId="0" fontId="23" fillId="0" borderId="0" xfId="5" applyFont="1"/>
    <xf numFmtId="0" fontId="25" fillId="0" borderId="0" xfId="5" applyFont="1"/>
    <xf numFmtId="0" fontId="23" fillId="0" borderId="16" xfId="5" applyFont="1" applyBorder="1" applyAlignment="1">
      <alignment horizontal="center"/>
    </xf>
    <xf numFmtId="0" fontId="23" fillId="0" borderId="13" xfId="5" applyFont="1" applyBorder="1" applyAlignment="1">
      <alignment horizontal="center"/>
    </xf>
    <xf numFmtId="0" fontId="23" fillId="6" borderId="0" xfId="5" applyFont="1" applyFill="1"/>
    <xf numFmtId="2" fontId="26" fillId="6" borderId="12" xfId="5" applyNumberFormat="1" applyFont="1" applyFill="1" applyBorder="1" applyAlignment="1">
      <alignment horizontal="right"/>
    </xf>
    <xf numFmtId="10" fontId="24" fillId="0" borderId="12" xfId="4" applyNumberFormat="1" applyFont="1" applyFill="1" applyBorder="1" applyAlignment="1">
      <alignment horizontal="right"/>
    </xf>
    <xf numFmtId="3" fontId="24" fillId="0" borderId="1" xfId="6" applyNumberFormat="1" applyFont="1" applyFill="1" applyBorder="1" applyAlignment="1">
      <alignment horizontal="center"/>
    </xf>
    <xf numFmtId="3" fontId="24" fillId="0" borderId="13" xfId="6" applyNumberFormat="1" applyFont="1" applyFill="1" applyBorder="1" applyAlignment="1">
      <alignment horizontal="center"/>
    </xf>
    <xf numFmtId="2" fontId="24" fillId="0" borderId="12" xfId="6" applyNumberFormat="1" applyFont="1" applyBorder="1" applyAlignment="1">
      <alignment horizontal="right"/>
    </xf>
    <xf numFmtId="10" fontId="26" fillId="0" borderId="12" xfId="4" applyNumberFormat="1" applyFont="1" applyFill="1" applyBorder="1" applyAlignment="1">
      <alignment horizontal="right"/>
    </xf>
    <xf numFmtId="174" fontId="24" fillId="0" borderId="12" xfId="5" applyNumberFormat="1" applyFont="1" applyBorder="1" applyAlignment="1">
      <alignment horizontal="right"/>
    </xf>
    <xf numFmtId="37" fontId="24" fillId="0" borderId="0" xfId="6" applyNumberFormat="1" applyFont="1" applyFill="1" applyBorder="1" applyAlignment="1">
      <alignment horizontal="center"/>
    </xf>
    <xf numFmtId="37" fontId="24" fillId="0" borderId="12" xfId="6" applyNumberFormat="1" applyFont="1" applyFill="1" applyBorder="1" applyAlignment="1">
      <alignment horizontal="center"/>
    </xf>
    <xf numFmtId="2" fontId="24" fillId="0" borderId="12" xfId="7" applyNumberFormat="1" applyFont="1" applyFill="1" applyBorder="1" applyAlignment="1">
      <alignment horizontal="right"/>
    </xf>
    <xf numFmtId="170" fontId="24" fillId="0" borderId="12" xfId="4" applyNumberFormat="1" applyFont="1" applyFill="1" applyBorder="1" applyAlignment="1">
      <alignment horizontal="right"/>
    </xf>
    <xf numFmtId="0" fontId="26" fillId="6" borderId="0" xfId="5" applyFont="1" applyFill="1"/>
    <xf numFmtId="0" fontId="23" fillId="6" borderId="17" xfId="5" applyFont="1" applyFill="1" applyBorder="1"/>
    <xf numFmtId="3" fontId="26" fillId="0" borderId="12" xfId="3" applyNumberFormat="1" applyFont="1" applyFill="1" applyBorder="1" applyAlignment="1">
      <alignment horizontal="right"/>
    </xf>
    <xf numFmtId="10" fontId="24" fillId="0" borderId="12" xfId="7" applyNumberFormat="1" applyFont="1" applyFill="1" applyBorder="1" applyAlignment="1">
      <alignment horizontal="right"/>
    </xf>
    <xf numFmtId="0" fontId="23" fillId="0" borderId="17" xfId="5" applyFont="1" applyBorder="1" applyAlignment="1">
      <alignment horizontal="left"/>
    </xf>
    <xf numFmtId="0" fontId="23" fillId="0" borderId="0" xfId="5" applyFont="1" applyAlignment="1">
      <alignment horizontal="left"/>
    </xf>
    <xf numFmtId="175" fontId="24" fillId="0" borderId="0" xfId="7" applyNumberFormat="1" applyFont="1" applyFill="1" applyBorder="1" applyAlignment="1">
      <alignment horizontal="center"/>
    </xf>
    <xf numFmtId="175" fontId="24" fillId="0" borderId="12" xfId="7" applyNumberFormat="1" applyFont="1" applyFill="1" applyBorder="1" applyAlignment="1">
      <alignment horizontal="center"/>
    </xf>
    <xf numFmtId="170" fontId="24" fillId="0" borderId="12" xfId="4" quotePrefix="1" applyNumberFormat="1" applyFont="1" applyFill="1" applyBorder="1" applyAlignment="1">
      <alignment horizontal="right"/>
    </xf>
    <xf numFmtId="164" fontId="24" fillId="0" borderId="0" xfId="8" quotePrefix="1" applyNumberFormat="1" applyFont="1" applyFill="1" applyBorder="1" applyAlignment="1">
      <alignment horizontal="center"/>
    </xf>
    <xf numFmtId="164" fontId="24" fillId="0" borderId="12" xfId="8" quotePrefix="1" applyNumberFormat="1" applyFont="1" applyFill="1" applyBorder="1" applyAlignment="1">
      <alignment horizontal="center"/>
    </xf>
    <xf numFmtId="170" fontId="24" fillId="0" borderId="19" xfId="4" applyNumberFormat="1" applyFont="1" applyFill="1" applyBorder="1" applyAlignment="1">
      <alignment horizontal="right"/>
    </xf>
    <xf numFmtId="164" fontId="24" fillId="0" borderId="2" xfId="5" quotePrefix="1" applyNumberFormat="1" applyFont="1" applyBorder="1" applyAlignment="1">
      <alignment horizontal="center"/>
    </xf>
    <xf numFmtId="164" fontId="24" fillId="0" borderId="19" xfId="5" quotePrefix="1" applyNumberFormat="1" applyFont="1" applyBorder="1" applyAlignment="1">
      <alignment horizontal="center"/>
    </xf>
    <xf numFmtId="0" fontId="26" fillId="6" borderId="0" xfId="5" applyFont="1" applyFill="1" applyAlignment="1">
      <alignment horizontal="center"/>
    </xf>
    <xf numFmtId="0" fontId="27" fillId="6" borderId="0" xfId="5" applyFont="1" applyFill="1"/>
    <xf numFmtId="166" fontId="26" fillId="6" borderId="0" xfId="5" applyNumberFormat="1" applyFont="1" applyFill="1"/>
    <xf numFmtId="0" fontId="20" fillId="0" borderId="0" xfId="5"/>
    <xf numFmtId="0" fontId="26" fillId="6" borderId="0" xfId="5" applyFont="1" applyFill="1" applyAlignment="1">
      <alignment horizontal="right"/>
    </xf>
    <xf numFmtId="0" fontId="28" fillId="6" borderId="0" xfId="5" applyFont="1" applyFill="1" applyAlignment="1">
      <alignment horizontal="right"/>
    </xf>
    <xf numFmtId="0" fontId="22" fillId="6" borderId="0" xfId="5" applyFont="1" applyFill="1" applyAlignment="1">
      <alignment horizontal="center"/>
    </xf>
    <xf numFmtId="0" fontId="22" fillId="6" borderId="0" xfId="5" applyFont="1" applyFill="1"/>
    <xf numFmtId="0" fontId="20" fillId="6" borderId="0" xfId="5" applyFill="1"/>
    <xf numFmtId="0" fontId="29" fillId="6" borderId="0" xfId="5" applyFont="1" applyFill="1" applyAlignment="1">
      <alignment horizontal="center"/>
    </xf>
    <xf numFmtId="10" fontId="26" fillId="6" borderId="0" xfId="7" applyNumberFormat="1" applyFont="1" applyFill="1" applyBorder="1"/>
    <xf numFmtId="0" fontId="29" fillId="6" borderId="0" xfId="5" applyFont="1" applyFill="1"/>
    <xf numFmtId="10" fontId="26" fillId="6" borderId="0" xfId="5" applyNumberFormat="1" applyFont="1" applyFill="1"/>
    <xf numFmtId="0" fontId="30" fillId="6" borderId="0" xfId="5" applyFont="1" applyFill="1"/>
    <xf numFmtId="0" fontId="23" fillId="0" borderId="0" xfId="5" applyFont="1" applyAlignment="1">
      <alignment horizontal="center"/>
    </xf>
    <xf numFmtId="10" fontId="26" fillId="6" borderId="0" xfId="7" applyNumberFormat="1" applyFont="1" applyFill="1"/>
    <xf numFmtId="0" fontId="30" fillId="6" borderId="0" xfId="5" applyFont="1" applyFill="1" applyAlignment="1">
      <alignment horizontal="center"/>
    </xf>
    <xf numFmtId="10" fontId="31" fillId="6" borderId="0" xfId="7" applyNumberFormat="1" applyFont="1" applyFill="1" applyBorder="1" applyAlignment="1">
      <alignment horizontal="center"/>
    </xf>
    <xf numFmtId="10" fontId="26" fillId="0" borderId="0" xfId="7" applyNumberFormat="1" applyFont="1" applyFill="1" applyBorder="1" applyAlignment="1">
      <alignment horizontal="center"/>
    </xf>
    <xf numFmtId="0" fontId="20" fillId="0" borderId="0" xfId="5" applyAlignment="1">
      <alignment horizontal="center"/>
    </xf>
    <xf numFmtId="44" fontId="26" fillId="6" borderId="0" xfId="5" applyNumberFormat="1" applyFont="1" applyFill="1"/>
    <xf numFmtId="0" fontId="26" fillId="0" borderId="0" xfId="5" applyFont="1"/>
    <xf numFmtId="176" fontId="26" fillId="6" borderId="0" xfId="5" applyNumberFormat="1" applyFont="1" applyFill="1"/>
    <xf numFmtId="0" fontId="21" fillId="0" borderId="0" xfId="5" applyFont="1"/>
    <xf numFmtId="170" fontId="23" fillId="0" borderId="0" xfId="4" applyNumberFormat="1" applyFont="1" applyBorder="1" applyAlignment="1">
      <alignment horizontal="center"/>
    </xf>
    <xf numFmtId="44" fontId="26" fillId="6" borderId="0" xfId="9" applyFont="1" applyFill="1"/>
    <xf numFmtId="164" fontId="23" fillId="0" borderId="0" xfId="5" applyNumberFormat="1" applyFont="1" applyAlignment="1">
      <alignment horizontal="center"/>
    </xf>
    <xf numFmtId="2" fontId="26" fillId="6" borderId="0" xfId="5" applyNumberFormat="1" applyFont="1" applyFill="1"/>
    <xf numFmtId="43" fontId="26" fillId="6" borderId="0" xfId="5" applyNumberFormat="1" applyFont="1" applyFill="1"/>
    <xf numFmtId="164" fontId="23" fillId="0" borderId="0" xfId="7" applyNumberFormat="1" applyFont="1" applyFill="1" applyBorder="1" applyAlignment="1">
      <alignment horizontal="center"/>
    </xf>
    <xf numFmtId="175" fontId="26" fillId="6" borderId="0" xfId="5" applyNumberFormat="1" applyFont="1" applyFill="1"/>
    <xf numFmtId="0" fontId="32" fillId="0" borderId="0" xfId="5" applyFont="1" applyAlignment="1">
      <alignment horizontal="right"/>
    </xf>
    <xf numFmtId="170" fontId="26" fillId="6" borderId="0" xfId="10" applyNumberFormat="1" applyFont="1" applyFill="1"/>
    <xf numFmtId="3" fontId="26" fillId="6" borderId="0" xfId="5" applyNumberFormat="1" applyFont="1" applyFill="1"/>
    <xf numFmtId="170" fontId="26" fillId="6" borderId="0" xfId="4" applyNumberFormat="1" applyFont="1" applyFill="1" applyBorder="1"/>
    <xf numFmtId="9" fontId="26" fillId="6" borderId="0" xfId="10" applyFont="1" applyFill="1"/>
    <xf numFmtId="170" fontId="23" fillId="6" borderId="0" xfId="4" applyNumberFormat="1" applyFont="1" applyFill="1" applyBorder="1" applyAlignment="1">
      <alignment horizontal="center"/>
    </xf>
    <xf numFmtId="0" fontId="33" fillId="6" borderId="0" xfId="5" applyFont="1" applyFill="1"/>
    <xf numFmtId="170" fontId="0" fillId="0" borderId="0" xfId="4" applyNumberFormat="1" applyFont="1" applyFill="1"/>
    <xf numFmtId="164" fontId="0" fillId="0" borderId="0" xfId="0" applyNumberFormat="1"/>
    <xf numFmtId="0" fontId="0" fillId="6" borderId="0" xfId="0" applyFill="1"/>
    <xf numFmtId="170" fontId="0" fillId="6" borderId="0" xfId="4" applyNumberFormat="1" applyFont="1" applyFill="1" applyBorder="1"/>
    <xf numFmtId="177" fontId="0" fillId="6" borderId="0" xfId="0" applyNumberFormat="1" applyFill="1"/>
    <xf numFmtId="166" fontId="24" fillId="0" borderId="12" xfId="7" quotePrefix="1" applyNumberFormat="1" applyFont="1" applyFill="1" applyBorder="1" applyAlignment="1">
      <alignment horizontal="right"/>
    </xf>
    <xf numFmtId="170" fontId="35" fillId="0" borderId="0" xfId="4" applyNumberFormat="1" applyFont="1" applyFill="1" applyBorder="1" applyAlignment="1">
      <alignment horizontal="center"/>
    </xf>
    <xf numFmtId="170" fontId="28" fillId="0" borderId="0" xfId="4" applyNumberFormat="1" applyFont="1" applyFill="1" applyBorder="1" applyAlignment="1">
      <alignment horizontal="center"/>
    </xf>
    <xf numFmtId="170" fontId="28" fillId="0" borderId="12" xfId="4" applyNumberFormat="1" applyFont="1" applyFill="1" applyBorder="1" applyAlignment="1">
      <alignment horizontal="center"/>
    </xf>
    <xf numFmtId="0" fontId="28" fillId="6" borderId="17" xfId="5" applyFont="1" applyFill="1" applyBorder="1"/>
    <xf numFmtId="0" fontId="28" fillId="6" borderId="0" xfId="5" applyFont="1" applyFill="1"/>
    <xf numFmtId="166" fontId="35" fillId="6" borderId="0" xfId="4" applyNumberFormat="1" applyFont="1" applyFill="1" applyBorder="1" applyAlignment="1">
      <alignment horizontal="center"/>
    </xf>
    <xf numFmtId="166" fontId="35" fillId="6" borderId="12" xfId="4" applyNumberFormat="1" applyFont="1" applyFill="1" applyBorder="1" applyAlignment="1">
      <alignment horizontal="center"/>
    </xf>
    <xf numFmtId="39" fontId="24" fillId="0" borderId="0" xfId="4" applyNumberFormat="1" applyFont="1" applyFill="1" applyBorder="1" applyAlignment="1">
      <alignment horizontal="center"/>
    </xf>
    <xf numFmtId="39" fontId="24" fillId="0" borderId="12" xfId="4" applyNumberFormat="1" applyFont="1" applyFill="1" applyBorder="1" applyAlignment="1">
      <alignment horizontal="center"/>
    </xf>
    <xf numFmtId="37" fontId="36" fillId="0" borderId="6" xfId="0" applyNumberFormat="1" applyFont="1" applyBorder="1" applyAlignment="1"/>
    <xf numFmtId="3" fontId="36" fillId="0" borderId="6" xfId="0" applyNumberFormat="1" applyFont="1" applyBorder="1" applyAlignment="1"/>
    <xf numFmtId="167" fontId="10" fillId="0" borderId="1" xfId="0" applyNumberFormat="1" applyFont="1" applyBorder="1"/>
    <xf numFmtId="0" fontId="1" fillId="0" borderId="21" xfId="0" applyFont="1" applyBorder="1"/>
    <xf numFmtId="166" fontId="1" fillId="0" borderId="21" xfId="0" applyNumberFormat="1" applyFont="1" applyBorder="1"/>
    <xf numFmtId="3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2" fillId="0" borderId="0" xfId="0" applyFont="1" applyBorder="1" applyAlignment="1"/>
    <xf numFmtId="15" fontId="2" fillId="0" borderId="1" xfId="0" applyNumberFormat="1" applyFont="1" applyBorder="1" applyAlignment="1">
      <alignment vertical="top"/>
    </xf>
    <xf numFmtId="176" fontId="1" fillId="0" borderId="0" xfId="0" applyNumberFormat="1" applyFont="1"/>
    <xf numFmtId="0" fontId="10" fillId="0" borderId="0" xfId="0" applyFont="1" applyBorder="1"/>
    <xf numFmtId="0" fontId="1" fillId="3" borderId="0" xfId="0" applyFont="1" applyFill="1"/>
    <xf numFmtId="0" fontId="1" fillId="2" borderId="0" xfId="0" applyFont="1" applyFill="1" applyAlignment="1">
      <alignment horizontal="centerContinuous"/>
    </xf>
    <xf numFmtId="166" fontId="12" fillId="3" borderId="0" xfId="0" applyNumberFormat="1" applyFont="1" applyFill="1"/>
    <xf numFmtId="39" fontId="12" fillId="3" borderId="0" xfId="0" applyNumberFormat="1" applyFont="1" applyFill="1" applyBorder="1"/>
    <xf numFmtId="0" fontId="12" fillId="3" borderId="0" xfId="0" applyFont="1" applyFill="1" applyAlignment="1">
      <alignment horizontal="left" indent="3"/>
    </xf>
    <xf numFmtId="0" fontId="12" fillId="3" borderId="0" xfId="0" applyFont="1" applyFill="1" applyBorder="1" applyAlignment="1">
      <alignment horizontal="left" indent="3"/>
    </xf>
    <xf numFmtId="0" fontId="1" fillId="3" borderId="0" xfId="0" applyFont="1" applyFill="1" applyBorder="1"/>
    <xf numFmtId="0" fontId="1" fillId="0" borderId="0" xfId="0" applyFont="1" applyFill="1"/>
    <xf numFmtId="0" fontId="2" fillId="0" borderId="20" xfId="0" applyFont="1" applyBorder="1"/>
    <xf numFmtId="44" fontId="2" fillId="0" borderId="20" xfId="0" applyNumberFormat="1" applyFont="1" applyBorder="1"/>
    <xf numFmtId="0" fontId="6" fillId="2" borderId="3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44" fontId="1" fillId="0" borderId="0" xfId="0" applyNumberFormat="1" applyFont="1" applyBorder="1"/>
    <xf numFmtId="44" fontId="1" fillId="0" borderId="7" xfId="0" applyNumberFormat="1" applyFont="1" applyBorder="1"/>
    <xf numFmtId="0" fontId="1" fillId="0" borderId="22" xfId="0" applyFont="1" applyBorder="1"/>
    <xf numFmtId="0" fontId="1" fillId="0" borderId="23" xfId="0" applyFont="1" applyBorder="1"/>
    <xf numFmtId="166" fontId="1" fillId="0" borderId="24" xfId="0" applyNumberFormat="1" applyFont="1" applyBorder="1"/>
    <xf numFmtId="0" fontId="1" fillId="0" borderId="14" xfId="0" applyFont="1" applyBorder="1"/>
    <xf numFmtId="44" fontId="1" fillId="0" borderId="1" xfId="0" applyNumberFormat="1" applyFont="1" applyBorder="1"/>
    <xf numFmtId="167" fontId="1" fillId="0" borderId="13" xfId="0" applyNumberFormat="1" applyFont="1" applyBorder="1"/>
    <xf numFmtId="0" fontId="1" fillId="0" borderId="17" xfId="0" applyFont="1" applyBorder="1"/>
    <xf numFmtId="176" fontId="1" fillId="0" borderId="0" xfId="0" applyNumberFormat="1" applyFont="1" applyBorder="1"/>
    <xf numFmtId="0" fontId="1" fillId="0" borderId="18" xfId="0" applyFont="1" applyBorder="1"/>
    <xf numFmtId="0" fontId="1" fillId="0" borderId="2" xfId="0" applyFont="1" applyBorder="1"/>
    <xf numFmtId="176" fontId="1" fillId="0" borderId="2" xfId="0" applyNumberFormat="1" applyFont="1" applyBorder="1"/>
    <xf numFmtId="173" fontId="1" fillId="0" borderId="2" xfId="0" applyNumberFormat="1" applyFont="1" applyBorder="1"/>
    <xf numFmtId="0" fontId="1" fillId="0" borderId="19" xfId="0" applyFont="1" applyBorder="1"/>
    <xf numFmtId="176" fontId="1" fillId="0" borderId="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7" fontId="9" fillId="0" borderId="12" xfId="0" applyNumberFormat="1" applyFont="1" applyBorder="1"/>
    <xf numFmtId="166" fontId="1" fillId="0" borderId="12" xfId="0" applyNumberFormat="1" applyFont="1" applyBorder="1"/>
    <xf numFmtId="0" fontId="9" fillId="0" borderId="2" xfId="0" applyFont="1" applyBorder="1"/>
    <xf numFmtId="166" fontId="9" fillId="0" borderId="19" xfId="0" applyNumberFormat="1" applyFont="1" applyBorder="1"/>
    <xf numFmtId="44" fontId="2" fillId="0" borderId="11" xfId="0" applyNumberFormat="1" applyFont="1" applyBorder="1"/>
    <xf numFmtId="0" fontId="1" fillId="7" borderId="6" xfId="0" applyFont="1" applyFill="1" applyBorder="1"/>
    <xf numFmtId="0" fontId="1" fillId="7" borderId="0" xfId="0" applyFont="1" applyFill="1" applyBorder="1"/>
    <xf numFmtId="44" fontId="1" fillId="7" borderId="0" xfId="0" applyNumberFormat="1" applyFont="1" applyFill="1" applyBorder="1"/>
    <xf numFmtId="166" fontId="1" fillId="7" borderId="0" xfId="0" applyNumberFormat="1" applyFont="1" applyFill="1" applyBorder="1"/>
    <xf numFmtId="166" fontId="9" fillId="7" borderId="7" xfId="0" applyNumberFormat="1" applyFont="1" applyFill="1" applyBorder="1"/>
    <xf numFmtId="0" fontId="8" fillId="0" borderId="0" xfId="0" applyFont="1"/>
    <xf numFmtId="0" fontId="18" fillId="0" borderId="0" xfId="0" applyFont="1" applyAlignment="1">
      <alignment horizontal="left" indent="3"/>
    </xf>
    <xf numFmtId="0" fontId="9" fillId="0" borderId="0" xfId="0" applyFont="1"/>
    <xf numFmtId="166" fontId="18" fillId="0" borderId="0" xfId="0" applyNumberFormat="1" applyFont="1" applyAlignment="1">
      <alignment horizontal="right"/>
    </xf>
    <xf numFmtId="0" fontId="7" fillId="0" borderId="0" xfId="0" applyFont="1" applyFill="1"/>
    <xf numFmtId="14" fontId="1" fillId="0" borderId="0" xfId="0" applyNumberFormat="1" applyFont="1"/>
    <xf numFmtId="0" fontId="26" fillId="6" borderId="17" xfId="5" applyFont="1" applyFill="1" applyBorder="1"/>
    <xf numFmtId="0" fontId="26" fillId="6" borderId="0" xfId="5" applyFont="1" applyFill="1" applyBorder="1"/>
    <xf numFmtId="2" fontId="26" fillId="6" borderId="12" xfId="5" applyNumberFormat="1" applyFont="1" applyFill="1" applyBorder="1" applyAlignment="1"/>
    <xf numFmtId="0" fontId="23" fillId="6" borderId="0" xfId="5" applyFont="1" applyFill="1" applyBorder="1"/>
    <xf numFmtId="2" fontId="24" fillId="0" borderId="19" xfId="7" applyNumberFormat="1" applyFont="1" applyFill="1" applyBorder="1" applyAlignment="1">
      <alignment horizontal="right"/>
    </xf>
    <xf numFmtId="176" fontId="17" fillId="0" borderId="6" xfId="0" applyNumberFormat="1" applyFont="1" applyBorder="1"/>
    <xf numFmtId="176" fontId="17" fillId="0" borderId="0" xfId="0" applyNumberFormat="1" applyFont="1" applyBorder="1"/>
    <xf numFmtId="176" fontId="17" fillId="0" borderId="7" xfId="0" applyNumberFormat="1" applyFont="1" applyBorder="1"/>
    <xf numFmtId="166" fontId="17" fillId="0" borderId="6" xfId="0" applyNumberFormat="1" applyFont="1" applyBorder="1"/>
    <xf numFmtId="166" fontId="17" fillId="0" borderId="0" xfId="0" applyNumberFormat="1" applyFont="1" applyBorder="1"/>
    <xf numFmtId="166" fontId="17" fillId="0" borderId="7" xfId="0" applyNumberFormat="1" applyFont="1" applyBorder="1"/>
    <xf numFmtId="167" fontId="17" fillId="0" borderId="6" xfId="0" applyNumberFormat="1" applyFont="1" applyBorder="1"/>
    <xf numFmtId="167" fontId="17" fillId="0" borderId="0" xfId="0" applyNumberFormat="1" applyFont="1" applyBorder="1"/>
    <xf numFmtId="167" fontId="17" fillId="0" borderId="7" xfId="0" applyNumberFormat="1" applyFont="1" applyBorder="1"/>
    <xf numFmtId="173" fontId="2" fillId="0" borderId="6" xfId="0" applyNumberFormat="1" applyFont="1" applyBorder="1"/>
    <xf numFmtId="173" fontId="2" fillId="0" borderId="10" xfId="0" applyNumberFormat="1" applyFont="1" applyBorder="1"/>
    <xf numFmtId="173" fontId="17" fillId="0" borderId="7" xfId="0" applyNumberFormat="1" applyFont="1" applyBorder="1" applyAlignment="1"/>
    <xf numFmtId="173" fontId="17" fillId="0" borderId="11" xfId="0" applyNumberFormat="1" applyFont="1" applyBorder="1" applyAlignment="1"/>
    <xf numFmtId="173" fontId="17" fillId="0" borderId="7" xfId="0" applyNumberFormat="1" applyFont="1" applyBorder="1"/>
    <xf numFmtId="173" fontId="2" fillId="0" borderId="1" xfId="0" applyNumberFormat="1" applyFont="1" applyBorder="1"/>
    <xf numFmtId="173" fontId="2" fillId="0" borderId="11" xfId="0" applyNumberFormat="1" applyFont="1" applyBorder="1"/>
    <xf numFmtId="173" fontId="2" fillId="0" borderId="0" xfId="0" applyNumberFormat="1" applyFont="1" applyBorder="1"/>
    <xf numFmtId="173" fontId="2" fillId="0" borderId="7" xfId="0" applyNumberFormat="1" applyFont="1" applyBorder="1"/>
    <xf numFmtId="166" fontId="7" fillId="0" borderId="0" xfId="0" applyNumberFormat="1" applyFont="1" applyBorder="1" applyAlignment="1"/>
    <xf numFmtId="166" fontId="7" fillId="0" borderId="7" xfId="0" applyNumberFormat="1" applyFont="1" applyBorder="1" applyAlignment="1"/>
    <xf numFmtId="166" fontId="9" fillId="0" borderId="0" xfId="0" applyNumberFormat="1" applyFont="1" applyFill="1" applyBorder="1"/>
    <xf numFmtId="166" fontId="13" fillId="0" borderId="0" xfId="0" applyNumberFormat="1" applyFont="1" applyBorder="1"/>
    <xf numFmtId="166" fontId="13" fillId="0" borderId="7" xfId="0" applyNumberFormat="1" applyFont="1" applyBorder="1"/>
    <xf numFmtId="166" fontId="13" fillId="0" borderId="6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5" borderId="6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3" fillId="0" borderId="17" xfId="5" applyFont="1" applyBorder="1" applyAlignment="1">
      <alignment horizontal="left"/>
    </xf>
    <xf numFmtId="0" fontId="23" fillId="0" borderId="0" xfId="5" applyFont="1" applyAlignment="1">
      <alignment horizontal="left"/>
    </xf>
    <xf numFmtId="0" fontId="23" fillId="0" borderId="18" xfId="5" applyFont="1" applyBorder="1" applyAlignment="1">
      <alignment horizontal="left"/>
    </xf>
    <xf numFmtId="0" fontId="23" fillId="0" borderId="2" xfId="5" applyFont="1" applyBorder="1" applyAlignment="1">
      <alignment horizontal="left"/>
    </xf>
    <xf numFmtId="0" fontId="23" fillId="0" borderId="0" xfId="5" applyFont="1" applyBorder="1" applyAlignment="1">
      <alignment horizontal="left"/>
    </xf>
    <xf numFmtId="0" fontId="23" fillId="0" borderId="14" xfId="5" applyFont="1" applyBorder="1" applyAlignment="1">
      <alignment horizontal="left"/>
    </xf>
    <xf numFmtId="0" fontId="23" fillId="0" borderId="1" xfId="5" applyFont="1" applyBorder="1" applyAlignment="1">
      <alignment horizontal="left"/>
    </xf>
    <xf numFmtId="0" fontId="23" fillId="0" borderId="15" xfId="5" applyFont="1" applyBorder="1" applyAlignment="1">
      <alignment horizontal="left"/>
    </xf>
    <xf numFmtId="0" fontId="23" fillId="0" borderId="16" xfId="5" applyFont="1" applyBorder="1" applyAlignment="1">
      <alignment horizontal="left"/>
    </xf>
    <xf numFmtId="0" fontId="34" fillId="0" borderId="17" xfId="5" applyFont="1" applyBorder="1" applyAlignment="1">
      <alignment horizontal="left"/>
    </xf>
    <xf numFmtId="0" fontId="34" fillId="0" borderId="0" xfId="5" applyFont="1" applyAlignment="1">
      <alignment horizontal="left"/>
    </xf>
    <xf numFmtId="0" fontId="23" fillId="6" borderId="14" xfId="5" applyFont="1" applyFill="1" applyBorder="1" applyAlignment="1">
      <alignment horizontal="left"/>
    </xf>
    <xf numFmtId="0" fontId="23" fillId="6" borderId="1" xfId="5" applyFont="1" applyFill="1" applyBorder="1" applyAlignment="1">
      <alignment horizontal="left"/>
    </xf>
    <xf numFmtId="0" fontId="23" fillId="6" borderId="17" xfId="5" applyFont="1" applyFill="1" applyBorder="1" applyAlignment="1">
      <alignment horizontal="left"/>
    </xf>
    <xf numFmtId="0" fontId="23" fillId="6" borderId="0" xfId="5" applyFont="1" applyFill="1" applyBorder="1" applyAlignment="1">
      <alignment horizontal="left"/>
    </xf>
    <xf numFmtId="0" fontId="23" fillId="6" borderId="18" xfId="5" applyFont="1" applyFill="1" applyBorder="1" applyAlignment="1">
      <alignment horizontal="left"/>
    </xf>
    <xf numFmtId="0" fontId="23" fillId="6" borderId="2" xfId="5" applyFont="1" applyFill="1" applyBorder="1" applyAlignment="1">
      <alignment horizontal="left"/>
    </xf>
    <xf numFmtId="7" fontId="1" fillId="0" borderId="0" xfId="0" applyNumberFormat="1" applyFont="1" applyBorder="1"/>
  </cellXfs>
  <cellStyles count="11">
    <cellStyle name="Comma" xfId="3" builtinId="3"/>
    <cellStyle name="Comma 3" xfId="6" xr:uid="{1B2D8A0C-7C3E-47FD-93BC-FEAE512FBCBD}"/>
    <cellStyle name="Currency 2 2" xfId="9" xr:uid="{1F37F18D-BD54-4E46-992E-9664F59A7344}"/>
    <cellStyle name="Currency 2 2 2" xfId="8" xr:uid="{388BC185-D9AD-4BA6-AA24-4A33A0EEE99F}"/>
    <cellStyle name="Hyperlink" xfId="2" builtinId="8"/>
    <cellStyle name="Normal" xfId="0" builtinId="0"/>
    <cellStyle name="Normal 2" xfId="1" xr:uid="{2B566DF3-B4FC-4A2D-A90D-67C8232DFFC1}"/>
    <cellStyle name="Normal 3 2 2" xfId="5" xr:uid="{F15DD436-B191-4C6E-9851-3CF38B5A3FD1}"/>
    <cellStyle name="Percent" xfId="4" builtinId="5"/>
    <cellStyle name="Percent 2 2" xfId="7" xr:uid="{39FBA33F-4E5F-4BE9-9D80-BF8F9AE8C3E7}"/>
    <cellStyle name="Percent 4" xfId="10" xr:uid="{6BB11A76-1674-47C6-A7A6-F8D4CCA4B8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173181</xdr:colOff>
      <xdr:row>0</xdr:row>
      <xdr:rowOff>34636</xdr:rowOff>
    </xdr:from>
    <xdr:to>
      <xdr:col>7</xdr:col>
      <xdr:colOff>99752</xdr:colOff>
      <xdr:row>4</xdr:row>
      <xdr:rowOff>14254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59D666-A5FB-439C-533F-2EF4882A1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181" y="34636"/>
          <a:ext cx="7405255" cy="6446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287257</xdr:colOff>
      <xdr:row>1</xdr:row>
      <xdr:rowOff>7620</xdr:rowOff>
    </xdr:from>
    <xdr:to>
      <xdr:col>26</xdr:col>
      <xdr:colOff>388425</xdr:colOff>
      <xdr:row>23</xdr:row>
      <xdr:rowOff>22859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015643-3A55-1508-1E5F-1119211F0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257" y="190500"/>
          <a:ext cx="15950768" cy="4038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tlantafed.org/center-for-housing-and-policy/data-and-tools/commercial-real-estate-momentum-inde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F1D2-C03A-45EF-894D-8C7C895DA666}">
  <dimension ref="A1:AE170"/>
  <sheetViews>
    <sheetView showGridLines="0" zoomScale="70" zoomScaleNormal="70" workbookViewId="0">
      <selection activeCell="W4" sqref="W4"/>
    </sheetView>
  </sheetViews>
  <sheetFormatPr defaultRowHeight="13.2" x14ac:dyDescent="0.25"/>
  <cols>
    <col min="1" max="1" width="2.77734375" style="1" customWidth="1"/>
    <col min="2" max="2" width="25.77734375" style="1" bestFit="1" customWidth="1"/>
    <col min="3" max="3" width="2.77734375" style="1" customWidth="1"/>
    <col min="4" max="9" width="8.88671875" style="1"/>
    <col min="10" max="10" width="12.44140625" style="1" bestFit="1" customWidth="1"/>
    <col min="11" max="11" width="8.88671875" style="1"/>
    <col min="12" max="13" width="9.77734375" style="1" customWidth="1"/>
    <col min="14" max="14" width="9.88671875" style="1" bestFit="1" customWidth="1"/>
    <col min="15" max="15" width="9.44140625" style="1" bestFit="1" customWidth="1"/>
    <col min="16" max="16" width="2.77734375" style="1" customWidth="1"/>
    <col min="17" max="17" width="9.88671875" style="1" bestFit="1" customWidth="1"/>
    <col min="18" max="18" width="9.33203125" style="1" bestFit="1" customWidth="1"/>
    <col min="19" max="19" width="9.21875" style="1" bestFit="1" customWidth="1"/>
    <col min="20" max="20" width="10.44140625" style="1" bestFit="1" customWidth="1"/>
    <col min="21" max="21" width="2.77734375" style="1" customWidth="1"/>
    <col min="22" max="22" width="9.88671875" style="1" bestFit="1" customWidth="1"/>
    <col min="23" max="23" width="9.33203125" style="1" bestFit="1" customWidth="1"/>
    <col min="24" max="24" width="9.21875" style="1" bestFit="1" customWidth="1"/>
    <col min="25" max="25" width="9.44140625" style="1" bestFit="1" customWidth="1"/>
    <col min="26" max="26" width="8.88671875" style="1"/>
    <col min="27" max="27" width="10.109375" style="1" bestFit="1" customWidth="1"/>
    <col min="28" max="28" width="10.88671875" style="1" bestFit="1" customWidth="1"/>
    <col min="29" max="29" width="12.44140625" style="1" bestFit="1" customWidth="1"/>
    <col min="30" max="30" width="10.21875" style="1" bestFit="1" customWidth="1"/>
    <col min="31" max="31" width="12.44140625" style="1" bestFit="1" customWidth="1"/>
    <col min="32" max="16384" width="8.88671875" style="1"/>
  </cols>
  <sheetData>
    <row r="1" spans="2:31" ht="13.8" thickBot="1" x14ac:dyDescent="0.3"/>
    <row r="2" spans="2:31" x14ac:dyDescent="0.25">
      <c r="B2" s="447" t="s">
        <v>269</v>
      </c>
      <c r="C2" s="448"/>
      <c r="D2" s="448" t="s">
        <v>270</v>
      </c>
      <c r="E2" s="448" t="s">
        <v>218</v>
      </c>
      <c r="F2" s="449" t="s">
        <v>271</v>
      </c>
    </row>
    <row r="3" spans="2:31" x14ac:dyDescent="0.25">
      <c r="B3" s="472" t="s">
        <v>215</v>
      </c>
      <c r="C3" s="473"/>
      <c r="D3" s="474">
        <f>D35</f>
        <v>18.3</v>
      </c>
      <c r="E3" s="475">
        <f>D37</f>
        <v>0.38113207547169814</v>
      </c>
      <c r="F3" s="476">
        <v>0</v>
      </c>
      <c r="H3" s="481"/>
    </row>
    <row r="4" spans="2:31" x14ac:dyDescent="0.25">
      <c r="B4" s="472" t="s">
        <v>272</v>
      </c>
      <c r="C4" s="473"/>
      <c r="D4" s="474">
        <f ca="1">O24</f>
        <v>14.3</v>
      </c>
      <c r="E4" s="475">
        <f ca="1">O26</f>
        <v>7.9245283018867907E-2</v>
      </c>
      <c r="F4" s="476">
        <v>0.5</v>
      </c>
      <c r="H4" s="477"/>
    </row>
    <row r="5" spans="2:31" x14ac:dyDescent="0.25">
      <c r="B5" s="472" t="s">
        <v>273</v>
      </c>
      <c r="C5" s="473"/>
      <c r="D5" s="474">
        <f ca="1">O42</f>
        <v>14.3</v>
      </c>
      <c r="E5" s="475">
        <f ca="1">O44</f>
        <v>7.9245283018867907E-2</v>
      </c>
      <c r="F5" s="476">
        <f>F4</f>
        <v>0.5</v>
      </c>
      <c r="H5" s="479"/>
      <c r="I5" s="33"/>
    </row>
    <row r="6" spans="2:31" x14ac:dyDescent="0.25">
      <c r="B6" s="67" t="s">
        <v>274</v>
      </c>
      <c r="C6" s="8"/>
      <c r="D6" s="8"/>
      <c r="E6" s="8"/>
      <c r="F6" s="471">
        <f ca="1">ROUND((D3*F3)+(D4*F4)+(D5*F5),1)</f>
        <v>14.3</v>
      </c>
    </row>
    <row r="7" spans="2:31" x14ac:dyDescent="0.25">
      <c r="B7" s="26" t="s">
        <v>250</v>
      </c>
      <c r="C7" s="27"/>
      <c r="D7" s="27"/>
      <c r="E7" s="27"/>
      <c r="F7" s="451">
        <f>D36</f>
        <v>13.25</v>
      </c>
    </row>
    <row r="8" spans="2:31" ht="13.8" thickBot="1" x14ac:dyDescent="0.3">
      <c r="B8" s="452" t="s">
        <v>218</v>
      </c>
      <c r="C8" s="453"/>
      <c r="D8" s="453"/>
      <c r="E8" s="453"/>
      <c r="F8" s="454">
        <f ca="1">(F6/F7)-1</f>
        <v>7.9245283018867907E-2</v>
      </c>
    </row>
    <row r="10" spans="2:31" x14ac:dyDescent="0.25">
      <c r="H10" s="1">
        <v>19.760000000000002</v>
      </c>
      <c r="I10" s="1">
        <v>21.7</v>
      </c>
      <c r="J10" s="1">
        <v>21.94</v>
      </c>
    </row>
    <row r="11" spans="2:31" x14ac:dyDescent="0.25"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AA11" s="36" t="s">
        <v>287</v>
      </c>
      <c r="AB11" s="36"/>
      <c r="AC11" s="36"/>
      <c r="AD11" s="36"/>
      <c r="AE11" s="36"/>
    </row>
    <row r="12" spans="2:31" x14ac:dyDescent="0.25">
      <c r="B12" s="513" t="s">
        <v>215</v>
      </c>
      <c r="C12" s="2"/>
      <c r="D12" s="512" t="s">
        <v>10</v>
      </c>
      <c r="E12" s="512"/>
      <c r="F12" s="512"/>
      <c r="G12" s="512"/>
      <c r="H12" s="512"/>
      <c r="I12" s="512"/>
      <c r="J12" s="512"/>
      <c r="L12" s="513" t="s">
        <v>240</v>
      </c>
      <c r="M12" s="513"/>
      <c r="N12" s="512" t="s">
        <v>11</v>
      </c>
      <c r="O12" s="512"/>
      <c r="P12" s="433"/>
      <c r="Q12" s="512" t="s">
        <v>12</v>
      </c>
      <c r="R12" s="512"/>
      <c r="S12" s="512"/>
      <c r="T12" s="512"/>
      <c r="U12" s="433"/>
      <c r="V12" s="512" t="s">
        <v>13</v>
      </c>
      <c r="W12" s="512"/>
      <c r="X12" s="512"/>
      <c r="Y12" s="512"/>
      <c r="AA12" s="1" t="s">
        <v>283</v>
      </c>
      <c r="AB12" s="1" t="s">
        <v>284</v>
      </c>
      <c r="AC12" s="1" t="s">
        <v>286</v>
      </c>
      <c r="AD12" s="1" t="s">
        <v>285</v>
      </c>
      <c r="AE12" s="1" t="s">
        <v>286</v>
      </c>
    </row>
    <row r="13" spans="2:31" x14ac:dyDescent="0.25">
      <c r="B13" s="513"/>
      <c r="C13" s="2"/>
      <c r="D13" s="3" t="s">
        <v>7</v>
      </c>
      <c r="E13" s="3" t="s">
        <v>8</v>
      </c>
      <c r="F13" s="3" t="s">
        <v>9</v>
      </c>
      <c r="G13" s="3" t="s">
        <v>98</v>
      </c>
      <c r="H13" s="3" t="s">
        <v>99</v>
      </c>
      <c r="I13" s="3" t="s">
        <v>100</v>
      </c>
      <c r="J13" s="3" t="s">
        <v>103</v>
      </c>
      <c r="L13" s="513"/>
      <c r="M13" s="513"/>
      <c r="N13" s="434">
        <v>44834</v>
      </c>
      <c r="O13" s="434">
        <v>44926</v>
      </c>
      <c r="P13" s="333"/>
      <c r="Q13" s="434">
        <v>45016</v>
      </c>
      <c r="R13" s="434">
        <v>45107</v>
      </c>
      <c r="S13" s="434">
        <v>45199</v>
      </c>
      <c r="T13" s="434">
        <v>45291</v>
      </c>
      <c r="U13" s="333"/>
      <c r="V13" s="434">
        <v>45382</v>
      </c>
      <c r="W13" s="434">
        <v>45473</v>
      </c>
      <c r="X13" s="434">
        <v>45565</v>
      </c>
      <c r="Y13" s="434">
        <v>45657</v>
      </c>
      <c r="AA13" s="482">
        <v>43745</v>
      </c>
      <c r="AB13" s="322">
        <v>14.363080999999999</v>
      </c>
      <c r="AD13" s="322">
        <v>1511.900024</v>
      </c>
    </row>
    <row r="14" spans="2:31" x14ac:dyDescent="0.25">
      <c r="B14" s="211" t="s">
        <v>216</v>
      </c>
      <c r="C14" s="5"/>
      <c r="D14" s="4"/>
      <c r="E14" s="4"/>
      <c r="F14" s="4"/>
      <c r="G14" s="4"/>
      <c r="H14" s="4"/>
      <c r="I14" s="4"/>
      <c r="J14" s="4"/>
      <c r="L14" s="211" t="s">
        <v>259</v>
      </c>
      <c r="M14" s="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AA14" s="482">
        <v>43752</v>
      </c>
      <c r="AB14" s="322">
        <v>14.501185</v>
      </c>
      <c r="AC14" s="329">
        <f>(AB14/AB13)-1</f>
        <v>9.61520721076492E-3</v>
      </c>
      <c r="AD14" s="322">
        <v>1535.4799800000001</v>
      </c>
      <c r="AE14" s="329">
        <f>(AD14/AD13)-1</f>
        <v>1.5596240244520221E-2</v>
      </c>
    </row>
    <row r="15" spans="2:31" x14ac:dyDescent="0.25">
      <c r="B15" s="1" t="s">
        <v>55</v>
      </c>
      <c r="C15" s="2"/>
      <c r="D15" s="13">
        <f>'Pro Forma'!AC155</f>
        <v>23449.684543288655</v>
      </c>
      <c r="E15" s="13">
        <f>'Pro Forma'!AD155</f>
        <v>31426.13570502121</v>
      </c>
      <c r="F15" s="13">
        <f>'Pro Forma'!AE155</f>
        <v>33493.426028458583</v>
      </c>
      <c r="G15" s="13">
        <f>'Pro Forma'!AF155</f>
        <v>35898.137197912685</v>
      </c>
      <c r="H15" s="13">
        <f>'Pro Forma'!AG155</f>
        <v>40098.513193904502</v>
      </c>
      <c r="I15" s="13">
        <f>'Pro Forma'!AH155</f>
        <v>45124.192735278419</v>
      </c>
      <c r="J15" s="15">
        <f>(I17*(1+J36))*J37</f>
        <v>46139.224729872876</v>
      </c>
      <c r="L15" s="1" t="s">
        <v>252</v>
      </c>
      <c r="N15" s="431">
        <v>0.37</v>
      </c>
      <c r="O15" s="431">
        <v>0.41</v>
      </c>
      <c r="P15" s="431"/>
      <c r="Q15" s="432">
        <v>0.4</v>
      </c>
      <c r="R15" s="431">
        <v>0.42</v>
      </c>
      <c r="S15" s="431">
        <v>0.42</v>
      </c>
      <c r="T15" s="431">
        <v>0.42</v>
      </c>
      <c r="U15" s="431"/>
      <c r="V15" s="431">
        <f>1.84/4</f>
        <v>0.46</v>
      </c>
      <c r="W15" s="431">
        <f>V15</f>
        <v>0.46</v>
      </c>
      <c r="X15" s="431">
        <f>W15</f>
        <v>0.46</v>
      </c>
      <c r="Y15" s="431">
        <f>X15</f>
        <v>0.46</v>
      </c>
      <c r="AA15" s="482">
        <v>43759</v>
      </c>
      <c r="AB15" s="322">
        <v>14.317043999999999</v>
      </c>
      <c r="AC15" s="329">
        <f t="shared" ref="AC15:AE78" si="0">(AB15/AB14)-1</f>
        <v>-1.2698341549328584E-2</v>
      </c>
      <c r="AD15" s="322">
        <v>1558.709961</v>
      </c>
      <c r="AE15" s="329">
        <f t="shared" si="0"/>
        <v>1.5128807475562001E-2</v>
      </c>
    </row>
    <row r="16" spans="2:31" x14ac:dyDescent="0.25">
      <c r="B16" s="6" t="s">
        <v>101</v>
      </c>
      <c r="D16" s="15">
        <f t="shared" ref="D16:J16" si="1">D17*D20</f>
        <v>15868.75735865967</v>
      </c>
      <c r="E16" s="15">
        <f t="shared" si="1"/>
        <v>18213.880382595526</v>
      </c>
      <c r="F16" s="15">
        <f t="shared" si="1"/>
        <v>19942.210776638316</v>
      </c>
      <c r="G16" s="15">
        <f t="shared" si="1"/>
        <v>21477.859621608273</v>
      </c>
      <c r="H16" s="15">
        <f t="shared" si="1"/>
        <v>22823.265299883744</v>
      </c>
      <c r="I16" s="15">
        <f t="shared" si="1"/>
        <v>25050.237995117612</v>
      </c>
      <c r="J16" s="15">
        <f t="shared" si="1"/>
        <v>25300.740375068784</v>
      </c>
      <c r="L16" s="1" t="s">
        <v>253</v>
      </c>
      <c r="N16" s="430">
        <f>'Pro Forma'!P157</f>
        <v>0.33385159046151242</v>
      </c>
      <c r="O16" s="430">
        <f>'Pro Forma'!Q157</f>
        <v>0.50135029671729003</v>
      </c>
      <c r="P16" s="430"/>
      <c r="Q16" s="430">
        <f>'Pro Forma'!S157</f>
        <v>0.45997032595617182</v>
      </c>
      <c r="R16" s="430">
        <f>'Pro Forma'!T157</f>
        <v>0.41539580356729683</v>
      </c>
      <c r="S16" s="430">
        <f>'Pro Forma'!U157</f>
        <v>0.44225391320935104</v>
      </c>
      <c r="T16" s="430">
        <f>'Pro Forma'!V157</f>
        <v>0.45850972697032344</v>
      </c>
      <c r="U16" s="430"/>
      <c r="V16" s="430">
        <f>'Pro Forma'!X157</f>
        <v>0.44223751607318817</v>
      </c>
      <c r="W16" s="430">
        <f>'Pro Forma'!Y157</f>
        <v>0.46085290892398423</v>
      </c>
      <c r="X16" s="430">
        <f>'Pro Forma'!Z157</f>
        <v>0.48736462865003521</v>
      </c>
      <c r="Y16" s="430">
        <f>'Pro Forma'!AA157</f>
        <v>0.51463725814113892</v>
      </c>
      <c r="AA16" s="482">
        <v>43766</v>
      </c>
      <c r="AB16" s="322">
        <v>14.501185</v>
      </c>
      <c r="AC16" s="329">
        <f t="shared" si="0"/>
        <v>1.2861663343354923E-2</v>
      </c>
      <c r="AD16" s="322">
        <v>1589.329956</v>
      </c>
      <c r="AE16" s="329">
        <f t="shared" si="0"/>
        <v>1.9644446860630493E-2</v>
      </c>
    </row>
    <row r="17" spans="1:31" x14ac:dyDescent="0.25">
      <c r="B17" s="323" t="s">
        <v>106</v>
      </c>
      <c r="C17" s="9"/>
      <c r="D17" s="41">
        <f>('Pro Forma'!AB202*1000)+SUM('Pro Forma'!N155:Q155)-(SUM('Pro Forma'!N213:Q213)-(D27*SUM('Pro Forma'!N213:Q213)))</f>
        <v>241156.36904328864</v>
      </c>
      <c r="E17" s="41">
        <f>D17+E29</f>
        <v>264725.97082205454</v>
      </c>
      <c r="F17" s="41">
        <f>E17+F29</f>
        <v>289846.04034339846</v>
      </c>
      <c r="G17" s="41">
        <f>F17+G29</f>
        <v>316769.64324183296</v>
      </c>
      <c r="H17" s="41">
        <f>G17+H29</f>
        <v>346843.52813726134</v>
      </c>
      <c r="I17" s="41">
        <f>H17+I29</f>
        <v>380686.67268872017</v>
      </c>
      <c r="J17" s="41">
        <f>I17*(1+$J$36)</f>
        <v>384493.53941560735</v>
      </c>
      <c r="P17" s="322"/>
      <c r="AA17" s="482">
        <v>43773</v>
      </c>
      <c r="AB17" s="322">
        <v>14.432111000000001</v>
      </c>
      <c r="AC17" s="329">
        <f t="shared" si="0"/>
        <v>-4.7633348584960045E-3</v>
      </c>
      <c r="AD17" s="322">
        <v>1598.8599850000001</v>
      </c>
      <c r="AE17" s="329">
        <f t="shared" si="0"/>
        <v>5.9962558209027961E-3</v>
      </c>
    </row>
    <row r="18" spans="1:31" x14ac:dyDescent="0.25">
      <c r="A18" s="444"/>
      <c r="B18" s="441" t="s">
        <v>268</v>
      </c>
      <c r="C18" s="437"/>
      <c r="D18" s="439">
        <f>D15/D17</f>
        <v>9.7238503947948113E-2</v>
      </c>
      <c r="E18" s="439">
        <f t="shared" ref="E18:J18" si="2">E15/E17</f>
        <v>0.11871194808515959</v>
      </c>
      <c r="F18" s="439">
        <f t="shared" si="2"/>
        <v>0.11555592061487836</v>
      </c>
      <c r="G18" s="439">
        <f t="shared" si="2"/>
        <v>0.1133256862322088</v>
      </c>
      <c r="H18" s="439">
        <f t="shared" si="2"/>
        <v>0.11560980655817728</v>
      </c>
      <c r="I18" s="439">
        <f t="shared" si="2"/>
        <v>0.11853368129904449</v>
      </c>
      <c r="J18" s="439">
        <f t="shared" si="2"/>
        <v>0.11999999999999998</v>
      </c>
      <c r="L18" s="455" t="s">
        <v>250</v>
      </c>
      <c r="M18" s="9"/>
      <c r="N18" s="9"/>
      <c r="O18" s="456">
        <f>D36</f>
        <v>13.25</v>
      </c>
      <c r="P18" s="456"/>
      <c r="Q18" s="9" t="s">
        <v>266</v>
      </c>
      <c r="R18" s="9"/>
      <c r="S18" s="9"/>
      <c r="T18" s="456">
        <f>T36</f>
        <v>3612.39</v>
      </c>
      <c r="U18" s="9"/>
      <c r="V18" s="9" t="s">
        <v>278</v>
      </c>
      <c r="W18" s="9"/>
      <c r="X18" s="9"/>
      <c r="Y18" s="457">
        <f ca="1">O20/T20</f>
        <v>0.53124967332449036</v>
      </c>
      <c r="AA18" s="482">
        <v>43780</v>
      </c>
      <c r="AB18" s="322">
        <v>14.515374</v>
      </c>
      <c r="AC18" s="329">
        <f t="shared" si="0"/>
        <v>5.7692876669255266E-3</v>
      </c>
      <c r="AD18" s="322">
        <v>1596.4499510000001</v>
      </c>
      <c r="AE18" s="329">
        <f t="shared" si="0"/>
        <v>-1.5073452476203064E-3</v>
      </c>
    </row>
    <row r="19" spans="1:31" x14ac:dyDescent="0.25">
      <c r="B19" s="442" t="s">
        <v>257</v>
      </c>
      <c r="C19" s="443"/>
      <c r="D19" s="440">
        <f t="shared" ref="D19:J19" si="3">D17/$D$34</f>
        <v>13.712760038341754</v>
      </c>
      <c r="E19" s="440">
        <f t="shared" si="3"/>
        <v>15.052987106254992</v>
      </c>
      <c r="F19" s="440">
        <f t="shared" si="3"/>
        <v>16.481377684779662</v>
      </c>
      <c r="G19" s="440">
        <f t="shared" si="3"/>
        <v>18.012321724858332</v>
      </c>
      <c r="H19" s="440">
        <f t="shared" si="3"/>
        <v>19.722398753417725</v>
      </c>
      <c r="I19" s="440">
        <f t="shared" si="3"/>
        <v>21.64680540300434</v>
      </c>
      <c r="J19" s="440">
        <f t="shared" si="3"/>
        <v>21.863273457034381</v>
      </c>
      <c r="L19" s="458" t="s">
        <v>255</v>
      </c>
      <c r="M19" s="27"/>
      <c r="N19" s="27"/>
      <c r="O19" s="459">
        <f ca="1">(SUM(Q15:T15)*(($T$13-NOW())/365))+(SUM(V15:Y15)*(1-(($T$13-NOW())/365)))</f>
        <v>1.6217770811643848</v>
      </c>
      <c r="P19" s="27"/>
      <c r="Q19" s="27" t="s">
        <v>277</v>
      </c>
      <c r="R19" s="27"/>
      <c r="S19" s="27"/>
      <c r="T19" s="450">
        <f ca="1">(239.05*(($T$13-NOW())/365))+(258.63*(1-(($T$13-NOW())/365)))</f>
        <v>234.8921958288814</v>
      </c>
      <c r="U19" s="27"/>
      <c r="V19" s="185" t="s">
        <v>280</v>
      </c>
      <c r="W19" s="27"/>
      <c r="X19" s="27"/>
      <c r="Y19" s="467">
        <f ca="1">Y18</f>
        <v>0.53124967332449036</v>
      </c>
      <c r="AA19" s="482">
        <v>43787</v>
      </c>
      <c r="AB19" s="322">
        <v>14.506123000000001</v>
      </c>
      <c r="AC19" s="329">
        <f t="shared" si="0"/>
        <v>-6.3732426047025115E-4</v>
      </c>
      <c r="AD19" s="322">
        <v>1588.9399410000001</v>
      </c>
      <c r="AE19" s="329">
        <f t="shared" si="0"/>
        <v>-4.7041938241131342E-3</v>
      </c>
    </row>
    <row r="20" spans="1:31" x14ac:dyDescent="0.25">
      <c r="A20" s="444"/>
      <c r="B20" s="10" t="s">
        <v>107</v>
      </c>
      <c r="D20" s="37">
        <f t="shared" ref="D20:J20" si="4">$J$35+D21</f>
        <v>6.5802771129843798E-2</v>
      </c>
      <c r="E20" s="37">
        <f t="shared" si="4"/>
        <v>6.8802771129843801E-2</v>
      </c>
      <c r="F20" s="37">
        <f t="shared" si="4"/>
        <v>6.8802771129843801E-2</v>
      </c>
      <c r="G20" s="37">
        <f t="shared" si="4"/>
        <v>6.78027711298438E-2</v>
      </c>
      <c r="H20" s="37">
        <f t="shared" si="4"/>
        <v>6.5802771129843798E-2</v>
      </c>
      <c r="I20" s="37">
        <f t="shared" si="4"/>
        <v>6.5802771129843798E-2</v>
      </c>
      <c r="J20" s="37">
        <f t="shared" si="4"/>
        <v>6.5802771129843798E-2</v>
      </c>
      <c r="L20" s="460" t="s">
        <v>254</v>
      </c>
      <c r="M20" s="461"/>
      <c r="N20" s="461"/>
      <c r="O20" s="462">
        <f ca="1">O18/O19</f>
        <v>8.1700500974442907</v>
      </c>
      <c r="P20" s="461"/>
      <c r="Q20" s="461" t="s">
        <v>275</v>
      </c>
      <c r="R20" s="461"/>
      <c r="S20" s="461"/>
      <c r="T20" s="463">
        <f ca="1">T18/T19</f>
        <v>15.378927287271905</v>
      </c>
      <c r="U20" s="461"/>
      <c r="V20" s="461"/>
      <c r="W20" s="461"/>
      <c r="X20" s="461"/>
      <c r="Y20" s="464"/>
      <c r="AA20" s="482">
        <v>43794</v>
      </c>
      <c r="AB20" s="322">
        <v>14.996442</v>
      </c>
      <c r="AC20" s="329">
        <f t="shared" si="0"/>
        <v>3.3800830173575713E-2</v>
      </c>
      <c r="AD20" s="322">
        <v>1624.5</v>
      </c>
      <c r="AE20" s="329">
        <f t="shared" si="0"/>
        <v>2.2379737636666119E-2</v>
      </c>
    </row>
    <row r="21" spans="1:31" x14ac:dyDescent="0.25">
      <c r="B21" s="478" t="s">
        <v>265</v>
      </c>
      <c r="C21" s="479"/>
      <c r="D21" s="480">
        <v>0</v>
      </c>
      <c r="E21" s="480">
        <v>3.0000000000000001E-3</v>
      </c>
      <c r="F21" s="480">
        <v>3.0000000000000001E-3</v>
      </c>
      <c r="G21" s="480">
        <v>2E-3</v>
      </c>
      <c r="H21" s="480">
        <v>0</v>
      </c>
      <c r="I21" s="480">
        <v>0</v>
      </c>
      <c r="J21" s="480">
        <v>0</v>
      </c>
      <c r="AA21" s="482">
        <v>43801</v>
      </c>
      <c r="AB21" s="322">
        <v>14.672644999999999</v>
      </c>
      <c r="AC21" s="329">
        <f t="shared" si="0"/>
        <v>-2.1591588191385735E-2</v>
      </c>
      <c r="AD21" s="322">
        <v>1633.839966</v>
      </c>
      <c r="AE21" s="329">
        <f t="shared" si="0"/>
        <v>5.7494404432132384E-3</v>
      </c>
    </row>
    <row r="22" spans="1:31" x14ac:dyDescent="0.25">
      <c r="B22" s="9" t="s">
        <v>102</v>
      </c>
      <c r="C22" s="9"/>
      <c r="D22" s="41">
        <f t="shared" ref="D22:J22" si="5">D15-D16</f>
        <v>7580.9271846289848</v>
      </c>
      <c r="E22" s="41">
        <f t="shared" si="5"/>
        <v>13212.255322425684</v>
      </c>
      <c r="F22" s="41">
        <f t="shared" si="5"/>
        <v>13551.215251820267</v>
      </c>
      <c r="G22" s="41">
        <f t="shared" si="5"/>
        <v>14420.277576304412</v>
      </c>
      <c r="H22" s="41">
        <f t="shared" si="5"/>
        <v>17275.247894020758</v>
      </c>
      <c r="I22" s="41">
        <f t="shared" si="5"/>
        <v>20073.954740160807</v>
      </c>
      <c r="J22" s="41">
        <f t="shared" si="5"/>
        <v>20838.484354804092</v>
      </c>
      <c r="L22" s="1" t="s">
        <v>251</v>
      </c>
      <c r="O22" s="322">
        <f ca="1">(SUM(Q16:T16)*(($T$13-NOW())/365))+(SUM(V16:Y16)*(1-(($T$13-NOW())/365)))</f>
        <v>1.748744632042269</v>
      </c>
      <c r="AA22" s="482">
        <v>43808</v>
      </c>
      <c r="AB22" s="322">
        <v>14.940935</v>
      </c>
      <c r="AC22" s="329">
        <f t="shared" si="0"/>
        <v>1.8285046765596835E-2</v>
      </c>
      <c r="AD22" s="322">
        <v>1637.9799800000001</v>
      </c>
      <c r="AE22" s="329">
        <f t="shared" si="0"/>
        <v>2.5339164704947237E-3</v>
      </c>
    </row>
    <row r="23" spans="1:31" x14ac:dyDescent="0.25">
      <c r="B23" s="1" t="s">
        <v>104</v>
      </c>
      <c r="D23" s="38">
        <f>D20+1</f>
        <v>1.0658027711298439</v>
      </c>
      <c r="E23" s="38">
        <f t="shared" ref="E23:J23" si="6">(1+E20)*D23</f>
        <v>1.1391329552614438</v>
      </c>
      <c r="F23" s="38">
        <f t="shared" si="6"/>
        <v>1.2175084592687595</v>
      </c>
      <c r="G23" s="38">
        <f t="shared" si="6"/>
        <v>1.300058906681208</v>
      </c>
      <c r="H23" s="38">
        <f t="shared" si="6"/>
        <v>1.3856063853728666</v>
      </c>
      <c r="I23" s="38">
        <f t="shared" si="6"/>
        <v>1.4767831252256076</v>
      </c>
      <c r="J23" s="38">
        <f t="shared" si="6"/>
        <v>1.5739595472232439</v>
      </c>
      <c r="L23" s="1" t="s">
        <v>254</v>
      </c>
      <c r="O23" s="435">
        <f ca="1">Y19*T20</f>
        <v>8.1700500974442907</v>
      </c>
      <c r="AA23" s="482">
        <v>43815</v>
      </c>
      <c r="AB23" s="322">
        <v>14.894679</v>
      </c>
      <c r="AC23" s="329">
        <f t="shared" si="0"/>
        <v>-3.0959240502685947E-3</v>
      </c>
      <c r="AD23" s="322">
        <v>1671.900024</v>
      </c>
      <c r="AE23" s="329">
        <f t="shared" si="0"/>
        <v>2.0708460673615869E-2</v>
      </c>
    </row>
    <row r="24" spans="1:31" ht="13.8" thickBot="1" x14ac:dyDescent="0.3">
      <c r="B24" s="1" t="s">
        <v>105</v>
      </c>
      <c r="D24" s="15">
        <f t="shared" ref="D24:J24" si="7">D22/D23</f>
        <v>7112.879971772395</v>
      </c>
      <c r="E24" s="15">
        <f t="shared" si="7"/>
        <v>11598.519085415559</v>
      </c>
      <c r="F24" s="15">
        <f t="shared" si="7"/>
        <v>11130.284269202681</v>
      </c>
      <c r="G24" s="15">
        <f t="shared" si="7"/>
        <v>11092.018601769756</v>
      </c>
      <c r="H24" s="15">
        <f t="shared" si="7"/>
        <v>12467.644546378147</v>
      </c>
      <c r="I24" s="15">
        <f t="shared" si="7"/>
        <v>13593.028249895608</v>
      </c>
      <c r="J24" s="15">
        <f t="shared" si="7"/>
        <v>13239.529816104256</v>
      </c>
      <c r="L24" s="445" t="s">
        <v>256</v>
      </c>
      <c r="M24" s="445"/>
      <c r="N24" s="445"/>
      <c r="O24" s="446">
        <f ca="1">ROUND(O22*O23,1)</f>
        <v>14.3</v>
      </c>
      <c r="AA24" s="482">
        <v>43822</v>
      </c>
      <c r="AB24" s="322">
        <v>15.218476000000001</v>
      </c>
      <c r="AC24" s="329">
        <f t="shared" si="0"/>
        <v>2.1739105622887278E-2</v>
      </c>
      <c r="AD24" s="322">
        <v>1669.030029</v>
      </c>
      <c r="AE24" s="329">
        <f t="shared" si="0"/>
        <v>-1.71660682983521E-3</v>
      </c>
    </row>
    <row r="25" spans="1:31" ht="13.8" thickTop="1" x14ac:dyDescent="0.25">
      <c r="L25" s="1" t="s">
        <v>250</v>
      </c>
      <c r="O25" s="322">
        <f>D36</f>
        <v>13.25</v>
      </c>
      <c r="AA25" s="482">
        <v>43829</v>
      </c>
      <c r="AB25" s="322">
        <v>14.487617999999999</v>
      </c>
      <c r="AC25" s="329">
        <f t="shared" si="0"/>
        <v>-4.8024388250177075E-2</v>
      </c>
      <c r="AD25" s="322">
        <v>1660.869995</v>
      </c>
      <c r="AE25" s="329">
        <f t="shared" si="0"/>
        <v>-4.8890875887290797E-3</v>
      </c>
    </row>
    <row r="26" spans="1:31" ht="13.8" thickBot="1" x14ac:dyDescent="0.3">
      <c r="B26" s="1" t="s">
        <v>55</v>
      </c>
      <c r="D26" s="13">
        <f t="shared" ref="D26:J26" si="8">D15</f>
        <v>23449.684543288655</v>
      </c>
      <c r="E26" s="13">
        <f t="shared" si="8"/>
        <v>31426.13570502121</v>
      </c>
      <c r="F26" s="13">
        <f t="shared" si="8"/>
        <v>33493.426028458583</v>
      </c>
      <c r="G26" s="13">
        <f t="shared" si="8"/>
        <v>35898.137197912685</v>
      </c>
      <c r="H26" s="13">
        <f t="shared" si="8"/>
        <v>40098.513193904502</v>
      </c>
      <c r="I26" s="13">
        <f t="shared" si="8"/>
        <v>45124.192735278419</v>
      </c>
      <c r="J26" s="13">
        <f t="shared" si="8"/>
        <v>46139.224729872876</v>
      </c>
      <c r="L26" s="428" t="s">
        <v>218</v>
      </c>
      <c r="M26" s="428"/>
      <c r="N26" s="428"/>
      <c r="O26" s="429">
        <f ca="1">(O24/O25)-1</f>
        <v>7.9245283018867907E-2</v>
      </c>
      <c r="AA26" s="482">
        <v>43836</v>
      </c>
      <c r="AB26" s="322">
        <v>14.108313000000001</v>
      </c>
      <c r="AC26" s="329">
        <f t="shared" si="0"/>
        <v>-2.6181322561100062E-2</v>
      </c>
      <c r="AD26" s="322">
        <v>1657.6400149999999</v>
      </c>
      <c r="AE26" s="329">
        <f t="shared" si="0"/>
        <v>-1.9447518527783147E-3</v>
      </c>
    </row>
    <row r="27" spans="1:31" ht="13.8" thickTop="1" x14ac:dyDescent="0.25">
      <c r="B27" s="1" t="s">
        <v>207</v>
      </c>
      <c r="D27" s="33">
        <v>0.25</v>
      </c>
      <c r="E27" s="33">
        <f t="shared" ref="E27:I27" si="9">D27</f>
        <v>0.25</v>
      </c>
      <c r="F27" s="33">
        <f t="shared" si="9"/>
        <v>0.25</v>
      </c>
      <c r="G27" s="33">
        <f t="shared" si="9"/>
        <v>0.25</v>
      </c>
      <c r="H27" s="33">
        <f t="shared" si="9"/>
        <v>0.25</v>
      </c>
      <c r="I27" s="33">
        <f t="shared" si="9"/>
        <v>0.25</v>
      </c>
      <c r="J27" s="33">
        <f t="shared" ref="J27" si="10">I27</f>
        <v>0.25</v>
      </c>
      <c r="AA27" s="482">
        <v>43843</v>
      </c>
      <c r="AB27" s="322">
        <v>14.30259</v>
      </c>
      <c r="AC27" s="329">
        <f t="shared" si="0"/>
        <v>1.377039196677865E-2</v>
      </c>
      <c r="AD27" s="322">
        <v>1699.6400149999999</v>
      </c>
      <c r="AE27" s="329">
        <f t="shared" si="0"/>
        <v>2.533722618900458E-2</v>
      </c>
    </row>
    <row r="28" spans="1:31" x14ac:dyDescent="0.25">
      <c r="B28" s="1" t="s">
        <v>208</v>
      </c>
      <c r="D28" s="15">
        <f>D26*D27</f>
        <v>5862.4211358221637</v>
      </c>
      <c r="E28" s="15">
        <f t="shared" ref="E28:J28" si="11">E26*E27</f>
        <v>7856.5339262553025</v>
      </c>
      <c r="F28" s="15">
        <f t="shared" si="11"/>
        <v>8373.3565071146459</v>
      </c>
      <c r="G28" s="15">
        <f t="shared" si="11"/>
        <v>8974.5342994781713</v>
      </c>
      <c r="H28" s="15">
        <f t="shared" si="11"/>
        <v>10024.628298476126</v>
      </c>
      <c r="I28" s="15">
        <f t="shared" si="11"/>
        <v>11281.048183819605</v>
      </c>
      <c r="J28" s="15">
        <f t="shared" si="11"/>
        <v>11534.806182468219</v>
      </c>
      <c r="AA28" s="482">
        <v>43850</v>
      </c>
      <c r="AB28" s="322">
        <v>14.247083999999999</v>
      </c>
      <c r="AC28" s="329">
        <f t="shared" si="0"/>
        <v>-3.8808355689424756E-3</v>
      </c>
      <c r="AD28" s="322">
        <v>1662.2299800000001</v>
      </c>
      <c r="AE28" s="329">
        <f t="shared" si="0"/>
        <v>-2.2010563807536521E-2</v>
      </c>
    </row>
    <row r="29" spans="1:31" x14ac:dyDescent="0.25">
      <c r="B29" s="1" t="s">
        <v>209</v>
      </c>
      <c r="D29" s="13">
        <f t="shared" ref="D29:J29" si="12">D26-D28</f>
        <v>17587.263407466489</v>
      </c>
      <c r="E29" s="13">
        <f t="shared" si="12"/>
        <v>23569.601778765908</v>
      </c>
      <c r="F29" s="13">
        <f>F26-F28</f>
        <v>25120.069521343939</v>
      </c>
      <c r="G29" s="13">
        <f t="shared" si="12"/>
        <v>26923.602898434514</v>
      </c>
      <c r="H29" s="13">
        <f t="shared" si="12"/>
        <v>30073.884895428375</v>
      </c>
      <c r="I29" s="13">
        <f t="shared" si="12"/>
        <v>33843.144551458812</v>
      </c>
      <c r="J29" s="13">
        <f t="shared" si="12"/>
        <v>34604.418547404654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AA29" s="482">
        <v>43857</v>
      </c>
      <c r="AB29" s="322">
        <v>14.200828</v>
      </c>
      <c r="AC29" s="329">
        <f t="shared" si="0"/>
        <v>-3.2466994649571479E-3</v>
      </c>
      <c r="AD29" s="322">
        <v>1614.0600589999999</v>
      </c>
      <c r="AE29" s="329">
        <f t="shared" si="0"/>
        <v>-2.8979095299436319E-2</v>
      </c>
    </row>
    <row r="30" spans="1:31" x14ac:dyDescent="0.25">
      <c r="L30" s="513" t="s">
        <v>241</v>
      </c>
      <c r="M30" s="513"/>
      <c r="N30" s="512" t="s">
        <v>11</v>
      </c>
      <c r="O30" s="512"/>
      <c r="P30" s="433"/>
      <c r="Q30" s="512" t="s">
        <v>12</v>
      </c>
      <c r="R30" s="512"/>
      <c r="S30" s="512"/>
      <c r="T30" s="512"/>
      <c r="U30" s="433"/>
      <c r="V30" s="512" t="s">
        <v>13</v>
      </c>
      <c r="W30" s="512"/>
      <c r="X30" s="512"/>
      <c r="Y30" s="512"/>
      <c r="AA30" s="482">
        <v>43864</v>
      </c>
      <c r="AB30" s="322">
        <v>14.265767</v>
      </c>
      <c r="AC30" s="329">
        <f t="shared" si="0"/>
        <v>4.5729023687914871E-3</v>
      </c>
      <c r="AD30" s="322">
        <v>1656.780029</v>
      </c>
      <c r="AE30" s="329">
        <f t="shared" si="0"/>
        <v>2.6467398013967136E-2</v>
      </c>
    </row>
    <row r="31" spans="1:31" x14ac:dyDescent="0.25">
      <c r="B31" s="1" t="s">
        <v>210</v>
      </c>
      <c r="D31" s="15">
        <f>D17</f>
        <v>241156.36904328864</v>
      </c>
      <c r="F31" s="36" t="s">
        <v>108</v>
      </c>
      <c r="G31" s="438"/>
      <c r="H31" s="36"/>
      <c r="I31" s="36"/>
      <c r="J31" s="438"/>
      <c r="L31" s="513"/>
      <c r="M31" s="513"/>
      <c r="N31" s="434">
        <v>44834</v>
      </c>
      <c r="O31" s="434">
        <v>44926</v>
      </c>
      <c r="P31" s="333"/>
      <c r="Q31" s="434">
        <v>45016</v>
      </c>
      <c r="R31" s="434">
        <v>45107</v>
      </c>
      <c r="S31" s="434">
        <v>45199</v>
      </c>
      <c r="T31" s="434">
        <v>45291</v>
      </c>
      <c r="U31" s="333"/>
      <c r="V31" s="434">
        <v>45382</v>
      </c>
      <c r="W31" s="434">
        <v>45473</v>
      </c>
      <c r="X31" s="434">
        <v>45565</v>
      </c>
      <c r="Y31" s="434">
        <v>45657</v>
      </c>
      <c r="AA31" s="482">
        <v>43871</v>
      </c>
      <c r="AB31" s="322">
        <v>14.116778</v>
      </c>
      <c r="AC31" s="329">
        <f t="shared" si="0"/>
        <v>-1.0443812800251084E-2</v>
      </c>
      <c r="AD31" s="322">
        <v>1687.579956</v>
      </c>
      <c r="AE31" s="329">
        <f t="shared" si="0"/>
        <v>1.8590233139513579E-2</v>
      </c>
    </row>
    <row r="32" spans="1:31" x14ac:dyDescent="0.25">
      <c r="B32" s="1" t="s">
        <v>211</v>
      </c>
      <c r="D32" s="15">
        <f>SUM(D24:J24)</f>
        <v>80233.904540538409</v>
      </c>
      <c r="F32" s="1" t="s">
        <v>109</v>
      </c>
      <c r="J32" s="33">
        <v>4.2000000000000003E-2</v>
      </c>
      <c r="L32" s="211" t="s">
        <v>259</v>
      </c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AA32" s="482">
        <v>43878</v>
      </c>
      <c r="AB32" s="322">
        <v>13.995725</v>
      </c>
      <c r="AC32" s="329">
        <f t="shared" si="0"/>
        <v>-8.57511536981026E-3</v>
      </c>
      <c r="AD32" s="322">
        <v>1678.6099850000001</v>
      </c>
      <c r="AE32" s="329">
        <f t="shared" si="0"/>
        <v>-5.3152865250077896E-3</v>
      </c>
    </row>
    <row r="33" spans="2:31" x14ac:dyDescent="0.25">
      <c r="B33" s="1" t="s">
        <v>212</v>
      </c>
      <c r="D33" s="15">
        <f>D31+D32</f>
        <v>321390.27358382707</v>
      </c>
      <c r="F33" s="1" t="s">
        <v>110</v>
      </c>
      <c r="J33" s="33">
        <v>0.05</v>
      </c>
      <c r="L33" s="1" t="s">
        <v>260</v>
      </c>
      <c r="T33" s="1">
        <v>15.04</v>
      </c>
      <c r="AA33" s="482">
        <v>43885</v>
      </c>
      <c r="AB33" s="322">
        <v>13.846734</v>
      </c>
      <c r="AC33" s="329">
        <f t="shared" si="0"/>
        <v>-1.0645464954477157E-2</v>
      </c>
      <c r="AD33" s="322">
        <v>1476.4300539999999</v>
      </c>
      <c r="AE33" s="329">
        <f t="shared" si="0"/>
        <v>-0.12044485187546417</v>
      </c>
    </row>
    <row r="34" spans="2:31" x14ac:dyDescent="0.25">
      <c r="B34" s="1" t="s">
        <v>213</v>
      </c>
      <c r="D34" s="15">
        <f>'Pro Forma'!O158*1000</f>
        <v>17586.275000000001</v>
      </c>
      <c r="F34" s="1" t="s">
        <v>111</v>
      </c>
      <c r="J34" s="330">
        <f>SLOPE(AC14:AC170,AE14:AE170)</f>
        <v>0.47605542259687589</v>
      </c>
      <c r="L34" s="1" t="s">
        <v>262</v>
      </c>
      <c r="T34" s="330">
        <f>E19</f>
        <v>15.052987106254992</v>
      </c>
      <c r="Y34" s="330">
        <f>F19</f>
        <v>16.481377684779662</v>
      </c>
      <c r="AA34" s="482">
        <v>43892</v>
      </c>
      <c r="AB34" s="322">
        <v>12.254407</v>
      </c>
      <c r="AC34" s="329">
        <f t="shared" si="0"/>
        <v>-0.11499657608790625</v>
      </c>
      <c r="AD34" s="322">
        <v>1449.219971</v>
      </c>
      <c r="AE34" s="329">
        <f t="shared" si="0"/>
        <v>-1.8429645838136E-2</v>
      </c>
    </row>
    <row r="35" spans="2:31" ht="13.8" thickBot="1" x14ac:dyDescent="0.3">
      <c r="B35" s="445" t="s">
        <v>214</v>
      </c>
      <c r="C35" s="445"/>
      <c r="D35" s="446">
        <f>ROUND(D33/D34,1)</f>
        <v>18.3</v>
      </c>
      <c r="F35" s="1" t="s">
        <v>258</v>
      </c>
      <c r="J35" s="37">
        <f>J32+(J34*J33)</f>
        <v>6.5802771129843798E-2</v>
      </c>
      <c r="AA35" s="482">
        <v>43899</v>
      </c>
      <c r="AB35" s="322">
        <v>11.872621000000001</v>
      </c>
      <c r="AC35" s="329">
        <f t="shared" si="0"/>
        <v>-3.1154995912898942E-2</v>
      </c>
      <c r="AD35" s="322">
        <v>1210.130005</v>
      </c>
      <c r="AE35" s="329">
        <f t="shared" si="0"/>
        <v>-0.16497838201541037</v>
      </c>
    </row>
    <row r="36" spans="2:31" ht="13.8" thickTop="1" x14ac:dyDescent="0.25">
      <c r="B36" s="1" t="s">
        <v>217</v>
      </c>
      <c r="D36" s="322">
        <v>13.25</v>
      </c>
      <c r="E36" s="322"/>
      <c r="F36" s="1" t="s">
        <v>103</v>
      </c>
      <c r="J36" s="329">
        <v>0.01</v>
      </c>
      <c r="L36" s="455" t="s">
        <v>250</v>
      </c>
      <c r="M36" s="9"/>
      <c r="N36" s="9"/>
      <c r="O36" s="456">
        <f>D36</f>
        <v>13.25</v>
      </c>
      <c r="P36" s="9"/>
      <c r="Q36" s="9" t="s">
        <v>266</v>
      </c>
      <c r="R36" s="9"/>
      <c r="S36" s="9"/>
      <c r="T36" s="456">
        <v>3612.39</v>
      </c>
      <c r="U36" s="9"/>
      <c r="V36" s="9" t="s">
        <v>279</v>
      </c>
      <c r="W36" s="9"/>
      <c r="X36" s="9"/>
      <c r="Y36" s="466" t="s">
        <v>267</v>
      </c>
      <c r="AA36" s="482">
        <v>43906</v>
      </c>
      <c r="AB36" s="322">
        <v>11.174232</v>
      </c>
      <c r="AC36" s="329">
        <f t="shared" si="0"/>
        <v>-5.8823489775341131E-2</v>
      </c>
      <c r="AD36" s="322">
        <v>1013.8900149999999</v>
      </c>
      <c r="AE36" s="329">
        <f t="shared" si="0"/>
        <v>-0.16216438662720378</v>
      </c>
    </row>
    <row r="37" spans="2:31" ht="13.8" thickBot="1" x14ac:dyDescent="0.3">
      <c r="B37" s="428" t="s">
        <v>218</v>
      </c>
      <c r="C37" s="428"/>
      <c r="D37" s="429">
        <f>(D35-D36)/D36</f>
        <v>0.38113207547169814</v>
      </c>
      <c r="E37" s="322"/>
      <c r="F37" s="44" t="s">
        <v>219</v>
      </c>
      <c r="J37" s="33">
        <v>0.12</v>
      </c>
      <c r="L37" s="458" t="s">
        <v>264</v>
      </c>
      <c r="M37" s="27"/>
      <c r="N37" s="27"/>
      <c r="O37" s="177" t="s">
        <v>267</v>
      </c>
      <c r="P37" s="27"/>
      <c r="Q37" s="27" t="s">
        <v>276</v>
      </c>
      <c r="R37" s="27"/>
      <c r="S37" s="27"/>
      <c r="T37" s="450">
        <f ca="1">(1140.22*(($T$13-NOW())/365))+(1256.68*(1-(($T$13-NOW())/365)))</f>
        <v>1115.489771513357</v>
      </c>
      <c r="U37" s="27"/>
      <c r="V37" s="436" t="s">
        <v>282</v>
      </c>
      <c r="W37" s="27"/>
      <c r="X37" s="27"/>
      <c r="Y37" s="468">
        <v>0.44</v>
      </c>
      <c r="AA37" s="482">
        <v>43913</v>
      </c>
      <c r="AB37" s="322">
        <v>12.012299000000001</v>
      </c>
      <c r="AC37" s="329">
        <f t="shared" si="0"/>
        <v>7.4999964203356528E-2</v>
      </c>
      <c r="AD37" s="322">
        <v>1131.98999</v>
      </c>
      <c r="AE37" s="329">
        <f t="shared" si="0"/>
        <v>0.11648203774844368</v>
      </c>
    </row>
    <row r="38" spans="2:31" ht="13.8" thickTop="1" x14ac:dyDescent="0.25">
      <c r="D38" s="322"/>
      <c r="L38" s="460" t="s">
        <v>263</v>
      </c>
      <c r="M38" s="461"/>
      <c r="N38" s="461"/>
      <c r="O38" s="465" t="s">
        <v>267</v>
      </c>
      <c r="P38" s="461"/>
      <c r="Q38" s="461" t="s">
        <v>263</v>
      </c>
      <c r="R38" s="461"/>
      <c r="S38" s="461"/>
      <c r="T38" s="462">
        <f ca="1">T36/T37</f>
        <v>3.2383891742002806</v>
      </c>
      <c r="U38" s="461"/>
      <c r="V38" s="469" t="s">
        <v>281</v>
      </c>
      <c r="W38" s="469"/>
      <c r="X38" s="469"/>
      <c r="Y38" s="470">
        <v>0.3</v>
      </c>
      <c r="AA38" s="482">
        <v>43920</v>
      </c>
      <c r="AB38" s="322">
        <v>10.243045</v>
      </c>
      <c r="AC38" s="329">
        <f t="shared" si="0"/>
        <v>-0.14728687655876693</v>
      </c>
      <c r="AD38" s="322">
        <v>1052.0500489999999</v>
      </c>
      <c r="AE38" s="329">
        <f t="shared" si="0"/>
        <v>-7.0618946904292046E-2</v>
      </c>
    </row>
    <row r="39" spans="2:31" x14ac:dyDescent="0.25">
      <c r="E39" s="322">
        <f>D35</f>
        <v>18.3</v>
      </c>
      <c r="F39" s="329">
        <f>G39-0.005</f>
        <v>5.5802771129843803E-2</v>
      </c>
      <c r="G39" s="329">
        <f>H39-0.005</f>
        <v>6.0802771129843801E-2</v>
      </c>
      <c r="H39" s="331">
        <f>J35</f>
        <v>6.5802771129843798E-2</v>
      </c>
      <c r="I39" s="329">
        <f>H39+0.005</f>
        <v>7.0802771129843803E-2</v>
      </c>
      <c r="J39" s="329">
        <f>I39+0.005</f>
        <v>7.5802771129843807E-2</v>
      </c>
      <c r="AA39" s="482">
        <v>43927</v>
      </c>
      <c r="AB39" s="322">
        <v>11.248726</v>
      </c>
      <c r="AC39" s="329">
        <f t="shared" si="0"/>
        <v>9.8181839482302191E-2</v>
      </c>
      <c r="AD39" s="322">
        <v>1246.7299800000001</v>
      </c>
      <c r="AE39" s="329">
        <f t="shared" si="0"/>
        <v>0.18504816494714138</v>
      </c>
    </row>
    <row r="40" spans="2:31" x14ac:dyDescent="0.25">
      <c r="E40" s="329">
        <f>E41-0.01</f>
        <v>0.1</v>
      </c>
      <c r="F40" s="330">
        <f t="dataTable" ref="F40:J44" dt2D="1" dtr="1" r1="J35" r2="J37"/>
        <v>19.2</v>
      </c>
      <c r="G40" s="330">
        <v>19.8</v>
      </c>
      <c r="H40" s="330">
        <v>19.8</v>
      </c>
      <c r="I40" s="330">
        <v>19.2</v>
      </c>
      <c r="J40" s="330">
        <v>18</v>
      </c>
      <c r="L40" s="1" t="s">
        <v>290</v>
      </c>
      <c r="O40" s="322">
        <f ca="1">(T34*(($T$13-NOW())/365))+(Y34*(1-(($T$13-NOW())/365)))</f>
        <v>14.749669010985514</v>
      </c>
      <c r="AA40" s="482">
        <v>43934</v>
      </c>
      <c r="AB40" s="322">
        <v>10.12199</v>
      </c>
      <c r="AC40" s="329">
        <f t="shared" si="0"/>
        <v>-0.10016565431498636</v>
      </c>
      <c r="AD40" s="322">
        <v>1229.099976</v>
      </c>
      <c r="AE40" s="329">
        <f t="shared" si="0"/>
        <v>-1.4140996272504869E-2</v>
      </c>
    </row>
    <row r="41" spans="2:31" x14ac:dyDescent="0.25">
      <c r="E41" s="329">
        <f>E42-0.01</f>
        <v>0.11</v>
      </c>
      <c r="F41" s="330">
        <v>19</v>
      </c>
      <c r="G41" s="330">
        <v>19.600000000000001</v>
      </c>
      <c r="H41" s="330">
        <v>19.600000000000001</v>
      </c>
      <c r="I41" s="330">
        <v>19</v>
      </c>
      <c r="J41" s="330">
        <v>17.899999999999999</v>
      </c>
      <c r="L41" s="1" t="s">
        <v>261</v>
      </c>
      <c r="O41" s="435">
        <f ca="1">Y38*T38</f>
        <v>0.97151675226008416</v>
      </c>
      <c r="AA41" s="482">
        <v>43941</v>
      </c>
      <c r="AB41" s="322">
        <v>10.038182000000001</v>
      </c>
      <c r="AC41" s="329">
        <f t="shared" si="0"/>
        <v>-8.2797947834367669E-3</v>
      </c>
      <c r="AD41" s="322">
        <v>1233.0500489999999</v>
      </c>
      <c r="AE41" s="329">
        <f t="shared" si="0"/>
        <v>3.213793082036398E-3</v>
      </c>
    </row>
    <row r="42" spans="2:31" ht="13.8" thickBot="1" x14ac:dyDescent="0.3">
      <c r="E42" s="331">
        <f>J37</f>
        <v>0.12</v>
      </c>
      <c r="F42" s="330">
        <v>19</v>
      </c>
      <c r="G42" s="330">
        <v>19.600000000000001</v>
      </c>
      <c r="H42" s="330">
        <v>19.600000000000001</v>
      </c>
      <c r="I42" s="330">
        <v>19</v>
      </c>
      <c r="J42" s="330">
        <v>17.899999999999999</v>
      </c>
      <c r="L42" s="445" t="s">
        <v>256</v>
      </c>
      <c r="M42" s="445"/>
      <c r="N42" s="445"/>
      <c r="O42" s="446">
        <f ca="1">ROUND(O40*O41,1)</f>
        <v>14.3</v>
      </c>
      <c r="AA42" s="482">
        <v>43948</v>
      </c>
      <c r="AB42" s="322">
        <v>10.885564</v>
      </c>
      <c r="AC42" s="329">
        <f t="shared" si="0"/>
        <v>8.441588327448124E-2</v>
      </c>
      <c r="AD42" s="322">
        <v>1260.4799800000001</v>
      </c>
      <c r="AE42" s="329">
        <f t="shared" si="0"/>
        <v>2.2245594185123174E-2</v>
      </c>
    </row>
    <row r="43" spans="2:31" ht="13.8" thickTop="1" x14ac:dyDescent="0.25">
      <c r="E43" s="329">
        <f>E42+0.01</f>
        <v>0.13</v>
      </c>
      <c r="F43" s="330">
        <v>19.2</v>
      </c>
      <c r="G43" s="330">
        <v>19.8</v>
      </c>
      <c r="H43" s="330">
        <v>19.8</v>
      </c>
      <c r="I43" s="330">
        <v>19.2</v>
      </c>
      <c r="J43" s="330">
        <v>18</v>
      </c>
      <c r="L43" s="1" t="s">
        <v>250</v>
      </c>
      <c r="O43" s="322">
        <f>O36</f>
        <v>13.25</v>
      </c>
      <c r="AA43" s="482">
        <v>43955</v>
      </c>
      <c r="AB43" s="322">
        <v>10.541024999999999</v>
      </c>
      <c r="AC43" s="329">
        <f t="shared" si="0"/>
        <v>-3.1651001271041257E-2</v>
      </c>
      <c r="AD43" s="322">
        <v>1329.6400149999999</v>
      </c>
      <c r="AE43" s="329">
        <f t="shared" si="0"/>
        <v>5.4868015436468687E-2</v>
      </c>
    </row>
    <row r="44" spans="2:31" ht="13.8" thickBot="1" x14ac:dyDescent="0.3">
      <c r="E44" s="329">
        <f>E43+0.01</f>
        <v>0.14000000000000001</v>
      </c>
      <c r="F44" s="330">
        <v>19.5</v>
      </c>
      <c r="G44" s="330">
        <v>20.100000000000001</v>
      </c>
      <c r="H44" s="330">
        <v>20.100000000000001</v>
      </c>
      <c r="I44" s="330">
        <v>19.5</v>
      </c>
      <c r="J44" s="330">
        <v>18.3</v>
      </c>
      <c r="L44" s="428" t="s">
        <v>218</v>
      </c>
      <c r="M44" s="428"/>
      <c r="N44" s="428"/>
      <c r="O44" s="429">
        <f ca="1">(O42/O43)-1</f>
        <v>7.9245283018867907E-2</v>
      </c>
      <c r="AA44" s="482">
        <v>43962</v>
      </c>
      <c r="AB44" s="322">
        <v>9.6262329999999992</v>
      </c>
      <c r="AC44" s="329">
        <f t="shared" si="0"/>
        <v>-8.6783970249572517E-2</v>
      </c>
      <c r="AD44" s="322">
        <v>1256.98999</v>
      </c>
      <c r="AE44" s="329">
        <f t="shared" si="0"/>
        <v>-5.4638867799116198E-2</v>
      </c>
    </row>
    <row r="45" spans="2:31" ht="13.8" thickTop="1" x14ac:dyDescent="0.25">
      <c r="AA45" s="482">
        <v>43969</v>
      </c>
      <c r="AB45" s="322">
        <v>10.077024</v>
      </c>
      <c r="AC45" s="329">
        <f t="shared" si="0"/>
        <v>4.6829429539052336E-2</v>
      </c>
      <c r="AD45" s="322">
        <v>1355.530029</v>
      </c>
      <c r="AE45" s="329">
        <f t="shared" si="0"/>
        <v>7.8393654511123012E-2</v>
      </c>
    </row>
    <row r="46" spans="2:31" x14ac:dyDescent="0.25">
      <c r="AA46" s="482">
        <v>43976</v>
      </c>
      <c r="AB46" s="322">
        <v>11.945921999999999</v>
      </c>
      <c r="AC46" s="329">
        <f t="shared" si="0"/>
        <v>0.1854613028608445</v>
      </c>
      <c r="AD46" s="322">
        <v>1394.040039</v>
      </c>
      <c r="AE46" s="329">
        <f t="shared" si="0"/>
        <v>2.8409558752755526E-2</v>
      </c>
    </row>
    <row r="47" spans="2:31" x14ac:dyDescent="0.25">
      <c r="AA47" s="482">
        <v>43983</v>
      </c>
      <c r="AB47" s="322">
        <v>12.866285</v>
      </c>
      <c r="AC47" s="329">
        <f t="shared" si="0"/>
        <v>7.7044115975309468E-2</v>
      </c>
      <c r="AD47" s="322">
        <v>1507.150024</v>
      </c>
      <c r="AE47" s="329">
        <f t="shared" si="0"/>
        <v>8.1138261337987405E-2</v>
      </c>
    </row>
    <row r="48" spans="2:31" x14ac:dyDescent="0.25">
      <c r="AA48" s="482">
        <v>43990</v>
      </c>
      <c r="AB48" s="322">
        <v>11.128864999999999</v>
      </c>
      <c r="AC48" s="329">
        <f t="shared" si="0"/>
        <v>-0.13503664810782601</v>
      </c>
      <c r="AD48" s="322">
        <v>1387.6800539999999</v>
      </c>
      <c r="AE48" s="329">
        <f t="shared" si="0"/>
        <v>-7.9268797463788565E-2</v>
      </c>
    </row>
    <row r="49" spans="27:31" x14ac:dyDescent="0.25">
      <c r="AA49" s="482">
        <v>43997</v>
      </c>
      <c r="AB49" s="322">
        <v>11.128864999999999</v>
      </c>
      <c r="AC49" s="329">
        <f t="shared" si="0"/>
        <v>0</v>
      </c>
      <c r="AD49" s="322">
        <v>1418.630005</v>
      </c>
      <c r="AE49" s="329">
        <f t="shared" si="0"/>
        <v>2.2303376711934719E-2</v>
      </c>
    </row>
    <row r="50" spans="27:31" x14ac:dyDescent="0.25">
      <c r="AA50" s="482">
        <v>44004</v>
      </c>
      <c r="AB50" s="322">
        <v>10.452681999999999</v>
      </c>
      <c r="AC50" s="329">
        <f t="shared" si="0"/>
        <v>-6.0759385615693939E-2</v>
      </c>
      <c r="AD50" s="322">
        <v>1378.780029</v>
      </c>
      <c r="AE50" s="329">
        <f t="shared" si="0"/>
        <v>-2.8090464645148971E-2</v>
      </c>
    </row>
    <row r="51" spans="27:31" x14ac:dyDescent="0.25">
      <c r="AA51" s="482">
        <v>44011</v>
      </c>
      <c r="AB51" s="322">
        <v>11.053734</v>
      </c>
      <c r="AC51" s="329">
        <f t="shared" si="0"/>
        <v>5.7502179823321953E-2</v>
      </c>
      <c r="AD51" s="322">
        <v>1431.8599850000001</v>
      </c>
      <c r="AE51" s="329">
        <f t="shared" si="0"/>
        <v>3.8497769683027538E-2</v>
      </c>
    </row>
    <row r="52" spans="27:31" x14ac:dyDescent="0.25">
      <c r="AA52" s="482">
        <v>44018</v>
      </c>
      <c r="AB52" s="322">
        <v>10.302417999999999</v>
      </c>
      <c r="AC52" s="329">
        <f t="shared" si="0"/>
        <v>-6.7969430058657188E-2</v>
      </c>
      <c r="AD52" s="322">
        <v>1422.6800539999999</v>
      </c>
      <c r="AE52" s="329">
        <f t="shared" si="0"/>
        <v>-6.4111932005699312E-3</v>
      </c>
    </row>
    <row r="53" spans="27:31" x14ac:dyDescent="0.25">
      <c r="AA53" s="482">
        <v>44025</v>
      </c>
      <c r="AB53" s="322">
        <v>9.6731909999999992</v>
      </c>
      <c r="AC53" s="329">
        <f t="shared" si="0"/>
        <v>-6.1075662043609591E-2</v>
      </c>
      <c r="AD53" s="322">
        <v>1473.3199460000001</v>
      </c>
      <c r="AE53" s="329">
        <f t="shared" si="0"/>
        <v>3.5594715661909637E-2</v>
      </c>
    </row>
    <row r="54" spans="27:31" x14ac:dyDescent="0.25">
      <c r="AA54" s="482">
        <v>44032</v>
      </c>
      <c r="AB54" s="322">
        <v>9.7671050000000008</v>
      </c>
      <c r="AC54" s="329">
        <f t="shared" si="0"/>
        <v>9.7086886840136444E-3</v>
      </c>
      <c r="AD54" s="322">
        <v>1467.5500489999999</v>
      </c>
      <c r="AE54" s="329">
        <f t="shared" si="0"/>
        <v>-3.9162552680190865E-3</v>
      </c>
    </row>
    <row r="55" spans="27:31" x14ac:dyDescent="0.25">
      <c r="AA55" s="482">
        <v>44039</v>
      </c>
      <c r="AB55" s="322">
        <v>10.020675000000001</v>
      </c>
      <c r="AC55" s="329">
        <f t="shared" si="0"/>
        <v>2.5961633462525446E-2</v>
      </c>
      <c r="AD55" s="322">
        <v>1480.4300539999999</v>
      </c>
      <c r="AE55" s="329">
        <f t="shared" si="0"/>
        <v>8.7765354297637543E-3</v>
      </c>
    </row>
    <row r="56" spans="27:31" x14ac:dyDescent="0.25">
      <c r="AA56" s="482">
        <v>44046</v>
      </c>
      <c r="AB56" s="322">
        <v>9.8704129999999992</v>
      </c>
      <c r="AC56" s="329">
        <f t="shared" si="0"/>
        <v>-1.4995197429314988E-2</v>
      </c>
      <c r="AD56" s="322">
        <v>1569.1800539999999</v>
      </c>
      <c r="AE56" s="329">
        <f t="shared" si="0"/>
        <v>5.9948796473163091E-2</v>
      </c>
    </row>
    <row r="57" spans="27:31" x14ac:dyDescent="0.25">
      <c r="AA57" s="482">
        <v>44053</v>
      </c>
      <c r="AB57" s="322">
        <v>10.823429000000001</v>
      </c>
      <c r="AC57" s="329">
        <f t="shared" si="0"/>
        <v>9.6552798753203328E-2</v>
      </c>
      <c r="AD57" s="322">
        <v>1577.880005</v>
      </c>
      <c r="AE57" s="329">
        <f t="shared" si="0"/>
        <v>5.5442656040796123E-3</v>
      </c>
    </row>
    <row r="58" spans="27:31" x14ac:dyDescent="0.25">
      <c r="AA58" s="482">
        <v>44060</v>
      </c>
      <c r="AB58" s="322">
        <v>10.61492</v>
      </c>
      <c r="AC58" s="329">
        <f t="shared" si="0"/>
        <v>-1.9264597199279532E-2</v>
      </c>
      <c r="AD58" s="322">
        <v>1552.4799800000001</v>
      </c>
      <c r="AE58" s="329">
        <f t="shared" si="0"/>
        <v>-1.6097564402560494E-2</v>
      </c>
    </row>
    <row r="59" spans="27:31" x14ac:dyDescent="0.25">
      <c r="AA59" s="482">
        <v>44067</v>
      </c>
      <c r="AB59" s="322">
        <v>10.757085</v>
      </c>
      <c r="AC59" s="329">
        <f t="shared" si="0"/>
        <v>1.3392941256269442E-2</v>
      </c>
      <c r="AD59" s="322">
        <v>1578.339966</v>
      </c>
      <c r="AE59" s="329">
        <f t="shared" si="0"/>
        <v>1.665721061343417E-2</v>
      </c>
    </row>
    <row r="60" spans="27:31" x14ac:dyDescent="0.25">
      <c r="AA60" s="482">
        <v>44074</v>
      </c>
      <c r="AB60" s="322">
        <v>10.141038999999999</v>
      </c>
      <c r="AC60" s="329">
        <f t="shared" si="0"/>
        <v>-5.7268860476606842E-2</v>
      </c>
      <c r="AD60" s="322">
        <v>1535.3000489999999</v>
      </c>
      <c r="AE60" s="329">
        <f t="shared" si="0"/>
        <v>-2.7269104202611305E-2</v>
      </c>
    </row>
    <row r="61" spans="27:31" x14ac:dyDescent="0.25">
      <c r="AA61" s="482">
        <v>44081</v>
      </c>
      <c r="AB61" s="322">
        <v>9.9040999999999997</v>
      </c>
      <c r="AC61" s="329">
        <f t="shared" si="0"/>
        <v>-2.3364371244405935E-2</v>
      </c>
      <c r="AD61" s="322">
        <v>1497.2700199999999</v>
      </c>
      <c r="AE61" s="329">
        <f t="shared" si="0"/>
        <v>-2.4770421276785859E-2</v>
      </c>
    </row>
    <row r="62" spans="27:31" x14ac:dyDescent="0.25">
      <c r="AA62" s="482">
        <v>44088</v>
      </c>
      <c r="AB62" s="322">
        <v>10.188428999999999</v>
      </c>
      <c r="AC62" s="329">
        <f t="shared" si="0"/>
        <v>2.8708211750689161E-2</v>
      </c>
      <c r="AD62" s="322">
        <v>1536.780029</v>
      </c>
      <c r="AE62" s="329">
        <f t="shared" si="0"/>
        <v>2.6388031866156014E-2</v>
      </c>
    </row>
    <row r="63" spans="27:31" x14ac:dyDescent="0.25">
      <c r="AA63" s="482">
        <v>44095</v>
      </c>
      <c r="AB63" s="322">
        <v>9.3733540000000009</v>
      </c>
      <c r="AC63" s="329">
        <f t="shared" si="0"/>
        <v>-8.0000066742379805E-2</v>
      </c>
      <c r="AD63" s="322">
        <v>1474.910034</v>
      </c>
      <c r="AE63" s="329">
        <f t="shared" si="0"/>
        <v>-4.0259499624197725E-2</v>
      </c>
    </row>
    <row r="64" spans="27:31" x14ac:dyDescent="0.25">
      <c r="AA64" s="482">
        <v>44102</v>
      </c>
      <c r="AB64" s="322">
        <v>9.8472349999999995</v>
      </c>
      <c r="AC64" s="329">
        <f t="shared" si="0"/>
        <v>5.0556182984233589E-2</v>
      </c>
      <c r="AD64" s="322">
        <v>1539.3000489999999</v>
      </c>
      <c r="AE64" s="329">
        <f t="shared" si="0"/>
        <v>4.3656910262771964E-2</v>
      </c>
    </row>
    <row r="65" spans="27:31" x14ac:dyDescent="0.25">
      <c r="AA65" s="482">
        <v>44109</v>
      </c>
      <c r="AB65" s="322">
        <v>10.804473</v>
      </c>
      <c r="AC65" s="329">
        <f t="shared" si="0"/>
        <v>9.7208810391952616E-2</v>
      </c>
      <c r="AD65" s="322">
        <v>1637.5500489999999</v>
      </c>
      <c r="AE65" s="329">
        <f t="shared" si="0"/>
        <v>6.3827711864121506E-2</v>
      </c>
    </row>
    <row r="66" spans="27:31" x14ac:dyDescent="0.25">
      <c r="AA66" s="482">
        <v>44116</v>
      </c>
      <c r="AB66" s="322">
        <v>11.591113</v>
      </c>
      <c r="AC66" s="329">
        <f t="shared" si="0"/>
        <v>7.2806882853055477E-2</v>
      </c>
      <c r="AD66" s="322">
        <v>1633.8100589999999</v>
      </c>
      <c r="AE66" s="329">
        <f t="shared" si="0"/>
        <v>-2.2838935532284443E-3</v>
      </c>
    </row>
    <row r="67" spans="27:31" x14ac:dyDescent="0.25">
      <c r="AA67" s="482">
        <v>44123</v>
      </c>
      <c r="AB67" s="322">
        <v>12.08395</v>
      </c>
      <c r="AC67" s="329">
        <f t="shared" si="0"/>
        <v>4.2518522595716091E-2</v>
      </c>
      <c r="AD67" s="322">
        <v>1640.5</v>
      </c>
      <c r="AE67" s="329">
        <f t="shared" si="0"/>
        <v>4.0946871168701104E-3</v>
      </c>
    </row>
    <row r="68" spans="27:31" x14ac:dyDescent="0.25">
      <c r="AA68" s="482">
        <v>44130</v>
      </c>
      <c r="AB68" s="322">
        <v>11.875443000000001</v>
      </c>
      <c r="AC68" s="329">
        <f t="shared" si="0"/>
        <v>-1.7254871130714666E-2</v>
      </c>
      <c r="AD68" s="322">
        <v>1538.4799800000001</v>
      </c>
      <c r="AE68" s="329">
        <f t="shared" si="0"/>
        <v>-6.2188369399573284E-2</v>
      </c>
    </row>
    <row r="69" spans="27:31" x14ac:dyDescent="0.25">
      <c r="AA69" s="482">
        <v>44137</v>
      </c>
      <c r="AB69" s="322">
        <v>11.858834999999999</v>
      </c>
      <c r="AC69" s="329">
        <f t="shared" si="0"/>
        <v>-1.3985162490360858E-3</v>
      </c>
      <c r="AD69" s="322">
        <v>1648.26001</v>
      </c>
      <c r="AE69" s="329">
        <f t="shared" si="0"/>
        <v>7.1356164153660195E-2</v>
      </c>
    </row>
    <row r="70" spans="27:31" x14ac:dyDescent="0.25">
      <c r="AA70" s="482">
        <v>44144</v>
      </c>
      <c r="AB70" s="322">
        <v>12.422632</v>
      </c>
      <c r="AC70" s="329">
        <f t="shared" si="0"/>
        <v>4.7542359768054876E-2</v>
      </c>
      <c r="AD70" s="322">
        <v>1744.040039</v>
      </c>
      <c r="AE70" s="329">
        <f t="shared" si="0"/>
        <v>5.8109781477984068E-2</v>
      </c>
    </row>
    <row r="71" spans="27:31" x14ac:dyDescent="0.25">
      <c r="AA71" s="482">
        <v>44151</v>
      </c>
      <c r="AB71" s="322">
        <v>12.565969000000001</v>
      </c>
      <c r="AC71" s="329">
        <f t="shared" si="0"/>
        <v>1.1538376086484892E-2</v>
      </c>
      <c r="AD71" s="322">
        <v>1785.339966</v>
      </c>
      <c r="AE71" s="329">
        <f t="shared" si="0"/>
        <v>2.3680607140006193E-2</v>
      </c>
    </row>
    <row r="72" spans="27:31" x14ac:dyDescent="0.25">
      <c r="AA72" s="482">
        <v>44158</v>
      </c>
      <c r="AB72" s="322">
        <v>13.435555000000001</v>
      </c>
      <c r="AC72" s="329">
        <f t="shared" si="0"/>
        <v>6.9201666819327601E-2</v>
      </c>
      <c r="AD72" s="322">
        <v>1855.2700199999999</v>
      </c>
      <c r="AE72" s="329">
        <f t="shared" si="0"/>
        <v>3.916904081673378E-2</v>
      </c>
    </row>
    <row r="73" spans="27:31" x14ac:dyDescent="0.25">
      <c r="AA73" s="482">
        <v>44165</v>
      </c>
      <c r="AB73" s="322">
        <v>13.674450999999999</v>
      </c>
      <c r="AC73" s="329">
        <f t="shared" si="0"/>
        <v>1.7780880655841713E-2</v>
      </c>
      <c r="AD73" s="322">
        <v>1892.4499510000001</v>
      </c>
      <c r="AE73" s="329">
        <f t="shared" si="0"/>
        <v>2.004017237339939E-2</v>
      </c>
    </row>
    <row r="74" spans="27:31" x14ac:dyDescent="0.25">
      <c r="AA74" s="482">
        <v>44172</v>
      </c>
      <c r="AB74" s="322">
        <v>14.037573</v>
      </c>
      <c r="AC74" s="329">
        <f t="shared" si="0"/>
        <v>2.6554777226522663E-2</v>
      </c>
      <c r="AD74" s="322">
        <v>1911.6999510000001</v>
      </c>
      <c r="AE74" s="329">
        <f t="shared" si="0"/>
        <v>1.0171999523595376E-2</v>
      </c>
    </row>
    <row r="75" spans="27:31" x14ac:dyDescent="0.25">
      <c r="AA75" s="482">
        <v>44179</v>
      </c>
      <c r="AB75" s="322">
        <v>13.492889</v>
      </c>
      <c r="AC75" s="329">
        <f t="shared" si="0"/>
        <v>-3.8801864111410178E-2</v>
      </c>
      <c r="AD75" s="322">
        <v>1969.98999</v>
      </c>
      <c r="AE75" s="329">
        <f t="shared" si="0"/>
        <v>3.0491207037751211E-2</v>
      </c>
    </row>
    <row r="76" spans="27:31" x14ac:dyDescent="0.25">
      <c r="AA76" s="482">
        <v>44186</v>
      </c>
      <c r="AB76" s="322">
        <v>13.502445</v>
      </c>
      <c r="AC76" s="329">
        <f t="shared" si="0"/>
        <v>7.0822490276167827E-4</v>
      </c>
      <c r="AD76" s="322">
        <v>2003.9499510000001</v>
      </c>
      <c r="AE76" s="329">
        <f t="shared" si="0"/>
        <v>1.7238646476574138E-2</v>
      </c>
    </row>
    <row r="77" spans="27:31" x14ac:dyDescent="0.25">
      <c r="AA77" s="482">
        <v>44193</v>
      </c>
      <c r="AB77" s="322">
        <v>13.99935</v>
      </c>
      <c r="AC77" s="329">
        <f t="shared" si="0"/>
        <v>3.6801112687368853E-2</v>
      </c>
      <c r="AD77" s="322">
        <v>1974.8599850000001</v>
      </c>
      <c r="AE77" s="329">
        <f t="shared" si="0"/>
        <v>-1.4516313636218192E-2</v>
      </c>
    </row>
    <row r="78" spans="27:31" x14ac:dyDescent="0.25">
      <c r="AA78" s="482">
        <v>44200</v>
      </c>
      <c r="AB78" s="322">
        <v>13.942015</v>
      </c>
      <c r="AC78" s="329">
        <f t="shared" si="0"/>
        <v>-4.095547293267221E-3</v>
      </c>
      <c r="AD78" s="322">
        <v>2091.6599120000001</v>
      </c>
      <c r="AE78" s="329">
        <f t="shared" si="0"/>
        <v>5.9143396436785789E-2</v>
      </c>
    </row>
    <row r="79" spans="27:31" x14ac:dyDescent="0.25">
      <c r="AA79" s="482">
        <v>44207</v>
      </c>
      <c r="AB79" s="322">
        <v>13.903791</v>
      </c>
      <c r="AC79" s="329">
        <f t="shared" ref="AC79:AE142" si="13">(AB79/AB78)-1</f>
        <v>-2.7416410038290095E-3</v>
      </c>
      <c r="AD79" s="322">
        <v>2123.1999510000001</v>
      </c>
      <c r="AE79" s="329">
        <f t="shared" si="13"/>
        <v>1.5078951802371288E-2</v>
      </c>
    </row>
    <row r="80" spans="27:31" x14ac:dyDescent="0.25">
      <c r="AA80" s="482">
        <v>44214</v>
      </c>
      <c r="AB80" s="322">
        <v>13.712675000000001</v>
      </c>
      <c r="AC80" s="329">
        <f t="shared" si="13"/>
        <v>-1.3745603627097092E-2</v>
      </c>
      <c r="AD80" s="322">
        <v>2168.76001</v>
      </c>
      <c r="AE80" s="329">
        <f t="shared" si="13"/>
        <v>2.1458204621068067E-2</v>
      </c>
    </row>
    <row r="81" spans="27:31" x14ac:dyDescent="0.25">
      <c r="AA81" s="482">
        <v>44221</v>
      </c>
      <c r="AB81" s="322">
        <v>13.23488</v>
      </c>
      <c r="AC81" s="329">
        <f t="shared" si="13"/>
        <v>-3.4843311024289614E-2</v>
      </c>
      <c r="AD81" s="322">
        <v>2073.639893</v>
      </c>
      <c r="AE81" s="329">
        <f t="shared" si="13"/>
        <v>-4.3859217507427162E-2</v>
      </c>
    </row>
    <row r="82" spans="27:31" x14ac:dyDescent="0.25">
      <c r="AA82" s="482">
        <v>44228</v>
      </c>
      <c r="AB82" s="322">
        <v>13.641102</v>
      </c>
      <c r="AC82" s="329">
        <f t="shared" si="13"/>
        <v>3.0693289247805788E-2</v>
      </c>
      <c r="AD82" s="322">
        <v>2233.330078</v>
      </c>
      <c r="AE82" s="329">
        <f t="shared" si="13"/>
        <v>7.7009603036220176E-2</v>
      </c>
    </row>
    <row r="83" spans="27:31" x14ac:dyDescent="0.25">
      <c r="AA83" s="482">
        <v>44235</v>
      </c>
      <c r="AB83" s="322">
        <v>13.843264</v>
      </c>
      <c r="AC83" s="329">
        <f t="shared" si="13"/>
        <v>1.4820063657613458E-2</v>
      </c>
      <c r="AD83" s="322">
        <v>2289.360107</v>
      </c>
      <c r="AE83" s="329">
        <f t="shared" si="13"/>
        <v>2.508810925529481E-2</v>
      </c>
    </row>
    <row r="84" spans="27:31" x14ac:dyDescent="0.25">
      <c r="AA84" s="482">
        <v>44242</v>
      </c>
      <c r="AB84" s="322">
        <v>13.997291000000001</v>
      </c>
      <c r="AC84" s="329">
        <f t="shared" si="13"/>
        <v>1.112649444524072E-2</v>
      </c>
      <c r="AD84" s="322">
        <v>2266.6899410000001</v>
      </c>
      <c r="AE84" s="329">
        <f t="shared" si="13"/>
        <v>-9.9024028289316224E-3</v>
      </c>
    </row>
    <row r="85" spans="27:31" x14ac:dyDescent="0.25">
      <c r="AA85" s="482">
        <v>44249</v>
      </c>
      <c r="AB85" s="322">
        <v>13.814384</v>
      </c>
      <c r="AC85" s="329">
        <f t="shared" si="13"/>
        <v>-1.3067314239591066E-2</v>
      </c>
      <c r="AD85" s="322">
        <v>2201.0500489999999</v>
      </c>
      <c r="AE85" s="329">
        <f t="shared" si="13"/>
        <v>-2.8958478534140242E-2</v>
      </c>
    </row>
    <row r="86" spans="27:31" x14ac:dyDescent="0.25">
      <c r="AA86" s="482">
        <v>44256</v>
      </c>
      <c r="AB86" s="322">
        <v>14.430493</v>
      </c>
      <c r="AC86" s="329">
        <f t="shared" si="13"/>
        <v>4.4599093234993337E-2</v>
      </c>
      <c r="AD86" s="322">
        <v>2192.209961</v>
      </c>
      <c r="AE86" s="329">
        <f t="shared" si="13"/>
        <v>-4.0163048559556103E-3</v>
      </c>
    </row>
    <row r="87" spans="27:31" x14ac:dyDescent="0.25">
      <c r="AA87" s="482">
        <v>44263</v>
      </c>
      <c r="AB87" s="322">
        <v>14.680789000000001</v>
      </c>
      <c r="AC87" s="329">
        <f t="shared" si="13"/>
        <v>1.734493755688038E-2</v>
      </c>
      <c r="AD87" s="322">
        <v>2352.790039</v>
      </c>
      <c r="AE87" s="329">
        <f t="shared" si="13"/>
        <v>7.3250318562894323E-2</v>
      </c>
    </row>
    <row r="88" spans="27:31" x14ac:dyDescent="0.25">
      <c r="AA88" s="482">
        <v>44270</v>
      </c>
      <c r="AB88" s="322">
        <v>15.768610000000001</v>
      </c>
      <c r="AC88" s="329">
        <f t="shared" si="13"/>
        <v>7.4098265427014809E-2</v>
      </c>
      <c r="AD88" s="322">
        <v>2287.5500489999999</v>
      </c>
      <c r="AE88" s="329">
        <f t="shared" si="13"/>
        <v>-2.7728776864309079E-2</v>
      </c>
    </row>
    <row r="89" spans="27:31" x14ac:dyDescent="0.25">
      <c r="AA89" s="482">
        <v>44277</v>
      </c>
      <c r="AB89" s="322">
        <v>14.767429</v>
      </c>
      <c r="AC89" s="329">
        <f t="shared" si="13"/>
        <v>-6.3492026247082056E-2</v>
      </c>
      <c r="AD89" s="322">
        <v>2221.4799800000001</v>
      </c>
      <c r="AE89" s="329">
        <f t="shared" si="13"/>
        <v>-2.8882458343974737E-2</v>
      </c>
    </row>
    <row r="90" spans="27:31" x14ac:dyDescent="0.25">
      <c r="AA90" s="482">
        <v>44284</v>
      </c>
      <c r="AB90" s="322">
        <v>15.200633</v>
      </c>
      <c r="AC90" s="329">
        <f t="shared" si="13"/>
        <v>2.933509956269309E-2</v>
      </c>
      <c r="AD90" s="322">
        <v>2253.8999020000001</v>
      </c>
      <c r="AE90" s="329">
        <f t="shared" si="13"/>
        <v>1.4593839373695294E-2</v>
      </c>
    </row>
    <row r="91" spans="27:31" x14ac:dyDescent="0.25">
      <c r="AA91" s="482">
        <v>44291</v>
      </c>
      <c r="AB91" s="322">
        <v>14.757802</v>
      </c>
      <c r="AC91" s="329">
        <f t="shared" si="13"/>
        <v>-2.913240520970406E-2</v>
      </c>
      <c r="AD91" s="322">
        <v>2243.469971</v>
      </c>
      <c r="AE91" s="329">
        <f t="shared" si="13"/>
        <v>-4.627504083364653E-3</v>
      </c>
    </row>
    <row r="92" spans="27:31" x14ac:dyDescent="0.25">
      <c r="AA92" s="482">
        <v>44298</v>
      </c>
      <c r="AB92" s="322">
        <v>14.526761</v>
      </c>
      <c r="AC92" s="329">
        <f t="shared" si="13"/>
        <v>-1.5655515638439921E-2</v>
      </c>
      <c r="AD92" s="322">
        <v>2262.669922</v>
      </c>
      <c r="AE92" s="329">
        <f t="shared" si="13"/>
        <v>8.5581493169895051E-3</v>
      </c>
    </row>
    <row r="93" spans="27:31" x14ac:dyDescent="0.25">
      <c r="AA93" s="482">
        <v>44305</v>
      </c>
      <c r="AB93" s="322">
        <v>14.295718000000001</v>
      </c>
      <c r="AC93" s="329">
        <f t="shared" si="13"/>
        <v>-1.5904646603602801E-2</v>
      </c>
      <c r="AD93" s="322">
        <v>2271.860107</v>
      </c>
      <c r="AE93" s="329">
        <f t="shared" si="13"/>
        <v>4.0616551758803077E-3</v>
      </c>
    </row>
    <row r="94" spans="27:31" x14ac:dyDescent="0.25">
      <c r="AA94" s="482">
        <v>44312</v>
      </c>
      <c r="AB94" s="322">
        <v>15.008099</v>
      </c>
      <c r="AC94" s="329">
        <f t="shared" si="13"/>
        <v>4.983177480137746E-2</v>
      </c>
      <c r="AD94" s="322">
        <v>2266.4499510000001</v>
      </c>
      <c r="AE94" s="329">
        <f t="shared" si="13"/>
        <v>-2.3813772614477147E-3</v>
      </c>
    </row>
    <row r="95" spans="27:31" x14ac:dyDescent="0.25">
      <c r="AA95" s="482">
        <v>44319</v>
      </c>
      <c r="AB95" s="322">
        <v>15.786135</v>
      </c>
      <c r="AC95" s="329">
        <f t="shared" si="13"/>
        <v>5.1841075941729819E-2</v>
      </c>
      <c r="AD95" s="322">
        <v>2271.6298830000001</v>
      </c>
      <c r="AE95" s="329">
        <f t="shared" si="13"/>
        <v>2.2854826323055466E-3</v>
      </c>
    </row>
    <row r="96" spans="27:31" x14ac:dyDescent="0.25">
      <c r="AA96" s="482">
        <v>44326</v>
      </c>
      <c r="AB96" s="322">
        <v>16.222216</v>
      </c>
      <c r="AC96" s="329">
        <f t="shared" si="13"/>
        <v>2.7624304492518181E-2</v>
      </c>
      <c r="AD96" s="322">
        <v>2224.6298830000001</v>
      </c>
      <c r="AE96" s="329">
        <f t="shared" si="13"/>
        <v>-2.0689990192385599E-2</v>
      </c>
    </row>
    <row r="97" spans="27:31" x14ac:dyDescent="0.25">
      <c r="AA97" s="482">
        <v>44333</v>
      </c>
      <c r="AB97" s="322">
        <v>17.423862</v>
      </c>
      <c r="AC97" s="329">
        <f t="shared" si="13"/>
        <v>7.4074096905133002E-2</v>
      </c>
      <c r="AD97" s="322">
        <v>2215.2700199999999</v>
      </c>
      <c r="AE97" s="329">
        <f t="shared" si="13"/>
        <v>-4.2073798754236336E-3</v>
      </c>
    </row>
    <row r="98" spans="27:31" x14ac:dyDescent="0.25">
      <c r="AA98" s="482">
        <v>44340</v>
      </c>
      <c r="AB98" s="322">
        <v>17.792104999999999</v>
      </c>
      <c r="AC98" s="329">
        <f t="shared" si="13"/>
        <v>2.1134407515394749E-2</v>
      </c>
      <c r="AD98" s="322">
        <v>2268.969971</v>
      </c>
      <c r="AE98" s="329">
        <f t="shared" si="13"/>
        <v>2.4240815121941761E-2</v>
      </c>
    </row>
    <row r="99" spans="27:31" x14ac:dyDescent="0.25">
      <c r="AA99" s="482">
        <v>44347</v>
      </c>
      <c r="AB99" s="322">
        <v>17.666125999999998</v>
      </c>
      <c r="AC99" s="329">
        <f t="shared" si="13"/>
        <v>-7.0806124401806558E-3</v>
      </c>
      <c r="AD99" s="322">
        <v>2286.4099120000001</v>
      </c>
      <c r="AE99" s="329">
        <f t="shared" si="13"/>
        <v>7.6862810979880791E-3</v>
      </c>
    </row>
    <row r="100" spans="27:31" x14ac:dyDescent="0.25">
      <c r="AA100" s="482">
        <v>44354</v>
      </c>
      <c r="AB100" s="322">
        <v>17.297879999999999</v>
      </c>
      <c r="AC100" s="329">
        <f t="shared" si="13"/>
        <v>-2.0844751135591366E-2</v>
      </c>
      <c r="AD100" s="322">
        <v>2335.8100589999999</v>
      </c>
      <c r="AE100" s="329">
        <f t="shared" si="13"/>
        <v>2.1605988821483013E-2</v>
      </c>
    </row>
    <row r="101" spans="27:31" x14ac:dyDescent="0.25">
      <c r="AA101" s="482">
        <v>44361</v>
      </c>
      <c r="AB101" s="322">
        <v>17.084683999999999</v>
      </c>
      <c r="AC101" s="329">
        <f t="shared" si="13"/>
        <v>-1.2324978552284982E-2</v>
      </c>
      <c r="AD101" s="322">
        <v>2237.75</v>
      </c>
      <c r="AE101" s="329">
        <f t="shared" si="13"/>
        <v>-4.1981178487595527E-2</v>
      </c>
    </row>
    <row r="102" spans="27:31" x14ac:dyDescent="0.25">
      <c r="AA102" s="482">
        <v>44368</v>
      </c>
      <c r="AB102" s="322">
        <v>17.104067000000001</v>
      </c>
      <c r="AC102" s="329">
        <f t="shared" si="13"/>
        <v>1.1345249347309849E-3</v>
      </c>
      <c r="AD102" s="322">
        <v>2334.3999020000001</v>
      </c>
      <c r="AE102" s="329">
        <f t="shared" si="13"/>
        <v>4.3190661155178223E-2</v>
      </c>
    </row>
    <row r="103" spans="27:31" x14ac:dyDescent="0.25">
      <c r="AA103" s="482">
        <v>44375</v>
      </c>
      <c r="AB103" s="322">
        <v>17.394788999999999</v>
      </c>
      <c r="AC103" s="329">
        <f t="shared" si="13"/>
        <v>1.6997243988812638E-2</v>
      </c>
      <c r="AD103" s="322">
        <v>2305.76001</v>
      </c>
      <c r="AE103" s="329">
        <f t="shared" si="13"/>
        <v>-1.2268631426630372E-2</v>
      </c>
    </row>
    <row r="104" spans="27:31" x14ac:dyDescent="0.25">
      <c r="AA104" s="482">
        <v>44382</v>
      </c>
      <c r="AB104" s="322">
        <v>17.569220000000001</v>
      </c>
      <c r="AC104" s="329">
        <f t="shared" si="13"/>
        <v>1.0027773260141482E-2</v>
      </c>
      <c r="AD104" s="322">
        <v>2280</v>
      </c>
      <c r="AE104" s="329">
        <f t="shared" si="13"/>
        <v>-1.117202566107478E-2</v>
      </c>
    </row>
    <row r="105" spans="27:31" x14ac:dyDescent="0.25">
      <c r="AA105" s="482">
        <v>44389</v>
      </c>
      <c r="AB105" s="322">
        <v>17.598291</v>
      </c>
      <c r="AC105" s="329">
        <f t="shared" si="13"/>
        <v>1.6546551298235457E-3</v>
      </c>
      <c r="AD105" s="322">
        <v>2163.23999</v>
      </c>
      <c r="AE105" s="329">
        <f t="shared" si="13"/>
        <v>-5.1210530701754409E-2</v>
      </c>
    </row>
    <row r="106" spans="27:31" x14ac:dyDescent="0.25">
      <c r="AA106" s="482">
        <v>44396</v>
      </c>
      <c r="AB106" s="322">
        <v>17.404478000000001</v>
      </c>
      <c r="AC106" s="329">
        <f t="shared" si="13"/>
        <v>-1.1013171676726996E-2</v>
      </c>
      <c r="AD106" s="322">
        <v>2209.6499020000001</v>
      </c>
      <c r="AE106" s="329">
        <f t="shared" si="13"/>
        <v>2.1453889635241197E-2</v>
      </c>
    </row>
    <row r="107" spans="27:31" x14ac:dyDescent="0.25">
      <c r="AA107" s="482">
        <v>44403</v>
      </c>
      <c r="AB107" s="322">
        <v>17.346333000000001</v>
      </c>
      <c r="AC107" s="329">
        <f t="shared" si="13"/>
        <v>-3.3408068888937104E-3</v>
      </c>
      <c r="AD107" s="322">
        <v>2226.25</v>
      </c>
      <c r="AE107" s="329">
        <f t="shared" si="13"/>
        <v>7.5125466640550975E-3</v>
      </c>
    </row>
    <row r="108" spans="27:31" x14ac:dyDescent="0.25">
      <c r="AA108" s="482">
        <v>44410</v>
      </c>
      <c r="AB108" s="322">
        <v>17.239737000000002</v>
      </c>
      <c r="AC108" s="329">
        <f t="shared" si="13"/>
        <v>-6.1451604785864866E-3</v>
      </c>
      <c r="AD108" s="322">
        <v>2247.76001</v>
      </c>
      <c r="AE108" s="329">
        <f t="shared" si="13"/>
        <v>9.6619921392475661E-3</v>
      </c>
    </row>
    <row r="109" spans="27:31" x14ac:dyDescent="0.25">
      <c r="AA109" s="482">
        <v>44417</v>
      </c>
      <c r="AB109" s="322">
        <v>17.592925999999999</v>
      </c>
      <c r="AC109" s="329">
        <f t="shared" si="13"/>
        <v>2.0486913460454614E-2</v>
      </c>
      <c r="AD109" s="322">
        <v>2223.110107</v>
      </c>
      <c r="AE109" s="329">
        <f t="shared" si="13"/>
        <v>-1.0966430086101542E-2</v>
      </c>
    </row>
    <row r="110" spans="27:31" x14ac:dyDescent="0.25">
      <c r="AA110" s="482">
        <v>44424</v>
      </c>
      <c r="AB110" s="322">
        <v>17.514952000000001</v>
      </c>
      <c r="AC110" s="329">
        <f t="shared" si="13"/>
        <v>-4.432122320073284E-3</v>
      </c>
      <c r="AD110" s="322">
        <v>2167.6000979999999</v>
      </c>
      <c r="AE110" s="329">
        <f t="shared" si="13"/>
        <v>-2.4969527521472412E-2</v>
      </c>
    </row>
    <row r="111" spans="27:31" x14ac:dyDescent="0.25">
      <c r="AA111" s="482">
        <v>44431</v>
      </c>
      <c r="AB111" s="322">
        <v>17.612421000000001</v>
      </c>
      <c r="AC111" s="329">
        <f t="shared" si="13"/>
        <v>5.5649024901696098E-3</v>
      </c>
      <c r="AD111" s="322">
        <v>2277.1499020000001</v>
      </c>
      <c r="AE111" s="329">
        <f t="shared" si="13"/>
        <v>5.0539674777224652E-2</v>
      </c>
    </row>
    <row r="112" spans="27:31" x14ac:dyDescent="0.25">
      <c r="AA112" s="482">
        <v>44438</v>
      </c>
      <c r="AB112" s="322">
        <v>17.88533</v>
      </c>
      <c r="AC112" s="329">
        <f t="shared" si="13"/>
        <v>1.5495257579863475E-2</v>
      </c>
      <c r="AD112" s="322">
        <v>2292.0500489999999</v>
      </c>
      <c r="AE112" s="329">
        <f t="shared" si="13"/>
        <v>6.5433316387792928E-3</v>
      </c>
    </row>
    <row r="113" spans="27:31" x14ac:dyDescent="0.25">
      <c r="AA113" s="482">
        <v>44445</v>
      </c>
      <c r="AB113" s="322">
        <v>17.397991000000001</v>
      </c>
      <c r="AC113" s="329">
        <f t="shared" si="13"/>
        <v>-2.7247973618602428E-2</v>
      </c>
      <c r="AD113" s="322">
        <v>2227.5500489999999</v>
      </c>
      <c r="AE113" s="329">
        <f t="shared" si="13"/>
        <v>-2.8140746764295455E-2</v>
      </c>
    </row>
    <row r="114" spans="27:31" x14ac:dyDescent="0.25">
      <c r="AA114" s="482">
        <v>44452</v>
      </c>
      <c r="AB114" s="322">
        <v>16.384326999999999</v>
      </c>
      <c r="AC114" s="329">
        <f t="shared" si="13"/>
        <v>-5.8263278788913131E-2</v>
      </c>
      <c r="AD114" s="322">
        <v>2236.8701169999999</v>
      </c>
      <c r="AE114" s="329">
        <f t="shared" si="13"/>
        <v>4.1839993692549537E-3</v>
      </c>
    </row>
    <row r="115" spans="27:31" x14ac:dyDescent="0.25">
      <c r="AA115" s="482">
        <v>44459</v>
      </c>
      <c r="AB115" s="322">
        <v>17.485711999999999</v>
      </c>
      <c r="AC115" s="329">
        <f t="shared" si="13"/>
        <v>6.7221863919097791E-2</v>
      </c>
      <c r="AD115" s="322">
        <v>2248.070068</v>
      </c>
      <c r="AE115" s="329">
        <f t="shared" si="13"/>
        <v>5.0069742158391772E-3</v>
      </c>
    </row>
    <row r="116" spans="27:31" x14ac:dyDescent="0.25">
      <c r="AA116" s="482">
        <v>44466</v>
      </c>
      <c r="AB116" s="322">
        <v>18.762539</v>
      </c>
      <c r="AC116" s="329">
        <f t="shared" si="13"/>
        <v>7.3021161506034327E-2</v>
      </c>
      <c r="AD116" s="322">
        <v>2241.6298830000001</v>
      </c>
      <c r="AE116" s="329">
        <f t="shared" si="13"/>
        <v>-2.8647616867785164E-3</v>
      </c>
    </row>
    <row r="117" spans="27:31" x14ac:dyDescent="0.25">
      <c r="AA117" s="482">
        <v>44473</v>
      </c>
      <c r="AB117" s="322">
        <v>18.665073</v>
      </c>
      <c r="AC117" s="329">
        <f t="shared" si="13"/>
        <v>-5.1947127198510579E-3</v>
      </c>
      <c r="AD117" s="322">
        <v>2233.0900879999999</v>
      </c>
      <c r="AE117" s="329">
        <f t="shared" si="13"/>
        <v>-3.8096364902895363E-3</v>
      </c>
    </row>
    <row r="118" spans="27:31" x14ac:dyDescent="0.25">
      <c r="AA118" s="482">
        <v>44480</v>
      </c>
      <c r="AB118" s="322">
        <v>18.236214</v>
      </c>
      <c r="AC118" s="329">
        <f t="shared" si="13"/>
        <v>-2.2976550908748061E-2</v>
      </c>
      <c r="AD118" s="322">
        <v>2265.6499020000001</v>
      </c>
      <c r="AE118" s="329">
        <f t="shared" si="13"/>
        <v>1.4580609253055821E-2</v>
      </c>
    </row>
    <row r="119" spans="27:31" x14ac:dyDescent="0.25">
      <c r="AA119" s="482">
        <v>44487</v>
      </c>
      <c r="AB119" s="322">
        <v>18.226467</v>
      </c>
      <c r="AC119" s="329">
        <f t="shared" si="13"/>
        <v>-5.3448594099636537E-4</v>
      </c>
      <c r="AD119" s="322">
        <v>2291.2700199999999</v>
      </c>
      <c r="AE119" s="329">
        <f t="shared" si="13"/>
        <v>1.1308065724269012E-2</v>
      </c>
    </row>
    <row r="120" spans="27:31" x14ac:dyDescent="0.25">
      <c r="AA120" s="482">
        <v>44494</v>
      </c>
      <c r="AB120" s="322">
        <v>18.323934999999999</v>
      </c>
      <c r="AC120" s="329">
        <f t="shared" si="13"/>
        <v>5.3476079593484105E-3</v>
      </c>
      <c r="AD120" s="322">
        <v>2297.1899410000001</v>
      </c>
      <c r="AE120" s="329">
        <f t="shared" si="13"/>
        <v>2.5836854444594159E-3</v>
      </c>
    </row>
    <row r="121" spans="27:31" x14ac:dyDescent="0.25">
      <c r="AA121" s="482">
        <v>44501</v>
      </c>
      <c r="AB121" s="322">
        <v>18.343430000000001</v>
      </c>
      <c r="AC121" s="329">
        <f t="shared" si="13"/>
        <v>1.0639090348225633E-3</v>
      </c>
      <c r="AD121" s="322">
        <v>2437.080078</v>
      </c>
      <c r="AE121" s="329">
        <f t="shared" si="13"/>
        <v>6.0896199527629591E-2</v>
      </c>
    </row>
    <row r="122" spans="27:31" x14ac:dyDescent="0.25">
      <c r="AA122" s="482">
        <v>44508</v>
      </c>
      <c r="AB122" s="322">
        <v>18.138178</v>
      </c>
      <c r="AC122" s="329">
        <f t="shared" si="13"/>
        <v>-1.1189401327886928E-2</v>
      </c>
      <c r="AD122" s="322">
        <v>2411.780029</v>
      </c>
      <c r="AE122" s="329">
        <f t="shared" si="13"/>
        <v>-1.0381295726959672E-2</v>
      </c>
    </row>
    <row r="123" spans="27:31" x14ac:dyDescent="0.25">
      <c r="AA123" s="482">
        <v>44515</v>
      </c>
      <c r="AB123" s="322">
        <v>18.157778</v>
      </c>
      <c r="AC123" s="329">
        <f t="shared" si="13"/>
        <v>1.0805936516886661E-3</v>
      </c>
      <c r="AD123" s="322">
        <v>2343.1599120000001</v>
      </c>
      <c r="AE123" s="329">
        <f t="shared" si="13"/>
        <v>-2.84520628643119E-2</v>
      </c>
    </row>
    <row r="124" spans="27:31" x14ac:dyDescent="0.25">
      <c r="AA124" s="482">
        <v>44522</v>
      </c>
      <c r="AB124" s="322">
        <v>17.883402</v>
      </c>
      <c r="AC124" s="329">
        <f t="shared" si="13"/>
        <v>-1.5110659465051302E-2</v>
      </c>
      <c r="AD124" s="322">
        <v>2245.9399410000001</v>
      </c>
      <c r="AE124" s="329">
        <f t="shared" si="13"/>
        <v>-4.1490967177318261E-2</v>
      </c>
    </row>
    <row r="125" spans="27:31" x14ac:dyDescent="0.25">
      <c r="AA125" s="482">
        <v>44529</v>
      </c>
      <c r="AB125" s="322">
        <v>17.422844000000001</v>
      </c>
      <c r="AC125" s="329">
        <f t="shared" si="13"/>
        <v>-2.5753377349566842E-2</v>
      </c>
      <c r="AD125" s="322">
        <v>2159.3100589999999</v>
      </c>
      <c r="AE125" s="329">
        <f t="shared" si="13"/>
        <v>-3.8571771407844735E-2</v>
      </c>
    </row>
    <row r="126" spans="27:31" x14ac:dyDescent="0.25">
      <c r="AA126" s="482">
        <v>44536</v>
      </c>
      <c r="AB126" s="322">
        <v>17.560030000000001</v>
      </c>
      <c r="AC126" s="329">
        <f t="shared" si="13"/>
        <v>7.8739154181717286E-3</v>
      </c>
      <c r="AD126" s="322">
        <v>2211.8100589999999</v>
      </c>
      <c r="AE126" s="329">
        <f t="shared" si="13"/>
        <v>2.4313321646967756E-2</v>
      </c>
    </row>
    <row r="127" spans="27:31" x14ac:dyDescent="0.25">
      <c r="AA127" s="482">
        <v>44543</v>
      </c>
      <c r="AB127" s="322">
        <v>16.531122</v>
      </c>
      <c r="AC127" s="329">
        <f t="shared" si="13"/>
        <v>-5.8593749555097663E-2</v>
      </c>
      <c r="AD127" s="322">
        <v>2173.929932</v>
      </c>
      <c r="AE127" s="329">
        <f t="shared" si="13"/>
        <v>-1.7126301983239056E-2</v>
      </c>
    </row>
    <row r="128" spans="27:31" x14ac:dyDescent="0.25">
      <c r="AA128" s="482">
        <v>44550</v>
      </c>
      <c r="AB128" s="322">
        <v>16.462527999999999</v>
      </c>
      <c r="AC128" s="329">
        <f t="shared" si="13"/>
        <v>-4.1493856254887218E-3</v>
      </c>
      <c r="AD128" s="322">
        <v>2241.580078</v>
      </c>
      <c r="AE128" s="329">
        <f t="shared" si="13"/>
        <v>3.1118825406558637E-2</v>
      </c>
    </row>
    <row r="129" spans="27:31" x14ac:dyDescent="0.25">
      <c r="AA129" s="482">
        <v>44557</v>
      </c>
      <c r="AB129" s="322">
        <v>16.727105999999999</v>
      </c>
      <c r="AC129" s="329">
        <f t="shared" si="13"/>
        <v>1.6071529232934312E-2</v>
      </c>
      <c r="AD129" s="322">
        <v>2245.3100589999999</v>
      </c>
      <c r="AE129" s="329">
        <f t="shared" si="13"/>
        <v>1.6639963196531937E-3</v>
      </c>
    </row>
    <row r="130" spans="27:31" x14ac:dyDescent="0.25">
      <c r="AA130" s="482">
        <v>44564</v>
      </c>
      <c r="AB130" s="322">
        <v>17.609026</v>
      </c>
      <c r="AC130" s="329">
        <f t="shared" si="13"/>
        <v>5.2724003781646545E-2</v>
      </c>
      <c r="AD130" s="322">
        <v>2179.8100589999999</v>
      </c>
      <c r="AE130" s="329">
        <f t="shared" si="13"/>
        <v>-2.9171917587708096E-2</v>
      </c>
    </row>
    <row r="131" spans="27:31" x14ac:dyDescent="0.25">
      <c r="AA131" s="482">
        <v>44571</v>
      </c>
      <c r="AB131" s="322">
        <v>17.667819999999999</v>
      </c>
      <c r="AC131" s="329">
        <f t="shared" si="13"/>
        <v>3.3388558799334334E-3</v>
      </c>
      <c r="AD131" s="322">
        <v>2162.459961</v>
      </c>
      <c r="AE131" s="329">
        <f t="shared" si="13"/>
        <v>-7.9594540489272836E-3</v>
      </c>
    </row>
    <row r="132" spans="27:31" x14ac:dyDescent="0.25">
      <c r="AA132" s="482">
        <v>44578</v>
      </c>
      <c r="AB132" s="322">
        <v>17.285654000000001</v>
      </c>
      <c r="AC132" s="329">
        <f t="shared" si="13"/>
        <v>-2.1630625623308308E-2</v>
      </c>
      <c r="AD132" s="322">
        <v>1987.920044</v>
      </c>
      <c r="AE132" s="329">
        <f t="shared" si="13"/>
        <v>-8.0713594770691843E-2</v>
      </c>
    </row>
    <row r="133" spans="27:31" x14ac:dyDescent="0.25">
      <c r="AA133" s="482">
        <v>44585</v>
      </c>
      <c r="AB133" s="322">
        <v>16.65851</v>
      </c>
      <c r="AC133" s="329">
        <f t="shared" si="13"/>
        <v>-3.6281184385618337E-2</v>
      </c>
      <c r="AD133" s="322">
        <v>1968.51001</v>
      </c>
      <c r="AE133" s="329">
        <f t="shared" si="13"/>
        <v>-9.7639912925995276E-3</v>
      </c>
    </row>
    <row r="134" spans="27:31" x14ac:dyDescent="0.25">
      <c r="AA134" s="482">
        <v>44592</v>
      </c>
      <c r="AB134" s="322">
        <v>16.511524000000001</v>
      </c>
      <c r="AC134" s="329">
        <f t="shared" si="13"/>
        <v>-8.823478210235991E-3</v>
      </c>
      <c r="AD134" s="322">
        <v>2002.3599850000001</v>
      </c>
      <c r="AE134" s="329">
        <f t="shared" si="13"/>
        <v>1.7195734249784156E-2</v>
      </c>
    </row>
    <row r="135" spans="27:31" x14ac:dyDescent="0.25">
      <c r="AA135" s="482">
        <v>44599</v>
      </c>
      <c r="AB135" s="322">
        <v>18.323592999999999</v>
      </c>
      <c r="AC135" s="329">
        <f t="shared" si="13"/>
        <v>0.10974571456880655</v>
      </c>
      <c r="AD135" s="322">
        <v>2030.150024</v>
      </c>
      <c r="AE135" s="329">
        <f t="shared" si="13"/>
        <v>1.3878642805579267E-2</v>
      </c>
    </row>
    <row r="136" spans="27:31" x14ac:dyDescent="0.25">
      <c r="AA136" s="482">
        <v>44606</v>
      </c>
      <c r="AB136" s="322">
        <v>18.067181000000001</v>
      </c>
      <c r="AC136" s="329">
        <f t="shared" si="13"/>
        <v>-1.3993543733480496E-2</v>
      </c>
      <c r="AD136" s="322">
        <v>2009.329956</v>
      </c>
      <c r="AE136" s="329">
        <f t="shared" si="13"/>
        <v>-1.025543322112632E-2</v>
      </c>
    </row>
    <row r="137" spans="27:31" x14ac:dyDescent="0.25">
      <c r="AA137" s="482">
        <v>44613</v>
      </c>
      <c r="AB137" s="322">
        <v>18.185525999999999</v>
      </c>
      <c r="AC137" s="329">
        <f t="shared" si="13"/>
        <v>6.5502747772328007E-3</v>
      </c>
      <c r="AD137" s="322">
        <v>2040.9300539999999</v>
      </c>
      <c r="AE137" s="329">
        <f t="shared" si="13"/>
        <v>1.5726684363431609E-2</v>
      </c>
    </row>
    <row r="138" spans="27:31" x14ac:dyDescent="0.25">
      <c r="AA138" s="482">
        <v>44620</v>
      </c>
      <c r="AB138" s="322">
        <v>18.41235</v>
      </c>
      <c r="AC138" s="329">
        <f t="shared" si="13"/>
        <v>1.2472776426703414E-2</v>
      </c>
      <c r="AD138" s="322">
        <v>2000.900024</v>
      </c>
      <c r="AE138" s="329">
        <f t="shared" si="13"/>
        <v>-1.9613621702294748E-2</v>
      </c>
    </row>
    <row r="139" spans="27:31" x14ac:dyDescent="0.25">
      <c r="AA139" s="482">
        <v>44627</v>
      </c>
      <c r="AB139" s="322">
        <v>18.037596000000001</v>
      </c>
      <c r="AC139" s="329">
        <f t="shared" si="13"/>
        <v>-2.0353404101051686E-2</v>
      </c>
      <c r="AD139" s="322">
        <v>1979.670044</v>
      </c>
      <c r="AE139" s="329">
        <f t="shared" si="13"/>
        <v>-1.0610215275803303E-2</v>
      </c>
    </row>
    <row r="140" spans="27:31" x14ac:dyDescent="0.25">
      <c r="AA140" s="482">
        <v>44634</v>
      </c>
      <c r="AB140" s="322">
        <v>18.284144999999999</v>
      </c>
      <c r="AC140" s="329">
        <f t="shared" si="13"/>
        <v>1.3668617480954603E-2</v>
      </c>
      <c r="AD140" s="322">
        <v>2086.139893</v>
      </c>
      <c r="AE140" s="329">
        <f t="shared" si="13"/>
        <v>5.3781613417190233E-2</v>
      </c>
    </row>
    <row r="141" spans="27:31" x14ac:dyDescent="0.25">
      <c r="AA141" s="482">
        <v>44641</v>
      </c>
      <c r="AB141" s="322">
        <v>18.471520999999999</v>
      </c>
      <c r="AC141" s="329">
        <f t="shared" si="13"/>
        <v>1.0248004486947515E-2</v>
      </c>
      <c r="AD141" s="322">
        <v>2077.9799800000001</v>
      </c>
      <c r="AE141" s="329">
        <f t="shared" si="13"/>
        <v>-3.9114888830708017E-3</v>
      </c>
    </row>
    <row r="142" spans="27:31" x14ac:dyDescent="0.25">
      <c r="AA142" s="482">
        <v>44648</v>
      </c>
      <c r="AB142" s="322">
        <v>18.234835</v>
      </c>
      <c r="AC142" s="329">
        <f t="shared" si="13"/>
        <v>-1.2813563106145898E-2</v>
      </c>
      <c r="AD142" s="322">
        <v>2091.110107</v>
      </c>
      <c r="AE142" s="329">
        <f t="shared" si="13"/>
        <v>6.3186975458733308E-3</v>
      </c>
    </row>
    <row r="143" spans="27:31" x14ac:dyDescent="0.25">
      <c r="AA143" s="482">
        <v>44655</v>
      </c>
      <c r="AB143" s="322">
        <v>17.534634</v>
      </c>
      <c r="AC143" s="329">
        <f t="shared" ref="AC143:AE170" si="14">(AB143/AB142)-1</f>
        <v>-3.8399086144733419E-2</v>
      </c>
      <c r="AD143" s="322">
        <v>1994.5600589999999</v>
      </c>
      <c r="AE143" s="329">
        <f t="shared" si="14"/>
        <v>-4.6171671054909269E-2</v>
      </c>
    </row>
    <row r="144" spans="27:31" x14ac:dyDescent="0.25">
      <c r="AA144" s="482">
        <v>44662</v>
      </c>
      <c r="AB144" s="322">
        <v>17.406427000000001</v>
      </c>
      <c r="AC144" s="329">
        <f t="shared" si="14"/>
        <v>-7.3116439156928337E-3</v>
      </c>
      <c r="AD144" s="322">
        <v>2004.9799800000001</v>
      </c>
      <c r="AE144" s="329">
        <f t="shared" si="14"/>
        <v>5.2241700885278242E-3</v>
      </c>
    </row>
    <row r="145" spans="27:31" x14ac:dyDescent="0.25">
      <c r="AA145" s="482">
        <v>44669</v>
      </c>
      <c r="AB145" s="322">
        <v>17.288084000000001</v>
      </c>
      <c r="AC145" s="329">
        <f t="shared" si="14"/>
        <v>-6.7988105772655016E-3</v>
      </c>
      <c r="AD145" s="322">
        <v>1940.660034</v>
      </c>
      <c r="AE145" s="329">
        <f t="shared" si="14"/>
        <v>-3.2080093887022265E-2</v>
      </c>
    </row>
    <row r="146" spans="27:31" x14ac:dyDescent="0.25">
      <c r="AA146" s="482">
        <v>44676</v>
      </c>
      <c r="AB146" s="322">
        <v>16.903462999999999</v>
      </c>
      <c r="AC146" s="329">
        <f t="shared" si="14"/>
        <v>-2.2247751688388551E-2</v>
      </c>
      <c r="AD146" s="322">
        <v>1864.099976</v>
      </c>
      <c r="AE146" s="329">
        <f t="shared" si="14"/>
        <v>-3.9450525418508242E-2</v>
      </c>
    </row>
    <row r="147" spans="27:31" x14ac:dyDescent="0.25">
      <c r="AA147" s="482">
        <v>44683</v>
      </c>
      <c r="AB147" s="322">
        <v>16.410366</v>
      </c>
      <c r="AC147" s="329">
        <f t="shared" si="14"/>
        <v>-2.917135973853402E-2</v>
      </c>
      <c r="AD147" s="322">
        <v>1839.5600589999999</v>
      </c>
      <c r="AE147" s="329">
        <f t="shared" si="14"/>
        <v>-1.3164485443885932E-2</v>
      </c>
    </row>
    <row r="148" spans="27:31" x14ac:dyDescent="0.25">
      <c r="AA148" s="482">
        <v>44690</v>
      </c>
      <c r="AB148" s="322">
        <v>16.217535000000002</v>
      </c>
      <c r="AC148" s="329">
        <f t="shared" si="14"/>
        <v>-1.1750560590787495E-2</v>
      </c>
      <c r="AD148" s="322">
        <v>1792.670044</v>
      </c>
      <c r="AE148" s="329">
        <f t="shared" si="14"/>
        <v>-2.5489798373579453E-2</v>
      </c>
    </row>
    <row r="149" spans="27:31" x14ac:dyDescent="0.25">
      <c r="AA149" s="482">
        <v>44697</v>
      </c>
      <c r="AB149" s="322">
        <v>15.880083000000001</v>
      </c>
      <c r="AC149" s="329">
        <f t="shared" si="14"/>
        <v>-2.0807847801777579E-2</v>
      </c>
      <c r="AD149" s="322">
        <v>1773.2700199999999</v>
      </c>
      <c r="AE149" s="329">
        <f t="shared" si="14"/>
        <v>-1.0821859864803995E-2</v>
      </c>
    </row>
    <row r="150" spans="27:31" x14ac:dyDescent="0.25">
      <c r="AA150" s="482">
        <v>44704</v>
      </c>
      <c r="AB150" s="322">
        <v>16.525210999999999</v>
      </c>
      <c r="AC150" s="329">
        <f t="shared" si="14"/>
        <v>4.062497658230102E-2</v>
      </c>
      <c r="AD150" s="322">
        <v>1887.900024</v>
      </c>
      <c r="AE150" s="329">
        <f t="shared" si="14"/>
        <v>6.4643287659033488E-2</v>
      </c>
    </row>
    <row r="151" spans="27:31" x14ac:dyDescent="0.25">
      <c r="AA151" s="482">
        <v>44711</v>
      </c>
      <c r="AB151" s="322">
        <v>16.822963999999999</v>
      </c>
      <c r="AC151" s="329">
        <f t="shared" si="14"/>
        <v>1.8018105789995742E-2</v>
      </c>
      <c r="AD151" s="322">
        <v>1883.0500489999999</v>
      </c>
      <c r="AE151" s="329">
        <f t="shared" si="14"/>
        <v>-2.5689787268099451E-3</v>
      </c>
    </row>
    <row r="152" spans="27:31" x14ac:dyDescent="0.25">
      <c r="AA152" s="482">
        <v>44718</v>
      </c>
      <c r="AB152" s="322">
        <v>15.969409000000001</v>
      </c>
      <c r="AC152" s="329">
        <f t="shared" si="14"/>
        <v>-5.0737491918784294E-2</v>
      </c>
      <c r="AD152" s="322">
        <v>1800.280029</v>
      </c>
      <c r="AE152" s="329">
        <f t="shared" si="14"/>
        <v>-4.3955294785688381E-2</v>
      </c>
    </row>
    <row r="153" spans="27:31" x14ac:dyDescent="0.25">
      <c r="AA153" s="482">
        <v>44725</v>
      </c>
      <c r="AB153" s="322">
        <v>15.651808000000001</v>
      </c>
      <c r="AC153" s="329">
        <f t="shared" si="14"/>
        <v>-1.9888087279873679E-2</v>
      </c>
      <c r="AD153" s="322">
        <v>1665.6899410000001</v>
      </c>
      <c r="AE153" s="329">
        <f t="shared" si="14"/>
        <v>-7.476064047367148E-2</v>
      </c>
    </row>
    <row r="154" spans="27:31" x14ac:dyDescent="0.25">
      <c r="AA154" s="482">
        <v>44732</v>
      </c>
      <c r="AB154" s="322">
        <v>14.639452</v>
      </c>
      <c r="AC154" s="329">
        <f t="shared" si="14"/>
        <v>-6.467981207027329E-2</v>
      </c>
      <c r="AD154" s="322">
        <v>1765.73999</v>
      </c>
      <c r="AE154" s="329">
        <f t="shared" si="14"/>
        <v>6.0065229750943194E-2</v>
      </c>
    </row>
    <row r="155" spans="27:31" x14ac:dyDescent="0.25">
      <c r="AA155" s="482">
        <v>44739</v>
      </c>
      <c r="AB155" s="322">
        <v>15.096004000000001</v>
      </c>
      <c r="AC155" s="329">
        <f t="shared" si="14"/>
        <v>3.118641326191729E-2</v>
      </c>
      <c r="AD155" s="322">
        <v>1727.76001</v>
      </c>
      <c r="AE155" s="329">
        <f t="shared" si="14"/>
        <v>-2.1509384289359668E-2</v>
      </c>
    </row>
    <row r="156" spans="27:31" x14ac:dyDescent="0.25">
      <c r="AA156" s="482">
        <v>44746</v>
      </c>
      <c r="AB156" s="322">
        <v>14.976903999999999</v>
      </c>
      <c r="AC156" s="329">
        <f t="shared" si="14"/>
        <v>-7.8895050637242115E-3</v>
      </c>
      <c r="AD156" s="322">
        <v>1769.3599850000001</v>
      </c>
      <c r="AE156" s="329">
        <f t="shared" si="14"/>
        <v>2.407740355097121E-2</v>
      </c>
    </row>
    <row r="157" spans="27:31" x14ac:dyDescent="0.25">
      <c r="AA157" s="482">
        <v>44753</v>
      </c>
      <c r="AB157" s="322">
        <v>14.738702999999999</v>
      </c>
      <c r="AC157" s="329">
        <f t="shared" si="14"/>
        <v>-1.5904555440830803E-2</v>
      </c>
      <c r="AD157" s="322">
        <v>1744.369995</v>
      </c>
      <c r="AE157" s="329">
        <f t="shared" si="14"/>
        <v>-1.412374542877437E-2</v>
      </c>
    </row>
    <row r="158" spans="27:31" x14ac:dyDescent="0.25">
      <c r="AA158" s="482">
        <v>44760</v>
      </c>
      <c r="AB158" s="322">
        <v>14.043948</v>
      </c>
      <c r="AC158" s="329">
        <f t="shared" si="14"/>
        <v>-4.7138136917474927E-2</v>
      </c>
      <c r="AD158" s="322">
        <v>1806.880005</v>
      </c>
      <c r="AE158" s="329">
        <f t="shared" si="14"/>
        <v>3.5835293073818386E-2</v>
      </c>
    </row>
    <row r="159" spans="27:31" x14ac:dyDescent="0.25">
      <c r="AA159" s="482">
        <v>44767</v>
      </c>
      <c r="AB159" s="322">
        <v>14.411175999999999</v>
      </c>
      <c r="AC159" s="329">
        <f t="shared" si="14"/>
        <v>2.6148487590526459E-2</v>
      </c>
      <c r="AD159" s="322">
        <v>1885.2299800000001</v>
      </c>
      <c r="AE159" s="329">
        <f t="shared" si="14"/>
        <v>4.3362024474890459E-2</v>
      </c>
    </row>
    <row r="160" spans="27:31" x14ac:dyDescent="0.25">
      <c r="AA160" s="482">
        <v>44774</v>
      </c>
      <c r="AB160" s="322">
        <v>14.133274</v>
      </c>
      <c r="AC160" s="329">
        <f t="shared" si="14"/>
        <v>-1.9283783641251717E-2</v>
      </c>
      <c r="AD160" s="322">
        <v>1921.8199460000001</v>
      </c>
      <c r="AE160" s="329">
        <f t="shared" si="14"/>
        <v>1.9408754575396703E-2</v>
      </c>
    </row>
    <row r="161" spans="27:31" x14ac:dyDescent="0.25">
      <c r="AA161" s="482">
        <v>44781</v>
      </c>
      <c r="AB161" s="322">
        <v>14.76</v>
      </c>
      <c r="AC161" s="329">
        <f t="shared" si="14"/>
        <v>4.4344006915878031E-2</v>
      </c>
      <c r="AD161" s="322">
        <v>2016.619995</v>
      </c>
      <c r="AE161" s="329">
        <f t="shared" si="14"/>
        <v>4.9328267820985428E-2</v>
      </c>
    </row>
    <row r="162" spans="27:31" x14ac:dyDescent="0.25">
      <c r="AA162" s="482">
        <v>44788</v>
      </c>
      <c r="AB162" s="322">
        <v>14.61</v>
      </c>
      <c r="AC162" s="329">
        <f t="shared" si="14"/>
        <v>-1.0162601626016232E-2</v>
      </c>
      <c r="AD162" s="322">
        <v>1957.349976</v>
      </c>
      <c r="AE162" s="329">
        <f t="shared" si="14"/>
        <v>-2.9390772256029374E-2</v>
      </c>
    </row>
    <row r="163" spans="27:31" x14ac:dyDescent="0.25">
      <c r="AA163" s="482">
        <v>44795</v>
      </c>
      <c r="AB163" s="322">
        <v>14.21</v>
      </c>
      <c r="AC163" s="329">
        <f t="shared" si="14"/>
        <v>-2.7378507871320901E-2</v>
      </c>
      <c r="AD163" s="322">
        <v>1899.829956</v>
      </c>
      <c r="AE163" s="329">
        <f t="shared" si="14"/>
        <v>-2.9386681332046027E-2</v>
      </c>
    </row>
    <row r="164" spans="27:31" x14ac:dyDescent="0.25">
      <c r="AA164" s="482">
        <v>44802</v>
      </c>
      <c r="AB164" s="322">
        <v>14.05</v>
      </c>
      <c r="AC164" s="329">
        <f t="shared" si="14"/>
        <v>-1.1259676284306797E-2</v>
      </c>
      <c r="AD164" s="322">
        <v>1809.75</v>
      </c>
      <c r="AE164" s="329">
        <f t="shared" si="14"/>
        <v>-4.741474662798717E-2</v>
      </c>
    </row>
    <row r="165" spans="27:31" x14ac:dyDescent="0.25">
      <c r="AA165" s="482">
        <v>44809</v>
      </c>
      <c r="AB165" s="322">
        <v>14.19</v>
      </c>
      <c r="AC165" s="329">
        <f t="shared" si="14"/>
        <v>9.9644128113878239E-3</v>
      </c>
      <c r="AD165" s="322">
        <v>1882.849976</v>
      </c>
      <c r="AE165" s="329">
        <f t="shared" si="14"/>
        <v>4.0392306119629851E-2</v>
      </c>
    </row>
    <row r="166" spans="27:31" x14ac:dyDescent="0.25">
      <c r="AA166" s="482">
        <v>44816</v>
      </c>
      <c r="AB166" s="322">
        <v>13.93</v>
      </c>
      <c r="AC166" s="329">
        <f t="shared" si="14"/>
        <v>-1.8322762508809043E-2</v>
      </c>
      <c r="AD166" s="322">
        <v>1798.1899410000001</v>
      </c>
      <c r="AE166" s="329">
        <f t="shared" si="14"/>
        <v>-4.4963770921279123E-2</v>
      </c>
    </row>
    <row r="167" spans="27:31" x14ac:dyDescent="0.25">
      <c r="AA167" s="482">
        <v>44823</v>
      </c>
      <c r="AB167" s="322">
        <v>13.42</v>
      </c>
      <c r="AC167" s="329">
        <f t="shared" si="14"/>
        <v>-3.6611629576453697E-2</v>
      </c>
      <c r="AD167" s="322">
        <v>1679.589966</v>
      </c>
      <c r="AE167" s="329">
        <f t="shared" si="14"/>
        <v>-6.595519877841427E-2</v>
      </c>
    </row>
    <row r="168" spans="27:31" x14ac:dyDescent="0.25">
      <c r="AA168" s="482">
        <v>44830</v>
      </c>
      <c r="AB168" s="322">
        <v>13.03</v>
      </c>
      <c r="AC168" s="329">
        <f t="shared" si="14"/>
        <v>-2.9061102831594687E-2</v>
      </c>
      <c r="AD168" s="322">
        <v>1664.719971</v>
      </c>
      <c r="AE168" s="329">
        <f t="shared" si="14"/>
        <v>-8.8533483177524186E-3</v>
      </c>
    </row>
    <row r="169" spans="27:31" x14ac:dyDescent="0.25">
      <c r="AA169" s="482">
        <v>44837</v>
      </c>
      <c r="AB169" s="322">
        <v>13.25</v>
      </c>
      <c r="AC169" s="329">
        <f t="shared" si="14"/>
        <v>1.6884113584036964E-2</v>
      </c>
      <c r="AD169" s="322">
        <v>1702.150024</v>
      </c>
      <c r="AE169" s="329">
        <f t="shared" si="14"/>
        <v>2.2484293846439352E-2</v>
      </c>
    </row>
    <row r="170" spans="27:31" x14ac:dyDescent="0.25">
      <c r="AA170" s="482">
        <v>44844</v>
      </c>
      <c r="AB170" s="322">
        <v>13.23</v>
      </c>
      <c r="AC170" s="329">
        <f t="shared" si="14"/>
        <v>-1.5094339622641062E-3</v>
      </c>
      <c r="AD170" s="322">
        <v>1691.920044</v>
      </c>
      <c r="AE170" s="329">
        <f t="shared" si="14"/>
        <v>-6.0100342835586185E-3</v>
      </c>
    </row>
  </sheetData>
  <mergeCells count="10">
    <mergeCell ref="B12:B13"/>
    <mergeCell ref="D12:J12"/>
    <mergeCell ref="L12:M13"/>
    <mergeCell ref="L30:M31"/>
    <mergeCell ref="N30:O30"/>
    <mergeCell ref="Q30:T30"/>
    <mergeCell ref="V30:Y30"/>
    <mergeCell ref="N12:O12"/>
    <mergeCell ref="Q12:T12"/>
    <mergeCell ref="V12:Y12"/>
  </mergeCells>
  <conditionalFormatting sqref="F40:J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66C6-9FB3-4EF5-B002-A303C51F3060}">
  <sheetPr>
    <pageSetUpPr autoPageBreaks="0"/>
  </sheetPr>
  <dimension ref="B1:AU235"/>
  <sheetViews>
    <sheetView showGridLines="0" tabSelected="1" view="pageBreakPreview" zoomScale="60" zoomScaleNormal="70" workbookViewId="0">
      <pane xSplit="2" ySplit="3" topLeftCell="C5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3.2" outlineLevelRow="1" outlineLevelCol="1" x14ac:dyDescent="0.25"/>
  <cols>
    <col min="1" max="1" width="2.77734375" style="1" customWidth="1"/>
    <col min="2" max="2" width="46.21875" style="27" bestFit="1" customWidth="1"/>
    <col min="3" max="8" width="11.77734375" style="27" customWidth="1"/>
    <col min="9" max="12" width="11.77734375" style="27" hidden="1" customWidth="1" outlineLevel="1"/>
    <col min="13" max="13" width="2.77734375" style="27" hidden="1" customWidth="1" outlineLevel="1"/>
    <col min="14" max="17" width="11.77734375" style="27" hidden="1" customWidth="1" outlineLevel="1"/>
    <col min="18" max="18" width="2.77734375" style="27" hidden="1" customWidth="1" outlineLevel="1"/>
    <col min="19" max="22" width="11.77734375" style="27" hidden="1" customWidth="1" outlineLevel="1"/>
    <col min="23" max="23" width="2.77734375" style="27" hidden="1" customWidth="1" outlineLevel="1"/>
    <col min="24" max="27" width="11.77734375" style="27" hidden="1" customWidth="1" outlineLevel="1"/>
    <col min="28" max="28" width="11.77734375" style="27" customWidth="1" collapsed="1"/>
    <col min="29" max="35" width="11.77734375" style="27" customWidth="1"/>
    <col min="36" max="37" width="15.77734375" style="27" customWidth="1"/>
    <col min="38" max="40" width="9.77734375" style="27" customWidth="1"/>
    <col min="41" max="48" width="11.77734375" style="1" customWidth="1"/>
    <col min="49" max="16384" width="8.88671875" style="1"/>
  </cols>
  <sheetData>
    <row r="1" spans="2:47" ht="13.8" thickBot="1" x14ac:dyDescent="0.3">
      <c r="B1" s="337" t="s">
        <v>224</v>
      </c>
      <c r="C1" s="18"/>
      <c r="D1" s="19"/>
      <c r="E1" s="19"/>
      <c r="F1" s="19"/>
      <c r="G1" s="19"/>
      <c r="H1" s="20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8"/>
      <c r="AC1" s="19"/>
      <c r="AD1" s="19"/>
      <c r="AE1" s="19"/>
      <c r="AF1" s="19"/>
      <c r="AG1" s="19"/>
      <c r="AH1" s="20"/>
      <c r="AI1" s="20"/>
      <c r="AJ1" s="18"/>
      <c r="AK1" s="19"/>
      <c r="AL1" s="18"/>
      <c r="AM1" s="19"/>
      <c r="AN1" s="20"/>
      <c r="AU1" s="1" t="s">
        <v>142</v>
      </c>
    </row>
    <row r="2" spans="2:47" x14ac:dyDescent="0.25">
      <c r="B2" s="513" t="s">
        <v>220</v>
      </c>
      <c r="C2" s="517" t="s">
        <v>10</v>
      </c>
      <c r="D2" s="518"/>
      <c r="E2" s="518"/>
      <c r="F2" s="518"/>
      <c r="G2" s="518"/>
      <c r="H2" s="519"/>
      <c r="I2" s="522">
        <v>2021</v>
      </c>
      <c r="J2" s="512"/>
      <c r="K2" s="512"/>
      <c r="L2" s="512"/>
      <c r="M2" s="332"/>
      <c r="N2" s="512" t="s">
        <v>11</v>
      </c>
      <c r="O2" s="512"/>
      <c r="P2" s="512"/>
      <c r="Q2" s="512"/>
      <c r="R2" s="332"/>
      <c r="S2" s="512" t="s">
        <v>12</v>
      </c>
      <c r="T2" s="512"/>
      <c r="U2" s="512"/>
      <c r="V2" s="512"/>
      <c r="W2" s="332"/>
      <c r="X2" s="512" t="s">
        <v>13</v>
      </c>
      <c r="Y2" s="512"/>
      <c r="Z2" s="512"/>
      <c r="AA2" s="523"/>
      <c r="AB2" s="522" t="s">
        <v>10</v>
      </c>
      <c r="AC2" s="512"/>
      <c r="AD2" s="512"/>
      <c r="AE2" s="512"/>
      <c r="AF2" s="512"/>
      <c r="AG2" s="512"/>
      <c r="AH2" s="523"/>
      <c r="AI2" s="291" t="s">
        <v>158</v>
      </c>
      <c r="AJ2" s="520" t="s">
        <v>155</v>
      </c>
      <c r="AK2" s="521"/>
      <c r="AL2" s="514" t="s">
        <v>223</v>
      </c>
      <c r="AM2" s="515"/>
      <c r="AN2" s="516"/>
      <c r="AU2" s="146" t="s">
        <v>143</v>
      </c>
    </row>
    <row r="3" spans="2:47" x14ac:dyDescent="0.25">
      <c r="B3" s="513"/>
      <c r="C3" s="47">
        <f t="shared" ref="C3:F3" si="0">D3-1</f>
        <v>2015</v>
      </c>
      <c r="D3" s="46">
        <f t="shared" si="0"/>
        <v>2016</v>
      </c>
      <c r="E3" s="46">
        <f t="shared" si="0"/>
        <v>2017</v>
      </c>
      <c r="F3" s="46">
        <f t="shared" si="0"/>
        <v>2018</v>
      </c>
      <c r="G3" s="46">
        <f>H3-1</f>
        <v>2019</v>
      </c>
      <c r="H3" s="48">
        <v>2020</v>
      </c>
      <c r="I3" s="21" t="s">
        <v>0</v>
      </c>
      <c r="J3" s="3" t="s">
        <v>1</v>
      </c>
      <c r="K3" s="3" t="s">
        <v>2</v>
      </c>
      <c r="L3" s="3" t="s">
        <v>3</v>
      </c>
      <c r="M3" s="333"/>
      <c r="N3" s="3" t="s">
        <v>4</v>
      </c>
      <c r="O3" s="3" t="s">
        <v>5</v>
      </c>
      <c r="P3" s="3" t="s">
        <v>125</v>
      </c>
      <c r="Q3" s="3" t="s">
        <v>14</v>
      </c>
      <c r="R3" s="333"/>
      <c r="S3" s="3" t="s">
        <v>15</v>
      </c>
      <c r="T3" s="3" t="s">
        <v>16</v>
      </c>
      <c r="U3" s="3" t="s">
        <v>17</v>
      </c>
      <c r="V3" s="3" t="s">
        <v>18</v>
      </c>
      <c r="W3" s="333"/>
      <c r="X3" s="3" t="s">
        <v>19</v>
      </c>
      <c r="Y3" s="3" t="s">
        <v>20</v>
      </c>
      <c r="Z3" s="3" t="s">
        <v>21</v>
      </c>
      <c r="AA3" s="3" t="s">
        <v>22</v>
      </c>
      <c r="AB3" s="21" t="s">
        <v>6</v>
      </c>
      <c r="AC3" s="3" t="s">
        <v>7</v>
      </c>
      <c r="AD3" s="3" t="s">
        <v>8</v>
      </c>
      <c r="AE3" s="3" t="s">
        <v>9</v>
      </c>
      <c r="AF3" s="3" t="s">
        <v>98</v>
      </c>
      <c r="AG3" s="3" t="s">
        <v>99</v>
      </c>
      <c r="AH3" s="22" t="s">
        <v>100</v>
      </c>
      <c r="AI3" s="292" t="s">
        <v>159</v>
      </c>
      <c r="AJ3" s="325" t="s">
        <v>156</v>
      </c>
      <c r="AK3" s="334" t="s">
        <v>157</v>
      </c>
      <c r="AL3" s="338" t="s">
        <v>224</v>
      </c>
      <c r="AM3" s="339" t="s">
        <v>221</v>
      </c>
      <c r="AN3" s="340" t="s">
        <v>222</v>
      </c>
    </row>
    <row r="4" spans="2:47" x14ac:dyDescent="0.25">
      <c r="B4" s="5" t="s">
        <v>141</v>
      </c>
      <c r="C4" s="49"/>
      <c r="D4" s="50"/>
      <c r="E4" s="50"/>
      <c r="F4" s="50"/>
      <c r="G4" s="50"/>
      <c r="H4" s="51"/>
      <c r="I4" s="23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3"/>
      <c r="AC4" s="24"/>
      <c r="AD4" s="24"/>
      <c r="AE4" s="24"/>
      <c r="AF4" s="24"/>
      <c r="AG4" s="24"/>
      <c r="AH4" s="25"/>
      <c r="AI4" s="25"/>
      <c r="AJ4" s="23"/>
      <c r="AK4" s="24"/>
      <c r="AL4" s="23"/>
      <c r="AM4" s="24"/>
      <c r="AN4" s="25"/>
    </row>
    <row r="5" spans="2:47" x14ac:dyDescent="0.25">
      <c r="B5" s="1" t="s">
        <v>139</v>
      </c>
      <c r="C5" s="73">
        <v>17390.295249999999</v>
      </c>
      <c r="D5" s="74">
        <v>17680.27375</v>
      </c>
      <c r="E5" s="74">
        <v>18076.6515</v>
      </c>
      <c r="F5" s="74">
        <v>18609.078249999999</v>
      </c>
      <c r="G5" s="74">
        <v>19036.052250000001</v>
      </c>
      <c r="H5" s="75">
        <v>18509.142749999999</v>
      </c>
      <c r="I5" s="73"/>
      <c r="J5" s="74"/>
      <c r="K5" s="74"/>
      <c r="L5" s="74"/>
      <c r="M5" s="74"/>
      <c r="N5" s="126"/>
      <c r="O5" s="126"/>
      <c r="P5" s="223"/>
      <c r="Q5" s="223"/>
      <c r="R5" s="223"/>
      <c r="S5" s="223"/>
      <c r="T5" s="223"/>
      <c r="U5" s="223"/>
      <c r="V5" s="223"/>
      <c r="W5" s="223"/>
      <c r="X5" s="223"/>
      <c r="Y5" s="223"/>
      <c r="Z5" s="223"/>
      <c r="AA5" s="223"/>
      <c r="AB5" s="73">
        <v>19609.811750000001</v>
      </c>
      <c r="AC5" s="40">
        <f>(AB5*(1+AC6))</f>
        <v>19021.5173975</v>
      </c>
      <c r="AD5" s="40">
        <f t="shared" ref="AD5:AH5" si="1">(AC5*(1+AD6))</f>
        <v>18450.871875574998</v>
      </c>
      <c r="AE5" s="40">
        <f t="shared" si="1"/>
        <v>18819.8893130865</v>
      </c>
      <c r="AF5" s="40">
        <f t="shared" si="1"/>
        <v>19290.386545913661</v>
      </c>
      <c r="AG5" s="40">
        <f t="shared" si="1"/>
        <v>19869.09814229107</v>
      </c>
      <c r="AH5" s="72">
        <f t="shared" si="1"/>
        <v>20465.171086559803</v>
      </c>
      <c r="AI5" s="72"/>
      <c r="AJ5" s="326">
        <f>(AB5/D5)^(1/5)-1</f>
        <v>2.0932167803350055E-2</v>
      </c>
      <c r="AK5" s="335">
        <f>(AH5/AC5)^(1/5)-1</f>
        <v>1.4738280354735345E-2</v>
      </c>
      <c r="AL5" s="26"/>
      <c r="AN5" s="28"/>
    </row>
    <row r="6" spans="2:47" x14ac:dyDescent="0.25">
      <c r="B6" s="44" t="s">
        <v>140</v>
      </c>
      <c r="C6" s="78"/>
      <c r="D6" s="79">
        <f>(D5/C5)-1</f>
        <v>1.667473127001684E-2</v>
      </c>
      <c r="E6" s="79">
        <f t="shared" ref="E6:H6" si="2">(E5/D5)-1</f>
        <v>2.241920886547355E-2</v>
      </c>
      <c r="F6" s="79">
        <f t="shared" si="2"/>
        <v>2.9453837177753739E-2</v>
      </c>
      <c r="G6" s="79">
        <f t="shared" si="2"/>
        <v>2.2944392745513964E-2</v>
      </c>
      <c r="H6" s="129">
        <f t="shared" si="2"/>
        <v>-2.767955735149874E-2</v>
      </c>
      <c r="I6" s="143"/>
      <c r="J6" s="138"/>
      <c r="K6" s="138"/>
      <c r="L6" s="138"/>
      <c r="M6" s="138"/>
      <c r="N6" s="208"/>
      <c r="O6" s="208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80">
        <f>(AB5/H5)-1</f>
        <v>5.9466233248430811E-2</v>
      </c>
      <c r="AC6" s="147">
        <v>-0.03</v>
      </c>
      <c r="AD6" s="147">
        <v>-0.03</v>
      </c>
      <c r="AE6" s="147">
        <v>0.02</v>
      </c>
      <c r="AF6" s="147">
        <f>AE6+0.005</f>
        <v>2.5000000000000001E-2</v>
      </c>
      <c r="AG6" s="147">
        <f t="shared" ref="AG6" si="3">AF6+0.005</f>
        <v>3.0000000000000002E-2</v>
      </c>
      <c r="AH6" s="150">
        <v>0.03</v>
      </c>
      <c r="AI6" s="150"/>
      <c r="AJ6" s="26"/>
      <c r="AL6" s="26"/>
      <c r="AN6" s="28"/>
    </row>
    <row r="7" spans="2:47" x14ac:dyDescent="0.25">
      <c r="B7" s="132" t="s">
        <v>148</v>
      </c>
      <c r="C7" s="30">
        <v>489182.35</v>
      </c>
      <c r="D7" s="40">
        <v>506816.17499999999</v>
      </c>
      <c r="E7" s="40">
        <v>523805.32500000001</v>
      </c>
      <c r="F7" s="40">
        <v>538604.57499999995</v>
      </c>
      <c r="G7" s="40">
        <v>557364.42500000005</v>
      </c>
      <c r="H7" s="72">
        <v>537615.77500000002</v>
      </c>
      <c r="I7" s="73"/>
      <c r="J7" s="74"/>
      <c r="K7" s="74"/>
      <c r="L7" s="74"/>
      <c r="M7" s="74"/>
      <c r="N7" s="170"/>
      <c r="O7" s="17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30">
        <v>575292.15</v>
      </c>
      <c r="AC7" s="128">
        <v>587000</v>
      </c>
      <c r="AD7" s="40">
        <f>AC7*(1+AD8)</f>
        <v>575260</v>
      </c>
      <c r="AE7" s="40">
        <f t="shared" ref="AE7:AH7" si="4">AD7*(1+AE8)</f>
        <v>589641.5</v>
      </c>
      <c r="AF7" s="40">
        <f t="shared" si="4"/>
        <v>607330.745</v>
      </c>
      <c r="AG7" s="40">
        <f t="shared" si="4"/>
        <v>628587.32107499999</v>
      </c>
      <c r="AH7" s="72">
        <f t="shared" si="4"/>
        <v>650587.87731262494</v>
      </c>
      <c r="AI7" s="72"/>
      <c r="AJ7" s="326">
        <f>(AB7/D7)^(1/5)-1</f>
        <v>2.5669866029909283E-2</v>
      </c>
      <c r="AL7" s="26"/>
      <c r="AN7" s="28"/>
    </row>
    <row r="8" spans="2:47" x14ac:dyDescent="0.25">
      <c r="B8" s="44" t="s">
        <v>140</v>
      </c>
      <c r="C8" s="78"/>
      <c r="D8" s="79">
        <f>(D7/C7)-1</f>
        <v>3.6047549548752222E-2</v>
      </c>
      <c r="E8" s="79">
        <f t="shared" ref="E8" si="5">(E7/D7)-1</f>
        <v>3.3521325557535731E-2</v>
      </c>
      <c r="F8" s="79">
        <f t="shared" ref="F8" si="6">(F7/E7)-1</f>
        <v>2.8253340112569303E-2</v>
      </c>
      <c r="G8" s="79">
        <f t="shared" ref="G8" si="7">(G7/F7)-1</f>
        <v>3.483046908764198E-2</v>
      </c>
      <c r="H8" s="129">
        <f t="shared" ref="H8" si="8">(H7/G7)-1</f>
        <v>-3.5432203983955413E-2</v>
      </c>
      <c r="I8" s="143"/>
      <c r="J8" s="138"/>
      <c r="K8" s="138"/>
      <c r="L8" s="138"/>
      <c r="M8" s="138"/>
      <c r="N8" s="208"/>
      <c r="O8" s="208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80">
        <f>(AB7/H7)-1</f>
        <v>7.0080486384537455E-2</v>
      </c>
      <c r="AC8" s="149">
        <f>(AC7/AB7)-1</f>
        <v>2.0351138113043898E-2</v>
      </c>
      <c r="AD8" s="147">
        <v>-0.02</v>
      </c>
      <c r="AE8" s="76">
        <v>2.5000000000000001E-2</v>
      </c>
      <c r="AF8" s="155">
        <f>AE8+0.005</f>
        <v>3.0000000000000002E-2</v>
      </c>
      <c r="AG8" s="76">
        <f t="shared" ref="AG8" si="9">AF8+0.005</f>
        <v>3.5000000000000003E-2</v>
      </c>
      <c r="AH8" s="124">
        <v>3.5000000000000003E-2</v>
      </c>
      <c r="AI8" s="124"/>
      <c r="AJ8" s="26"/>
      <c r="AL8" s="26"/>
      <c r="AN8" s="28"/>
    </row>
    <row r="9" spans="2:47" x14ac:dyDescent="0.25">
      <c r="B9" s="44" t="s">
        <v>151</v>
      </c>
      <c r="C9" s="148">
        <f>C7/(C5*1000)</f>
        <v>2.8129617293300411E-2</v>
      </c>
      <c r="D9" s="136">
        <f t="shared" ref="D9:AH9" si="10">D7/(D5*1000)</f>
        <v>2.8665629399544788E-2</v>
      </c>
      <c r="E9" s="136">
        <f t="shared" si="10"/>
        <v>2.8976900118918597E-2</v>
      </c>
      <c r="F9" s="136">
        <f t="shared" si="10"/>
        <v>2.8943108721679964E-2</v>
      </c>
      <c r="G9" s="136">
        <f t="shared" si="10"/>
        <v>2.9279412436998331E-2</v>
      </c>
      <c r="H9" s="137">
        <f t="shared" si="10"/>
        <v>2.9045957571427777E-2</v>
      </c>
      <c r="I9" s="246"/>
      <c r="J9" s="247"/>
      <c r="K9" s="247"/>
      <c r="L9" s="247"/>
      <c r="M9" s="247"/>
      <c r="N9" s="248"/>
      <c r="O9" s="248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48">
        <f t="shared" si="10"/>
        <v>2.9336954241796841E-2</v>
      </c>
      <c r="AC9" s="136">
        <f>AC7/(AC5*1000)</f>
        <v>3.0859788298337833E-2</v>
      </c>
      <c r="AD9" s="153">
        <f t="shared" si="10"/>
        <v>3.1177930445743379E-2</v>
      </c>
      <c r="AE9" s="153">
        <f t="shared" si="10"/>
        <v>3.1330763438124472E-2</v>
      </c>
      <c r="AF9" s="153">
        <f t="shared" si="10"/>
        <v>3.1483596430505564E-2</v>
      </c>
      <c r="AG9" s="153">
        <f t="shared" si="10"/>
        <v>3.1636429422886664E-2</v>
      </c>
      <c r="AH9" s="154">
        <f t="shared" si="10"/>
        <v>3.1790004322997764E-2</v>
      </c>
      <c r="AI9" s="154"/>
      <c r="AJ9" s="26"/>
      <c r="AL9" s="26"/>
      <c r="AN9" s="28"/>
    </row>
    <row r="10" spans="2:47" x14ac:dyDescent="0.25">
      <c r="B10" s="132" t="s">
        <v>145</v>
      </c>
      <c r="C10" s="30">
        <f>972751/C12</f>
        <v>211467608.69565219</v>
      </c>
      <c r="D10" s="135">
        <f>979417/D12</f>
        <v>227771395.3488372</v>
      </c>
      <c r="E10" s="135">
        <f>1027982/E12</f>
        <v>239065581.39534885</v>
      </c>
      <c r="F10" s="135">
        <f>1038763/F12</f>
        <v>253356829.26829267</v>
      </c>
      <c r="G10" s="135">
        <f>1299908/G12</f>
        <v>254883921.56862745</v>
      </c>
      <c r="H10" s="134">
        <f>1426110/H12</f>
        <v>285222000</v>
      </c>
      <c r="I10" s="143"/>
      <c r="J10" s="138"/>
      <c r="K10" s="138"/>
      <c r="L10" s="138"/>
      <c r="M10" s="138"/>
      <c r="N10" s="208"/>
      <c r="O10" s="208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  <c r="AA10" s="245"/>
      <c r="AB10" s="142">
        <f>1548822/AB12</f>
        <v>336700434.78260869</v>
      </c>
      <c r="AC10" s="40">
        <f>2403559/AC12</f>
        <v>353464558.82352942</v>
      </c>
      <c r="AD10" s="164"/>
      <c r="AE10" s="164"/>
      <c r="AF10" s="164"/>
      <c r="AG10" s="164"/>
      <c r="AH10" s="165"/>
      <c r="AI10" s="229"/>
      <c r="AJ10" s="326">
        <f>(AB10/D10)^(1/5)-1</f>
        <v>8.1306712437368756E-2</v>
      </c>
      <c r="AL10" s="26"/>
      <c r="AN10" s="28"/>
    </row>
    <row r="11" spans="2:47" x14ac:dyDescent="0.25">
      <c r="B11" s="44" t="s">
        <v>146</v>
      </c>
      <c r="C11" s="30"/>
      <c r="D11" s="79">
        <f>(D10/C10)-1</f>
        <v>7.7098269346061787E-2</v>
      </c>
      <c r="E11" s="79">
        <f t="shared" ref="E11:H11" si="11">(E10/D10)-1</f>
        <v>4.9585620833618504E-2</v>
      </c>
      <c r="F11" s="79">
        <f t="shared" si="11"/>
        <v>5.9779612730240794E-2</v>
      </c>
      <c r="G11" s="79">
        <f t="shared" si="11"/>
        <v>6.0274368950112844E-3</v>
      </c>
      <c r="H11" s="129">
        <f t="shared" si="11"/>
        <v>0.1190270388365946</v>
      </c>
      <c r="I11" s="143"/>
      <c r="J11" s="138"/>
      <c r="K11" s="138"/>
      <c r="L11" s="138"/>
      <c r="M11" s="138"/>
      <c r="N11" s="208"/>
      <c r="O11" s="208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  <c r="AA11" s="245"/>
      <c r="AB11" s="80">
        <f>(AB10/H10)-1</f>
        <v>0.18048549825261961</v>
      </c>
      <c r="AC11" s="76">
        <f>(AC10/AB10)-1</f>
        <v>4.978943389765611E-2</v>
      </c>
      <c r="AD11" s="164"/>
      <c r="AE11" s="164"/>
      <c r="AF11" s="164"/>
      <c r="AG11" s="164"/>
      <c r="AH11" s="165"/>
      <c r="AI11" s="229"/>
      <c r="AJ11" s="26"/>
      <c r="AL11" s="26"/>
      <c r="AN11" s="28"/>
    </row>
    <row r="12" spans="2:47" x14ac:dyDescent="0.25">
      <c r="B12" s="44" t="s">
        <v>144</v>
      </c>
      <c r="C12" s="125">
        <v>4.5999999999999999E-3</v>
      </c>
      <c r="D12" s="138">
        <v>4.3E-3</v>
      </c>
      <c r="E12" s="138">
        <v>4.3E-3</v>
      </c>
      <c r="F12" s="138">
        <v>4.1000000000000003E-3</v>
      </c>
      <c r="G12" s="138">
        <v>5.1000000000000004E-3</v>
      </c>
      <c r="H12" s="133">
        <v>5.0000000000000001E-3</v>
      </c>
      <c r="I12" s="143"/>
      <c r="J12" s="138"/>
      <c r="K12" s="138"/>
      <c r="L12" s="138"/>
      <c r="M12" s="138"/>
      <c r="N12" s="208"/>
      <c r="O12" s="208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  <c r="AA12" s="245"/>
      <c r="AB12" s="143">
        <v>4.5999999999999999E-3</v>
      </c>
      <c r="AC12" s="126">
        <v>6.7999999999999996E-3</v>
      </c>
      <c r="AD12" s="164"/>
      <c r="AE12" s="164"/>
      <c r="AF12" s="164"/>
      <c r="AG12" s="164"/>
      <c r="AH12" s="165"/>
      <c r="AI12" s="229"/>
      <c r="AJ12" s="26"/>
      <c r="AL12" s="26"/>
      <c r="AN12" s="28"/>
    </row>
    <row r="13" spans="2:47" x14ac:dyDescent="0.25">
      <c r="B13" s="44" t="s">
        <v>147</v>
      </c>
      <c r="C13" s="139">
        <f>C10*C12</f>
        <v>972751</v>
      </c>
      <c r="D13" s="140">
        <f t="shared" ref="D13:H13" si="12">D10*D12</f>
        <v>979417</v>
      </c>
      <c r="E13" s="140">
        <f t="shared" si="12"/>
        <v>1027982</v>
      </c>
      <c r="F13" s="140">
        <f t="shared" si="12"/>
        <v>1038763</v>
      </c>
      <c r="G13" s="140">
        <f t="shared" si="12"/>
        <v>1299908</v>
      </c>
      <c r="H13" s="141">
        <f t="shared" si="12"/>
        <v>1426110</v>
      </c>
      <c r="I13" s="143"/>
      <c r="J13" s="138"/>
      <c r="K13" s="138"/>
      <c r="L13" s="138"/>
      <c r="M13" s="138"/>
      <c r="N13" s="208"/>
      <c r="O13" s="208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  <c r="AA13" s="245"/>
      <c r="AB13" s="142">
        <f t="shared" ref="AB13" si="13">AB10*AB12</f>
        <v>1548822</v>
      </c>
      <c r="AC13" s="144">
        <f t="shared" ref="AC13" si="14">AC10*AC12</f>
        <v>2403559</v>
      </c>
      <c r="AD13" s="164"/>
      <c r="AE13" s="164"/>
      <c r="AF13" s="164"/>
      <c r="AG13" s="164"/>
      <c r="AH13" s="165"/>
      <c r="AI13" s="229"/>
      <c r="AJ13" s="26"/>
      <c r="AL13" s="26"/>
      <c r="AN13" s="28"/>
    </row>
    <row r="14" spans="2:47" x14ac:dyDescent="0.25">
      <c r="B14" s="43" t="s">
        <v>146</v>
      </c>
      <c r="C14" s="78"/>
      <c r="D14" s="79">
        <f>(D13/C13)-1</f>
        <v>6.8527300408840475E-3</v>
      </c>
      <c r="E14" s="79">
        <f t="shared" ref="E14:H14" si="15">(E13/D13)-1</f>
        <v>4.9585620833618282E-2</v>
      </c>
      <c r="F14" s="79">
        <f t="shared" si="15"/>
        <v>1.0487537719532147E-2</v>
      </c>
      <c r="G14" s="79">
        <f t="shared" si="15"/>
        <v>0.2513999824791604</v>
      </c>
      <c r="H14" s="129">
        <f t="shared" si="15"/>
        <v>9.7085332192739848E-2</v>
      </c>
      <c r="I14" s="143"/>
      <c r="J14" s="138"/>
      <c r="K14" s="138"/>
      <c r="L14" s="138"/>
      <c r="M14" s="138"/>
      <c r="N14" s="208"/>
      <c r="O14" s="208"/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  <c r="AA14" s="245"/>
      <c r="AB14" s="80">
        <f>(AB13/H13)-1</f>
        <v>8.6046658392410214E-2</v>
      </c>
      <c r="AC14" s="76">
        <f>(AC13/AB13)-1</f>
        <v>0.55186264141392627</v>
      </c>
      <c r="AD14" s="164"/>
      <c r="AE14" s="164"/>
      <c r="AF14" s="164"/>
      <c r="AG14" s="164"/>
      <c r="AH14" s="165"/>
      <c r="AI14" s="229"/>
      <c r="AJ14" s="26"/>
      <c r="AL14" s="26"/>
      <c r="AN14" s="28"/>
    </row>
    <row r="15" spans="2:47" x14ac:dyDescent="0.25">
      <c r="B15" s="8" t="s">
        <v>149</v>
      </c>
      <c r="C15" s="42"/>
      <c r="D15" s="9"/>
      <c r="E15" s="9"/>
      <c r="F15" s="9"/>
      <c r="G15" s="9"/>
      <c r="H15" s="29"/>
      <c r="I15" s="249"/>
      <c r="J15" s="130"/>
      <c r="K15" s="130"/>
      <c r="L15" s="130"/>
      <c r="M15" s="130"/>
      <c r="N15" s="131"/>
      <c r="O15" s="131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42"/>
      <c r="AC15" s="9"/>
      <c r="AD15" s="9"/>
      <c r="AE15" s="9"/>
      <c r="AF15" s="9"/>
      <c r="AG15" s="9"/>
      <c r="AH15" s="29"/>
      <c r="AI15" s="28"/>
      <c r="AJ15" s="26"/>
      <c r="AL15" s="26"/>
      <c r="AN15" s="28"/>
    </row>
    <row r="16" spans="2:47" x14ac:dyDescent="0.25">
      <c r="B16" s="6" t="s">
        <v>130</v>
      </c>
      <c r="C16" s="77">
        <v>9.2585208147968376E-2</v>
      </c>
      <c r="D16" s="76">
        <v>9.9476877975959666E-2</v>
      </c>
      <c r="E16" s="76">
        <v>0.10245592639599224</v>
      </c>
      <c r="F16" s="76">
        <v>0.10289967313453705</v>
      </c>
      <c r="G16" s="76">
        <v>0.10337101254436529</v>
      </c>
      <c r="H16" s="124">
        <v>0.10961269298003853</v>
      </c>
      <c r="I16" s="234"/>
      <c r="J16" s="226"/>
      <c r="K16" s="226"/>
      <c r="L16" s="226"/>
      <c r="M16" s="226"/>
      <c r="N16" s="227"/>
      <c r="O16" s="227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7">
        <v>0.1009232680993563</v>
      </c>
      <c r="AC16" s="147">
        <f>$AB$16</f>
        <v>0.1009232680993563</v>
      </c>
      <c r="AD16" s="147">
        <f t="shared" ref="AD16:AH16" si="16">$AB$16</f>
        <v>0.1009232680993563</v>
      </c>
      <c r="AE16" s="147">
        <f t="shared" si="16"/>
        <v>0.1009232680993563</v>
      </c>
      <c r="AF16" s="147">
        <f t="shared" si="16"/>
        <v>0.1009232680993563</v>
      </c>
      <c r="AG16" s="147">
        <f t="shared" si="16"/>
        <v>0.1009232680993563</v>
      </c>
      <c r="AH16" s="150">
        <f t="shared" si="16"/>
        <v>0.1009232680993563</v>
      </c>
      <c r="AI16" s="150"/>
      <c r="AJ16" s="326">
        <f>(AB16/D16)^(1/5)-1</f>
        <v>2.8912258165689764E-3</v>
      </c>
      <c r="AK16" s="335"/>
      <c r="AL16" s="26"/>
      <c r="AN16" s="28"/>
    </row>
    <row r="17" spans="2:40" x14ac:dyDescent="0.25">
      <c r="B17" s="6" t="s">
        <v>131</v>
      </c>
      <c r="C17" s="77">
        <v>0.11245600414023291</v>
      </c>
      <c r="D17" s="76">
        <v>0.11222252553042326</v>
      </c>
      <c r="E17" s="76">
        <v>0.10886456873527708</v>
      </c>
      <c r="F17" s="76">
        <v>0.10636111200268736</v>
      </c>
      <c r="G17" s="76">
        <v>0.10404512594500269</v>
      </c>
      <c r="H17" s="124">
        <v>0.10521812990563882</v>
      </c>
      <c r="I17" s="234"/>
      <c r="J17" s="226"/>
      <c r="K17" s="226"/>
      <c r="L17" s="226"/>
      <c r="M17" s="226"/>
      <c r="N17" s="227"/>
      <c r="O17" s="227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7">
        <v>9.1523644102609894E-2</v>
      </c>
      <c r="AC17" s="147">
        <f>$AB$17</f>
        <v>9.1523644102609894E-2</v>
      </c>
      <c r="AD17" s="147">
        <f t="shared" ref="AD17:AH17" si="17">$AB$17</f>
        <v>9.1523644102609894E-2</v>
      </c>
      <c r="AE17" s="147">
        <f t="shared" si="17"/>
        <v>9.1523644102609894E-2</v>
      </c>
      <c r="AF17" s="147">
        <f t="shared" si="17"/>
        <v>9.1523644102609894E-2</v>
      </c>
      <c r="AG17" s="147">
        <f t="shared" si="17"/>
        <v>9.1523644102609894E-2</v>
      </c>
      <c r="AH17" s="150">
        <f t="shared" si="17"/>
        <v>9.1523644102609894E-2</v>
      </c>
      <c r="AI17" s="150"/>
      <c r="AJ17" s="326">
        <f>(AB17/D17)^(1/5)-1</f>
        <v>-3.9957071343619477E-2</v>
      </c>
      <c r="AK17" s="335"/>
      <c r="AL17" s="26"/>
      <c r="AN17" s="28"/>
    </row>
    <row r="18" spans="2:40" x14ac:dyDescent="0.25">
      <c r="B18" s="6" t="s">
        <v>150</v>
      </c>
      <c r="C18" s="77">
        <v>0.10328328899160552</v>
      </c>
      <c r="D18" s="76">
        <v>0.10936620784580725</v>
      </c>
      <c r="E18" s="76">
        <v>0.10705459749236089</v>
      </c>
      <c r="F18" s="76">
        <v>0.10668270075443727</v>
      </c>
      <c r="G18" s="76">
        <v>0.10968933011361991</v>
      </c>
      <c r="H18" s="124">
        <v>0.12832831912022866</v>
      </c>
      <c r="I18" s="234"/>
      <c r="J18" s="226"/>
      <c r="K18" s="226"/>
      <c r="L18" s="226"/>
      <c r="M18" s="226"/>
      <c r="N18" s="227"/>
      <c r="O18" s="227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7">
        <v>0.10684062579253702</v>
      </c>
      <c r="AC18" s="147">
        <v>0.10218000000000001</v>
      </c>
      <c r="AD18" s="147">
        <v>0.10218000000000001</v>
      </c>
      <c r="AE18" s="147">
        <v>0.10218000000000001</v>
      </c>
      <c r="AF18" s="147">
        <v>0.10218000000000001</v>
      </c>
      <c r="AG18" s="147">
        <v>0.10218000000000001</v>
      </c>
      <c r="AH18" s="150">
        <v>0.10218000000000001</v>
      </c>
      <c r="AI18" s="150"/>
      <c r="AJ18" s="326">
        <f>(AB18/D18)^(1/5)-1</f>
        <v>-4.6618418303536746E-3</v>
      </c>
      <c r="AK18" s="335"/>
      <c r="AL18" s="26"/>
      <c r="AN18" s="28"/>
    </row>
    <row r="19" spans="2:40" x14ac:dyDescent="0.25">
      <c r="B19" s="6" t="s">
        <v>133</v>
      </c>
      <c r="C19" s="77">
        <v>3.4947763090381286E-2</v>
      </c>
      <c r="D19" s="76">
        <v>3.6308610544522675E-2</v>
      </c>
      <c r="E19" s="76">
        <v>3.6753384493589822E-2</v>
      </c>
      <c r="F19" s="76">
        <v>3.7918911063370413E-2</v>
      </c>
      <c r="G19" s="76">
        <v>3.8008367623023481E-2</v>
      </c>
      <c r="H19" s="124">
        <v>3.6123880231319426E-2</v>
      </c>
      <c r="I19" s="234"/>
      <c r="J19" s="226"/>
      <c r="K19" s="226"/>
      <c r="L19" s="226"/>
      <c r="M19" s="226"/>
      <c r="N19" s="227"/>
      <c r="O19" s="227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7">
        <v>3.1343520099207628E-2</v>
      </c>
      <c r="AC19" s="147">
        <f>$AB$19</f>
        <v>3.1343520099207628E-2</v>
      </c>
      <c r="AD19" s="147">
        <f t="shared" ref="AD19:AH19" si="18">$AB$19</f>
        <v>3.1343520099207628E-2</v>
      </c>
      <c r="AE19" s="147">
        <f t="shared" si="18"/>
        <v>3.1343520099207628E-2</v>
      </c>
      <c r="AF19" s="147">
        <f t="shared" si="18"/>
        <v>3.1343520099207628E-2</v>
      </c>
      <c r="AG19" s="147">
        <f t="shared" si="18"/>
        <v>3.1343520099207628E-2</v>
      </c>
      <c r="AH19" s="150">
        <f t="shared" si="18"/>
        <v>3.1343520099207628E-2</v>
      </c>
      <c r="AI19" s="150"/>
      <c r="AJ19" s="326">
        <f>(AB19/D19)^(1/5)-1</f>
        <v>-2.8981223485992746E-2</v>
      </c>
      <c r="AK19" s="335"/>
      <c r="AL19" s="26"/>
      <c r="AN19" s="28"/>
    </row>
    <row r="20" spans="2:40" x14ac:dyDescent="0.25">
      <c r="B20" s="2" t="s">
        <v>152</v>
      </c>
      <c r="C20" s="145"/>
      <c r="H20" s="28"/>
      <c r="I20" s="125"/>
      <c r="J20" s="126"/>
      <c r="K20" s="126"/>
      <c r="L20" s="126"/>
      <c r="M20" s="126"/>
      <c r="N20" s="202"/>
      <c r="O20" s="202"/>
      <c r="AB20" s="26"/>
      <c r="AH20" s="28"/>
      <c r="AI20" s="28"/>
      <c r="AJ20" s="26"/>
      <c r="AL20" s="26"/>
      <c r="AN20" s="28"/>
    </row>
    <row r="21" spans="2:40" x14ac:dyDescent="0.25">
      <c r="B21" s="6" t="s">
        <v>130</v>
      </c>
      <c r="C21" s="30">
        <f t="shared" ref="C21:AC21" si="19">(C$5*C16*C$9)*1000</f>
        <v>45291.049697062321</v>
      </c>
      <c r="D21" s="40">
        <f t="shared" si="19"/>
        <v>50416.490796717619</v>
      </c>
      <c r="E21" s="40">
        <f t="shared" si="19"/>
        <v>53666.959824028796</v>
      </c>
      <c r="F21" s="40">
        <f t="shared" si="19"/>
        <v>55422.234716266234</v>
      </c>
      <c r="G21" s="40">
        <f t="shared" si="19"/>
        <v>57615.324968457957</v>
      </c>
      <c r="H21" s="72">
        <f t="shared" si="19"/>
        <v>58929.512886300479</v>
      </c>
      <c r="I21" s="3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30">
        <f t="shared" si="19"/>
        <v>58060.363889905107</v>
      </c>
      <c r="AC21" s="40">
        <f t="shared" si="19"/>
        <v>59241.958374322152</v>
      </c>
      <c r="AD21" s="40">
        <f>(AD$5*AD16*AD$9)*1000</f>
        <v>58057.119206835698</v>
      </c>
      <c r="AE21" s="40">
        <f t="shared" ref="AE21:AH21" si="20">(AE$5*AE16*AE$9)*1000</f>
        <v>59508.547187006596</v>
      </c>
      <c r="AF21" s="40">
        <f t="shared" si="20"/>
        <v>61293.803602616783</v>
      </c>
      <c r="AG21" s="40">
        <f t="shared" si="20"/>
        <v>63439.086728708382</v>
      </c>
      <c r="AH21" s="72">
        <f t="shared" si="20"/>
        <v>65659.45476421318</v>
      </c>
      <c r="AI21" s="72"/>
      <c r="AJ21" s="326">
        <f>(AB21/D21)^(1/5)-1</f>
        <v>2.8635309225851779E-2</v>
      </c>
      <c r="AK21" s="335"/>
      <c r="AL21" s="26"/>
      <c r="AN21" s="28"/>
    </row>
    <row r="22" spans="2:40" x14ac:dyDescent="0.25">
      <c r="B22" s="6" t="s">
        <v>131</v>
      </c>
      <c r="C22" s="30">
        <f t="shared" ref="C22:AC22" si="21">(C$5*C17*C$9)*1000</f>
        <v>55011.492376928858</v>
      </c>
      <c r="D22" s="40">
        <f t="shared" si="21"/>
        <v>56876.191138168964</v>
      </c>
      <c r="E22" s="40">
        <f t="shared" si="21"/>
        <v>57023.840807366658</v>
      </c>
      <c r="F22" s="40">
        <f t="shared" si="21"/>
        <v>57286.581526734815</v>
      </c>
      <c r="G22" s="40">
        <f t="shared" si="21"/>
        <v>57991.051796389016</v>
      </c>
      <c r="H22" s="72">
        <f t="shared" si="21"/>
        <v>56566.926453270695</v>
      </c>
      <c r="I22" s="3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30">
        <f t="shared" si="21"/>
        <v>52652.833991625273</v>
      </c>
      <c r="AC22" s="40">
        <f t="shared" si="21"/>
        <v>53724.37908823201</v>
      </c>
      <c r="AD22" s="40">
        <f t="shared" ref="AD22:AH22" si="22">(AD$5*AD17*AD$9)*1000</f>
        <v>52649.891506467364</v>
      </c>
      <c r="AE22" s="40">
        <f t="shared" si="22"/>
        <v>53966.138794129052</v>
      </c>
      <c r="AF22" s="40">
        <f t="shared" si="22"/>
        <v>55585.122957952917</v>
      </c>
      <c r="AG22" s="40">
        <f t="shared" si="22"/>
        <v>57530.602261481268</v>
      </c>
      <c r="AH22" s="72">
        <f t="shared" si="22"/>
        <v>59544.173340633126</v>
      </c>
      <c r="AI22" s="72"/>
      <c r="AJ22" s="326">
        <f>(AB22/D22)^(1/5)-1</f>
        <v>-1.531289798204849E-2</v>
      </c>
      <c r="AK22" s="335"/>
      <c r="AL22" s="26"/>
      <c r="AN22" s="28"/>
    </row>
    <row r="23" spans="2:40" x14ac:dyDescent="0.25">
      <c r="B23" s="6" t="s">
        <v>150</v>
      </c>
      <c r="C23" s="30">
        <f t="shared" ref="C23:AC23" si="23">(C$5*C18*C$9)*1000</f>
        <v>50524.362024642716</v>
      </c>
      <c r="D23" s="40">
        <f t="shared" si="23"/>
        <v>55428.56313466702</v>
      </c>
      <c r="E23" s="40">
        <f t="shared" si="23"/>
        <v>56075.768232230286</v>
      </c>
      <c r="F23" s="40">
        <f t="shared" si="23"/>
        <v>57459.790699695848</v>
      </c>
      <c r="G23" s="40">
        <f t="shared" si="23"/>
        <v>61136.930407412954</v>
      </c>
      <c r="H23" s="72">
        <f t="shared" si="23"/>
        <v>68991.328738269047</v>
      </c>
      <c r="I23" s="3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30">
        <f t="shared" si="23"/>
        <v>61464.57331953408</v>
      </c>
      <c r="AC23" s="40">
        <f t="shared" si="23"/>
        <v>59979.66</v>
      </c>
      <c r="AD23" s="40">
        <f t="shared" ref="AD23:AH23" si="24">(AD$5*AD18*AD$9)*1000</f>
        <v>58780.066800000001</v>
      </c>
      <c r="AE23" s="40">
        <f t="shared" si="24"/>
        <v>60249.568469999998</v>
      </c>
      <c r="AF23" s="40">
        <f t="shared" si="24"/>
        <v>62057.055524099997</v>
      </c>
      <c r="AG23" s="40">
        <f t="shared" si="24"/>
        <v>64229.052467443493</v>
      </c>
      <c r="AH23" s="72">
        <f t="shared" si="24"/>
        <v>66477.069303804034</v>
      </c>
      <c r="AI23" s="72"/>
      <c r="AJ23" s="326">
        <f>(AB23/D23)^(1/5)-1</f>
        <v>2.0888355344317766E-2</v>
      </c>
      <c r="AK23" s="335"/>
      <c r="AL23" s="26"/>
      <c r="AN23" s="28"/>
    </row>
    <row r="24" spans="2:40" x14ac:dyDescent="0.25">
      <c r="B24" s="6" t="s">
        <v>133</v>
      </c>
      <c r="C24" s="30">
        <f t="shared" ref="C24:AC24" si="25">(C$5*C19*C$9)*1000</f>
        <v>17095.828875795978</v>
      </c>
      <c r="D24" s="40">
        <f t="shared" si="25"/>
        <v>18401.791115739648</v>
      </c>
      <c r="E24" s="40">
        <f t="shared" si="25"/>
        <v>19251.618509514778</v>
      </c>
      <c r="F24" s="40">
        <f t="shared" si="25"/>
        <v>20423.298977749415</v>
      </c>
      <c r="G24" s="40">
        <f t="shared" si="25"/>
        <v>21184.511965395104</v>
      </c>
      <c r="H24" s="72">
        <f t="shared" si="25"/>
        <v>19420.767866567974</v>
      </c>
      <c r="I24" s="3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30">
        <f t="shared" si="25"/>
        <v>18031.681066441372</v>
      </c>
      <c r="AC24" s="40">
        <f t="shared" si="25"/>
        <v>18398.646298234875</v>
      </c>
      <c r="AD24" s="40">
        <f t="shared" ref="AD24:AH24" si="26">(AD$5*AD19*AD$9)*1000</f>
        <v>18030.673372270179</v>
      </c>
      <c r="AE24" s="40">
        <f t="shared" si="26"/>
        <v>18481.440206576935</v>
      </c>
      <c r="AF24" s="40">
        <f t="shared" si="26"/>
        <v>19035.883412774241</v>
      </c>
      <c r="AG24" s="40">
        <f t="shared" si="26"/>
        <v>19702.139332221341</v>
      </c>
      <c r="AH24" s="72">
        <f t="shared" si="26"/>
        <v>20391.714208849087</v>
      </c>
      <c r="AI24" s="72"/>
      <c r="AJ24" s="326">
        <f>(AB24/D24)^(1/5)-1</f>
        <v>-4.0553015803518333E-3</v>
      </c>
      <c r="AK24" s="335"/>
      <c r="AL24" s="26"/>
      <c r="AN24" s="28"/>
    </row>
    <row r="25" spans="2:40" x14ac:dyDescent="0.25">
      <c r="B25" s="2" t="s">
        <v>154</v>
      </c>
      <c r="C25" s="26"/>
      <c r="H25" s="28"/>
      <c r="I25" s="125"/>
      <c r="J25" s="126"/>
      <c r="K25" s="126"/>
      <c r="L25" s="126"/>
      <c r="M25" s="126"/>
      <c r="N25" s="202"/>
      <c r="O25" s="202"/>
      <c r="AB25" s="163"/>
      <c r="AC25" s="151"/>
      <c r="AD25" s="151"/>
      <c r="AE25" s="151"/>
      <c r="AF25" s="151"/>
      <c r="AG25" s="151"/>
      <c r="AH25" s="152"/>
      <c r="AI25" s="28"/>
      <c r="AJ25" s="26"/>
      <c r="AL25" s="26"/>
      <c r="AM25" s="39"/>
      <c r="AN25" s="63"/>
    </row>
    <row r="26" spans="2:40" x14ac:dyDescent="0.25">
      <c r="B26" s="6" t="s">
        <v>130</v>
      </c>
      <c r="C26" s="163">
        <f t="shared" ref="C26:H26" si="27">(C33/1000)/C21</f>
        <v>1.0102702477873426E-2</v>
      </c>
      <c r="D26" s="151">
        <f t="shared" si="27"/>
        <v>9.0874036006851205E-3</v>
      </c>
      <c r="E26" s="151">
        <f t="shared" si="27"/>
        <v>8.803014024812976E-3</v>
      </c>
      <c r="F26" s="151">
        <f t="shared" si="27"/>
        <v>8.9543664657453122E-3</v>
      </c>
      <c r="G26" s="151">
        <f t="shared" si="27"/>
        <v>1.1044561500752934E-2</v>
      </c>
      <c r="H26" s="152">
        <f t="shared" si="27"/>
        <v>1.088561517957376E-2</v>
      </c>
      <c r="I26" s="125"/>
      <c r="J26" s="126"/>
      <c r="K26" s="126"/>
      <c r="L26" s="126"/>
      <c r="M26" s="126"/>
      <c r="N26" s="202"/>
      <c r="O26" s="202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63">
        <f>(AB33/1000)/AB21</f>
        <v>1.6411161352808346E-2</v>
      </c>
      <c r="AC26" s="151">
        <f>AB26*(1+0.13)</f>
        <v>1.8544612328673427E-2</v>
      </c>
      <c r="AD26" s="151">
        <f>AC26*(1+($AI26*1.75))</f>
        <v>2.0491796623184136E-2</v>
      </c>
      <c r="AE26" s="151">
        <f>AD26*(1+$AI26)</f>
        <v>2.1721304420575186E-2</v>
      </c>
      <c r="AF26" s="151">
        <f>AE26+0.0001</f>
        <v>2.1821304420575185E-2</v>
      </c>
      <c r="AG26" s="151">
        <f t="shared" ref="AG26:AH26" si="28">AF26+0.0001</f>
        <v>2.1921304420575185E-2</v>
      </c>
      <c r="AH26" s="152">
        <f t="shared" si="28"/>
        <v>2.2021304420575184E-2</v>
      </c>
      <c r="AI26" s="293">
        <f t="shared" ref="AI26:AI29" si="29">IF($B$1="Base",AL26,IF($B$1="Bear",AM26,AN26))</f>
        <v>0.06</v>
      </c>
      <c r="AJ26" s="326">
        <f>(AB26/D26)^(1/5)-1</f>
        <v>0.12548548832793149</v>
      </c>
      <c r="AK26" s="335">
        <f>(AH26/AC26)^(1/5)-1</f>
        <v>3.4963553650850798E-2</v>
      </c>
      <c r="AL26" s="491">
        <v>0.06</v>
      </c>
      <c r="AM26" s="492">
        <v>0.03</v>
      </c>
      <c r="AN26" s="493">
        <v>0.08</v>
      </c>
    </row>
    <row r="27" spans="2:40" x14ac:dyDescent="0.25">
      <c r="B27" s="6" t="s">
        <v>131</v>
      </c>
      <c r="C27" s="163">
        <f t="shared" ref="C27:AB27" si="30">(C40/1000)/C22</f>
        <v>3.5811062650359985E-3</v>
      </c>
      <c r="D27" s="151">
        <f t="shared" si="30"/>
        <v>3.4386972138285205E-3</v>
      </c>
      <c r="E27" s="151">
        <f t="shared" si="30"/>
        <v>3.4007530403835553E-3</v>
      </c>
      <c r="F27" s="151">
        <f t="shared" si="30"/>
        <v>3.2746237426028563E-3</v>
      </c>
      <c r="G27" s="151">
        <f t="shared" si="30"/>
        <v>3.3590699593437886E-3</v>
      </c>
      <c r="H27" s="152">
        <f t="shared" si="30"/>
        <v>3.2354771856164324E-3</v>
      </c>
      <c r="I27" s="125"/>
      <c r="J27" s="126"/>
      <c r="K27" s="126"/>
      <c r="L27" s="126"/>
      <c r="M27" s="126"/>
      <c r="N27" s="202"/>
      <c r="O27" s="202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63">
        <f t="shared" si="30"/>
        <v>4.0363829235441264E-3</v>
      </c>
      <c r="AC27" s="151">
        <f t="shared" ref="AC27:AE27" si="31">AB27*(1+$AI27)</f>
        <v>4.1477870922339444E-3</v>
      </c>
      <c r="AD27" s="151">
        <f t="shared" si="31"/>
        <v>4.262266015979602E-3</v>
      </c>
      <c r="AE27" s="151">
        <f t="shared" si="31"/>
        <v>4.3799045580206397E-3</v>
      </c>
      <c r="AF27" s="151">
        <f>AE27</f>
        <v>4.3799045580206397E-3</v>
      </c>
      <c r="AG27" s="151">
        <f>AF27</f>
        <v>4.3799045580206397E-3</v>
      </c>
      <c r="AH27" s="152">
        <f>AG27</f>
        <v>4.3799045580206397E-3</v>
      </c>
      <c r="AI27" s="293">
        <f t="shared" si="29"/>
        <v>2.7599999999999996E-2</v>
      </c>
      <c r="AJ27" s="326">
        <f>(AB27/D27)^(1/5)-1</f>
        <v>3.257043190648834E-2</v>
      </c>
      <c r="AK27" s="335">
        <f>(AH27/AC27)^(1/5)-1</f>
        <v>1.0949910703057286E-2</v>
      </c>
      <c r="AL27" s="494">
        <f>0.0326-0.005</f>
        <v>2.7599999999999996E-2</v>
      </c>
      <c r="AM27" s="495">
        <v>2.2599999999999999E-2</v>
      </c>
      <c r="AN27" s="496">
        <f>AL27+0.005</f>
        <v>3.2599999999999997E-2</v>
      </c>
    </row>
    <row r="28" spans="2:40" x14ac:dyDescent="0.25">
      <c r="B28" s="6" t="s">
        <v>150</v>
      </c>
      <c r="C28" s="163">
        <f t="shared" ref="C28:AB28" si="32">(C43/1000)/C23</f>
        <v>1.3255981335763064E-3</v>
      </c>
      <c r="D28" s="151">
        <f t="shared" si="32"/>
        <v>1.1565336782094289E-3</v>
      </c>
      <c r="E28" s="151">
        <f t="shared" si="32"/>
        <v>1.1506396084095831E-3</v>
      </c>
      <c r="F28" s="151">
        <f t="shared" si="32"/>
        <v>1.2907460869047785E-3</v>
      </c>
      <c r="G28" s="151">
        <f t="shared" si="32"/>
        <v>1.8705551495292877E-3</v>
      </c>
      <c r="H28" s="152">
        <f t="shared" si="32"/>
        <v>3.0928524483054272E-3</v>
      </c>
      <c r="I28" s="125"/>
      <c r="J28" s="126"/>
      <c r="K28" s="126"/>
      <c r="L28" s="126"/>
      <c r="M28" s="126"/>
      <c r="N28" s="202"/>
      <c r="O28" s="202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63">
        <f t="shared" si="32"/>
        <v>2.5062892603053659E-3</v>
      </c>
      <c r="AC28" s="151">
        <f>AB28*(1+$AI28+0.1)</f>
        <v>3.2331131457939222E-3</v>
      </c>
      <c r="AD28" s="151">
        <f t="shared" ref="AD28:AE28" si="33">AC28*(1+$AI28)</f>
        <v>3.8474046434947675E-3</v>
      </c>
      <c r="AE28" s="151">
        <f t="shared" si="33"/>
        <v>4.5784115257587734E-3</v>
      </c>
      <c r="AF28" s="151">
        <f>AE28+0.0001</f>
        <v>4.6784115257587737E-3</v>
      </c>
      <c r="AG28" s="151">
        <f t="shared" ref="AG28:AH28" si="34">AF28+0.0001</f>
        <v>4.778411525758774E-3</v>
      </c>
      <c r="AH28" s="152">
        <f t="shared" si="34"/>
        <v>4.8784115257587742E-3</v>
      </c>
      <c r="AI28" s="293">
        <f t="shared" si="29"/>
        <v>0.19</v>
      </c>
      <c r="AJ28" s="326">
        <f>(AB28/D28)^(1/5)-1</f>
        <v>0.16727875660761748</v>
      </c>
      <c r="AK28" s="335">
        <f>(AH28/AC28)^(1/5)-1</f>
        <v>8.5754169811806724E-2</v>
      </c>
      <c r="AL28" s="491">
        <v>0.19</v>
      </c>
      <c r="AM28" s="492">
        <v>0.12</v>
      </c>
      <c r="AN28" s="493">
        <v>0.21</v>
      </c>
    </row>
    <row r="29" spans="2:40" x14ac:dyDescent="0.25">
      <c r="B29" s="6" t="s">
        <v>133</v>
      </c>
      <c r="C29" s="163">
        <f>(C46/1000)/C24</f>
        <v>2.1699445092435024E-3</v>
      </c>
      <c r="D29" s="151">
        <f t="shared" ref="D29:AB29" si="35">(D46/1000)/D24</f>
        <v>1.9804050470298576E-3</v>
      </c>
      <c r="E29" s="151">
        <f t="shared" si="35"/>
        <v>1.7614622886506961E-3</v>
      </c>
      <c r="F29" s="151">
        <f t="shared" si="35"/>
        <v>1.1504997319776444E-3</v>
      </c>
      <c r="G29" s="151">
        <f t="shared" si="35"/>
        <v>1.1008986205628187E-3</v>
      </c>
      <c r="H29" s="152">
        <f t="shared" si="35"/>
        <v>1.1131382728287724E-3</v>
      </c>
      <c r="I29" s="125"/>
      <c r="J29" s="126"/>
      <c r="K29" s="126"/>
      <c r="L29" s="126"/>
      <c r="M29" s="126"/>
      <c r="N29" s="202"/>
      <c r="O29" s="202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63">
        <f t="shared" si="35"/>
        <v>1.0295213148234594E-3</v>
      </c>
      <c r="AC29" s="151">
        <f t="shared" ref="AC29:AE29" si="36">AB29*(1+$AI29)</f>
        <v>1.1015878068611016E-3</v>
      </c>
      <c r="AD29" s="151">
        <f t="shared" si="36"/>
        <v>1.1786989533413789E-3</v>
      </c>
      <c r="AE29" s="151">
        <f t="shared" si="36"/>
        <v>1.2612078800752755E-3</v>
      </c>
      <c r="AF29" s="151">
        <f>AE29+0.0001</f>
        <v>1.3612078800752756E-3</v>
      </c>
      <c r="AG29" s="151">
        <f t="shared" ref="AG29:AH29" si="37">AF29+0.0001</f>
        <v>1.4612078800752756E-3</v>
      </c>
      <c r="AH29" s="152">
        <f t="shared" si="37"/>
        <v>1.5612078800752757E-3</v>
      </c>
      <c r="AI29" s="293">
        <f t="shared" si="29"/>
        <v>7.0000000000000007E-2</v>
      </c>
      <c r="AJ29" s="326">
        <f>(AB29/D29)^(1/5)-1</f>
        <v>-0.12264316533647857</v>
      </c>
      <c r="AK29" s="335">
        <f>(AH29/AC29)^(1/5)-1</f>
        <v>7.2230910235366874E-2</v>
      </c>
      <c r="AL29" s="491">
        <v>7.0000000000000007E-2</v>
      </c>
      <c r="AM29" s="492">
        <v>0.03</v>
      </c>
      <c r="AN29" s="493">
        <v>0.11</v>
      </c>
    </row>
    <row r="30" spans="2:40" x14ac:dyDescent="0.25">
      <c r="B30" s="5" t="s">
        <v>127</v>
      </c>
      <c r="C30" s="49"/>
      <c r="D30" s="50"/>
      <c r="E30" s="50"/>
      <c r="F30" s="50"/>
      <c r="G30" s="50"/>
      <c r="H30" s="51"/>
      <c r="I30" s="23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3"/>
      <c r="AC30" s="24"/>
      <c r="AD30" s="24"/>
      <c r="AE30" s="24"/>
      <c r="AF30" s="24"/>
      <c r="AG30" s="24"/>
      <c r="AH30" s="25"/>
      <c r="AI30" s="25"/>
      <c r="AJ30" s="23"/>
      <c r="AK30" s="24"/>
      <c r="AL30" s="23"/>
      <c r="AM30" s="24"/>
      <c r="AN30" s="25"/>
    </row>
    <row r="31" spans="2:40" x14ac:dyDescent="0.25">
      <c r="B31" s="1" t="s">
        <v>134</v>
      </c>
      <c r="C31" s="73">
        <f>C33+C40+C43+C46</f>
        <v>758636</v>
      </c>
      <c r="D31" s="74">
        <f t="shared" ref="D31:O31" si="38">D33+D40+D43+D46</f>
        <v>754283</v>
      </c>
      <c r="E31" s="74">
        <f t="shared" si="38"/>
        <v>764789</v>
      </c>
      <c r="F31" s="74">
        <f t="shared" si="38"/>
        <v>781526</v>
      </c>
      <c r="G31" s="74">
        <f t="shared" si="38"/>
        <v>968814</v>
      </c>
      <c r="H31" s="75">
        <f t="shared" si="38"/>
        <v>1059503</v>
      </c>
      <c r="I31" s="73">
        <f t="shared" si="38"/>
        <v>1062775</v>
      </c>
      <c r="J31" s="74">
        <f t="shared" si="38"/>
        <v>1022618</v>
      </c>
      <c r="K31" s="74">
        <f t="shared" si="38"/>
        <v>1309860</v>
      </c>
      <c r="L31" s="74">
        <f t="shared" si="38"/>
        <v>1337977</v>
      </c>
      <c r="M31" s="74"/>
      <c r="N31" s="74">
        <f t="shared" si="38"/>
        <v>1354032</v>
      </c>
      <c r="O31" s="74">
        <f t="shared" si="38"/>
        <v>1452805</v>
      </c>
      <c r="P31" s="74"/>
      <c r="Q31" s="126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3">
        <f>AB33+AB40+AB43+AB46</f>
        <v>1337977</v>
      </c>
      <c r="AC31" s="40">
        <f>AC33+AC40+AC43+AC46</f>
        <v>1535645.1894148001</v>
      </c>
      <c r="AD31" s="40">
        <f t="shared" ref="AD31:AH31" si="39">AD33+AD40+AD43+AD46</f>
        <v>1661505.9604106513</v>
      </c>
      <c r="AE31" s="40">
        <f t="shared" si="39"/>
        <v>1828126.0630870289</v>
      </c>
      <c r="AF31" s="40">
        <f t="shared" si="39"/>
        <v>1897208.5192335886</v>
      </c>
      <c r="AG31" s="40">
        <f t="shared" si="39"/>
        <v>1978347.8452596019</v>
      </c>
      <c r="AH31" s="72">
        <f t="shared" si="39"/>
        <v>2062842.8436713747</v>
      </c>
      <c r="AI31" s="28"/>
      <c r="AJ31" s="326">
        <f>(AB31/D31)^(1/5)-1</f>
        <v>0.12145761856677795</v>
      </c>
      <c r="AK31" s="335">
        <f>(AH31/AC31)^(1/5)-1</f>
        <v>6.0803763477450978E-2</v>
      </c>
      <c r="AL31" s="26"/>
      <c r="AN31" s="28"/>
    </row>
    <row r="32" spans="2:40" x14ac:dyDescent="0.25">
      <c r="B32" s="44" t="s">
        <v>153</v>
      </c>
      <c r="C32" s="52"/>
      <c r="D32" s="157">
        <f>(D31/C31)-1</f>
        <v>-5.7379296526924861E-3</v>
      </c>
      <c r="E32" s="157">
        <f t="shared" ref="E32:H32" si="40">(E31/D31)-1</f>
        <v>1.3928459212258604E-2</v>
      </c>
      <c r="F32" s="157">
        <f t="shared" si="40"/>
        <v>2.1884467480573155E-2</v>
      </c>
      <c r="G32" s="157">
        <f t="shared" si="40"/>
        <v>0.23964397857524888</v>
      </c>
      <c r="H32" s="243">
        <f t="shared" si="40"/>
        <v>9.3608267428009873E-2</v>
      </c>
      <c r="I32" s="30"/>
      <c r="J32" s="79">
        <f>(J31/I31)-1</f>
        <v>-3.7785043870998125E-2</v>
      </c>
      <c r="K32" s="79">
        <f t="shared" ref="K32:O32" si="41">(K31/J31)-1</f>
        <v>0.28088885585819923</v>
      </c>
      <c r="L32" s="79">
        <f t="shared" si="41"/>
        <v>2.1465652817858505E-2</v>
      </c>
      <c r="M32" s="79"/>
      <c r="N32" s="79">
        <f>(N31/L31)-1</f>
        <v>1.1999458884569769E-2</v>
      </c>
      <c r="O32" s="79">
        <f t="shared" si="41"/>
        <v>7.2947315868458151E-2</v>
      </c>
      <c r="P32" s="147"/>
      <c r="Q32" s="147"/>
      <c r="R32" s="147"/>
      <c r="AB32" s="80">
        <f>(AB31/H31)-1</f>
        <v>0.26283455544722378</v>
      </c>
      <c r="AC32" s="79">
        <f>(AC31/AB31)-1</f>
        <v>0.14773661237435332</v>
      </c>
      <c r="AD32" s="79">
        <f t="shared" ref="AD32:AH32" si="42">(AD31/AC31)-1</f>
        <v>8.195953848155102E-2</v>
      </c>
      <c r="AE32" s="79">
        <f t="shared" si="42"/>
        <v>0.10028257896540826</v>
      </c>
      <c r="AF32" s="79">
        <f t="shared" si="42"/>
        <v>3.7788671985730105E-2</v>
      </c>
      <c r="AG32" s="79">
        <f t="shared" si="42"/>
        <v>4.2767742819746157E-2</v>
      </c>
      <c r="AH32" s="129">
        <f t="shared" si="42"/>
        <v>4.2709879667640172E-2</v>
      </c>
      <c r="AI32" s="28"/>
      <c r="AJ32" s="26"/>
      <c r="AL32" s="26"/>
      <c r="AN32" s="28"/>
    </row>
    <row r="33" spans="2:40" x14ac:dyDescent="0.25">
      <c r="B33" s="6" t="s">
        <v>130</v>
      </c>
      <c r="C33" s="107">
        <f>SUM(C36+C38)</f>
        <v>457562</v>
      </c>
      <c r="D33" s="94">
        <f>SUM(D36+D38)</f>
        <v>458155</v>
      </c>
      <c r="E33" s="88">
        <f>SUM(E36+E38)</f>
        <v>472431</v>
      </c>
      <c r="F33" s="94">
        <f t="shared" ref="F33:AB33" si="43">SUM(F36+F38)</f>
        <v>496271</v>
      </c>
      <c r="G33" s="94">
        <f t="shared" si="43"/>
        <v>636336</v>
      </c>
      <c r="H33" s="95">
        <f t="shared" si="43"/>
        <v>641484</v>
      </c>
      <c r="I33" s="107">
        <f t="shared" si="43"/>
        <v>654047</v>
      </c>
      <c r="J33" s="94">
        <f t="shared" si="43"/>
        <v>664823</v>
      </c>
      <c r="K33" s="94">
        <f t="shared" si="43"/>
        <v>905624</v>
      </c>
      <c r="L33" s="94">
        <f t="shared" si="43"/>
        <v>952838</v>
      </c>
      <c r="M33" s="94"/>
      <c r="N33" s="94">
        <f t="shared" si="43"/>
        <v>973906</v>
      </c>
      <c r="O33" s="94">
        <f t="shared" si="43"/>
        <v>1033426</v>
      </c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107">
        <f t="shared" si="43"/>
        <v>952838</v>
      </c>
      <c r="AC33" s="40">
        <f>(AC21*1000)*AC26</f>
        <v>1098619.1516432127</v>
      </c>
      <c r="AD33" s="40">
        <f t="shared" ref="AD33:AH33" si="44">(AD21*1000)*AD26</f>
        <v>1189694.6793144345</v>
      </c>
      <c r="AE33" s="40">
        <f t="shared" si="44"/>
        <v>1292603.2690751334</v>
      </c>
      <c r="AF33" s="40">
        <f t="shared" si="44"/>
        <v>1337510.7475076488</v>
      </c>
      <c r="AG33" s="40">
        <f t="shared" si="44"/>
        <v>1390667.5323432875</v>
      </c>
      <c r="AH33" s="72">
        <f t="shared" si="44"/>
        <v>1445906.8414517241</v>
      </c>
      <c r="AI33" s="28"/>
      <c r="AJ33" s="326">
        <f>(AB33/D33)^(1/5)-1</f>
        <v>0.15771411331541074</v>
      </c>
      <c r="AK33" s="335">
        <f>(AH33/AC33)^(1/5)-1</f>
        <v>5.6473552279010075E-2</v>
      </c>
      <c r="AL33" s="26"/>
      <c r="AN33" s="28"/>
    </row>
    <row r="34" spans="2:40" x14ac:dyDescent="0.25">
      <c r="B34" s="43" t="s">
        <v>126</v>
      </c>
      <c r="C34" s="158">
        <f>C33/C$31</f>
        <v>0.60313773667476889</v>
      </c>
      <c r="D34" s="160">
        <f t="shared" ref="D34:H34" si="45">D33/D$31</f>
        <v>0.60740464785763437</v>
      </c>
      <c r="E34" s="160">
        <f t="shared" si="45"/>
        <v>0.61772724241588206</v>
      </c>
      <c r="F34" s="160">
        <f t="shared" si="45"/>
        <v>0.63500254630044295</v>
      </c>
      <c r="G34" s="160">
        <f t="shared" si="45"/>
        <v>0.65681957527451085</v>
      </c>
      <c r="H34" s="161">
        <f t="shared" si="45"/>
        <v>0.60545746449042614</v>
      </c>
      <c r="I34" s="80">
        <f>I33/I$31</f>
        <v>0.61541436334125288</v>
      </c>
      <c r="J34" s="79">
        <f t="shared" ref="J34:O34" si="46">J33/J$31</f>
        <v>0.65011861711802454</v>
      </c>
      <c r="K34" s="79">
        <f t="shared" si="46"/>
        <v>0.69138991953338524</v>
      </c>
      <c r="L34" s="79">
        <f t="shared" si="46"/>
        <v>0.71214826562788447</v>
      </c>
      <c r="M34" s="79"/>
      <c r="N34" s="79">
        <f t="shared" si="46"/>
        <v>0.7192636510806244</v>
      </c>
      <c r="O34" s="79">
        <f t="shared" si="46"/>
        <v>0.71133152763103102</v>
      </c>
      <c r="AB34" s="80">
        <f t="shared" ref="AB34" si="47">AB33/AB$31</f>
        <v>0.71214826562788447</v>
      </c>
      <c r="AC34" s="79">
        <f t="shared" ref="AC34" si="48">AC33/AC$31</f>
        <v>0.71541210119107768</v>
      </c>
      <c r="AD34" s="79">
        <f t="shared" ref="AD34" si="49">AD33/AD$31</f>
        <v>0.71603395212641563</v>
      </c>
      <c r="AE34" s="79">
        <f t="shared" ref="AE34" si="50">AE33/AE$31</f>
        <v>0.70706462490469857</v>
      </c>
      <c r="AF34" s="79">
        <f t="shared" ref="AF34" si="51">AF33/AF$31</f>
        <v>0.70498879482575816</v>
      </c>
      <c r="AG34" s="79">
        <f t="shared" ref="AG34" si="52">AG33/AG$31</f>
        <v>0.70294389112385935</v>
      </c>
      <c r="AH34" s="129">
        <f t="shared" ref="AH34" si="53">AH33/AH$31</f>
        <v>0.70092922778273803</v>
      </c>
      <c r="AI34" s="28"/>
      <c r="AJ34" s="26"/>
      <c r="AL34" s="26"/>
      <c r="AN34" s="28"/>
    </row>
    <row r="35" spans="2:40" x14ac:dyDescent="0.25">
      <c r="B35" s="43" t="s">
        <v>153</v>
      </c>
      <c r="C35" s="156"/>
      <c r="D35" s="159">
        <f>(D33/C33)-1</f>
        <v>1.2959992307053358E-3</v>
      </c>
      <c r="E35" s="159">
        <f t="shared" ref="E35:H35" si="54">(E33/D33)-1</f>
        <v>3.1159760343115295E-2</v>
      </c>
      <c r="F35" s="159">
        <f t="shared" si="54"/>
        <v>5.0462395566760021E-2</v>
      </c>
      <c r="G35" s="159">
        <f t="shared" si="54"/>
        <v>0.28223490794344208</v>
      </c>
      <c r="H35" s="162">
        <f t="shared" si="54"/>
        <v>8.0900656257072434E-3</v>
      </c>
      <c r="I35" s="30"/>
      <c r="J35" s="79">
        <f>(J33/I33)-1</f>
        <v>1.6475880173749013E-2</v>
      </c>
      <c r="K35" s="79">
        <f t="shared" ref="K35:O35" si="55">(K33/J33)-1</f>
        <v>0.3622031728745847</v>
      </c>
      <c r="L35" s="79">
        <f t="shared" si="55"/>
        <v>5.2134219057798914E-2</v>
      </c>
      <c r="M35" s="79"/>
      <c r="N35" s="79">
        <f>(N33/L33)-1</f>
        <v>2.2110789032343314E-2</v>
      </c>
      <c r="O35" s="79">
        <f t="shared" si="55"/>
        <v>6.1114727704727256E-2</v>
      </c>
      <c r="AB35" s="80">
        <f>(AB33/H33)-1</f>
        <v>0.48536518447849053</v>
      </c>
      <c r="AC35" s="79">
        <f>(AC33/AB33)-1</f>
        <v>0.15299678606773948</v>
      </c>
      <c r="AD35" s="79">
        <f t="shared" ref="AD35:AH35" si="56">(AD33/AC33)-1</f>
        <v>8.289999999999953E-2</v>
      </c>
      <c r="AE35" s="79">
        <f t="shared" si="56"/>
        <v>8.6500000000000243E-2</v>
      </c>
      <c r="AF35" s="79">
        <f t="shared" si="56"/>
        <v>3.4741888332563864E-2</v>
      </c>
      <c r="AG35" s="79">
        <f t="shared" si="56"/>
        <v>3.9743071175085909E-2</v>
      </c>
      <c r="AH35" s="129">
        <f t="shared" si="56"/>
        <v>3.9721434364227814E-2</v>
      </c>
      <c r="AI35" s="28"/>
      <c r="AJ35" s="26"/>
      <c r="AL35" s="26"/>
      <c r="AN35" s="28"/>
    </row>
    <row r="36" spans="2:40" x14ac:dyDescent="0.25">
      <c r="B36" s="10" t="s">
        <v>128</v>
      </c>
      <c r="C36" s="107">
        <f>40107+9413</f>
        <v>49520</v>
      </c>
      <c r="D36" s="94">
        <f>30358+11830</f>
        <v>42188</v>
      </c>
      <c r="E36" s="94">
        <v>53762</v>
      </c>
      <c r="F36" s="94">
        <v>60310</v>
      </c>
      <c r="G36" s="94">
        <v>96097</v>
      </c>
      <c r="H36" s="95">
        <v>121093</v>
      </c>
      <c r="I36" s="107">
        <v>115967</v>
      </c>
      <c r="J36" s="94">
        <v>118940</v>
      </c>
      <c r="K36" s="94">
        <v>152991</v>
      </c>
      <c r="L36" s="94">
        <v>165446</v>
      </c>
      <c r="M36" s="94"/>
      <c r="N36" s="94">
        <v>170911</v>
      </c>
      <c r="O36" s="94">
        <v>187045</v>
      </c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107">
        <v>165446</v>
      </c>
      <c r="AC36" s="164"/>
      <c r="AD36" s="164"/>
      <c r="AE36" s="164"/>
      <c r="AF36" s="164"/>
      <c r="AG36" s="164"/>
      <c r="AH36" s="165"/>
      <c r="AI36" s="28"/>
      <c r="AJ36" s="326">
        <f>(AB36/D36)^(1/5)-1</f>
        <v>0.31429684953296766</v>
      </c>
      <c r="AK36" s="336"/>
      <c r="AL36" s="26"/>
      <c r="AN36" s="28"/>
    </row>
    <row r="37" spans="2:40" x14ac:dyDescent="0.25">
      <c r="B37" s="45" t="s">
        <v>153</v>
      </c>
      <c r="C37" s="156"/>
      <c r="D37" s="157">
        <f>(D36/C36)-1</f>
        <v>-0.14806138933764135</v>
      </c>
      <c r="E37" s="157">
        <f t="shared" ref="E37" si="57">(E36/D36)-1</f>
        <v>0.27434341518915328</v>
      </c>
      <c r="F37" s="157">
        <f t="shared" ref="F37" si="58">(F36/E36)-1</f>
        <v>0.12179606413451882</v>
      </c>
      <c r="G37" s="157">
        <f t="shared" ref="G37" si="59">(G36/F36)-1</f>
        <v>0.5933841817277401</v>
      </c>
      <c r="H37" s="243">
        <f t="shared" ref="H37" si="60">(H36/G36)-1</f>
        <v>0.26011217831982258</v>
      </c>
      <c r="I37" s="30"/>
      <c r="J37" s="79">
        <f>(J36/I36)-1</f>
        <v>2.5636603516517642E-2</v>
      </c>
      <c r="K37" s="79">
        <f t="shared" ref="K37" si="61">(K36/J36)-1</f>
        <v>0.28628720363208338</v>
      </c>
      <c r="L37" s="79">
        <f t="shared" ref="L37" si="62">(L36/K36)-1</f>
        <v>8.1410017582733696E-2</v>
      </c>
      <c r="M37" s="79"/>
      <c r="N37" s="79">
        <f>(N36/L36)-1</f>
        <v>3.303192582474046E-2</v>
      </c>
      <c r="O37" s="79">
        <f t="shared" ref="O37" si="63">(O36/N36)-1</f>
        <v>9.4400009361597537E-2</v>
      </c>
      <c r="P37" s="147"/>
      <c r="Q37" s="147"/>
      <c r="R37" s="147"/>
      <c r="AB37" s="80">
        <f>(AB36/H36)-1</f>
        <v>0.36627220400848937</v>
      </c>
      <c r="AC37" s="164"/>
      <c r="AD37" s="164"/>
      <c r="AE37" s="164"/>
      <c r="AF37" s="164"/>
      <c r="AG37" s="164"/>
      <c r="AH37" s="165"/>
      <c r="AI37" s="28"/>
      <c r="AJ37" s="26"/>
      <c r="AK37" s="164"/>
      <c r="AL37" s="26"/>
      <c r="AN37" s="28"/>
    </row>
    <row r="38" spans="2:40" x14ac:dyDescent="0.25">
      <c r="B38" s="10" t="s">
        <v>129</v>
      </c>
      <c r="C38" s="107">
        <f>346262+61780</f>
        <v>408042</v>
      </c>
      <c r="D38" s="94">
        <f>349090+66877</f>
        <v>415967</v>
      </c>
      <c r="E38" s="94">
        <v>418669</v>
      </c>
      <c r="F38" s="94">
        <v>435961</v>
      </c>
      <c r="G38" s="94">
        <v>540239</v>
      </c>
      <c r="H38" s="95">
        <v>520391</v>
      </c>
      <c r="I38" s="107">
        <v>538080</v>
      </c>
      <c r="J38" s="94">
        <v>545883</v>
      </c>
      <c r="K38" s="94">
        <v>752633</v>
      </c>
      <c r="L38" s="94">
        <v>787392</v>
      </c>
      <c r="M38" s="94"/>
      <c r="N38" s="94">
        <v>802995</v>
      </c>
      <c r="O38" s="94">
        <v>846381</v>
      </c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107">
        <v>787392</v>
      </c>
      <c r="AC38" s="164"/>
      <c r="AD38" s="164"/>
      <c r="AE38" s="164"/>
      <c r="AF38" s="164"/>
      <c r="AG38" s="164"/>
      <c r="AH38" s="165"/>
      <c r="AI38" s="28"/>
      <c r="AJ38" s="326">
        <f>(AB38/D38)^(1/5)-1</f>
        <v>0.13612580459539281</v>
      </c>
      <c r="AK38" s="336"/>
      <c r="AL38" s="26"/>
      <c r="AN38" s="28"/>
    </row>
    <row r="39" spans="2:40" x14ac:dyDescent="0.25">
      <c r="B39" s="45" t="s">
        <v>153</v>
      </c>
      <c r="C39" s="156"/>
      <c r="D39" s="157">
        <f>(D38/C38)-1</f>
        <v>1.9422020282225949E-2</v>
      </c>
      <c r="E39" s="157">
        <f t="shared" ref="E39" si="64">(E38/D38)-1</f>
        <v>6.4957075921887597E-3</v>
      </c>
      <c r="F39" s="157">
        <f t="shared" ref="F39" si="65">(F38/E38)-1</f>
        <v>4.1302317582625037E-2</v>
      </c>
      <c r="G39" s="157">
        <f t="shared" ref="G39" si="66">(G38/F38)-1</f>
        <v>0.23919112030663303</v>
      </c>
      <c r="H39" s="243">
        <f t="shared" ref="H39" si="67">(H38/G38)-1</f>
        <v>-3.6739295015724482E-2</v>
      </c>
      <c r="I39" s="30"/>
      <c r="J39" s="79">
        <f>(J38/I38)-1</f>
        <v>1.4501561106155192E-2</v>
      </c>
      <c r="K39" s="79">
        <f t="shared" ref="K39" si="68">(K38/J38)-1</f>
        <v>0.3787441631265307</v>
      </c>
      <c r="L39" s="79">
        <f t="shared" ref="L39" si="69">(L38/K38)-1</f>
        <v>4.6183199514238771E-2</v>
      </c>
      <c r="M39" s="79"/>
      <c r="N39" s="79">
        <f>(N38/L38)-1</f>
        <v>1.9816050963179732E-2</v>
      </c>
      <c r="O39" s="79">
        <f t="shared" ref="O39" si="70">(O38/N38)-1</f>
        <v>5.4030224347598743E-2</v>
      </c>
      <c r="P39" s="147"/>
      <c r="Q39" s="147"/>
      <c r="R39" s="147"/>
      <c r="AB39" s="80">
        <f>(AB38/H38)-1</f>
        <v>0.51307766660069065</v>
      </c>
      <c r="AC39" s="164"/>
      <c r="AD39" s="164"/>
      <c r="AE39" s="164"/>
      <c r="AF39" s="164"/>
      <c r="AG39" s="164"/>
      <c r="AH39" s="165"/>
      <c r="AI39" s="28"/>
      <c r="AJ39" s="26"/>
      <c r="AK39" s="164"/>
      <c r="AL39" s="26"/>
      <c r="AN39" s="28"/>
    </row>
    <row r="40" spans="2:40" x14ac:dyDescent="0.25">
      <c r="B40" s="6" t="s">
        <v>131</v>
      </c>
      <c r="C40" s="107">
        <v>197002</v>
      </c>
      <c r="D40" s="94">
        <v>195580</v>
      </c>
      <c r="E40" s="94">
        <v>193924</v>
      </c>
      <c r="F40" s="94">
        <v>187592</v>
      </c>
      <c r="G40" s="94">
        <v>194796</v>
      </c>
      <c r="H40" s="95">
        <v>183021</v>
      </c>
      <c r="I40" s="107">
        <v>178211</v>
      </c>
      <c r="J40" s="94">
        <v>170173</v>
      </c>
      <c r="K40" s="94">
        <v>218224</v>
      </c>
      <c r="L40" s="94">
        <v>212527</v>
      </c>
      <c r="M40" s="94"/>
      <c r="N40" s="94">
        <v>207686</v>
      </c>
      <c r="O40" s="94">
        <v>216189</v>
      </c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107">
        <v>212527</v>
      </c>
      <c r="AC40" s="40">
        <f>(AC22*1000)*AC27</f>
        <v>222837.28612045199</v>
      </c>
      <c r="AD40" s="40">
        <f t="shared" ref="AD40:AH40" si="71">(AD22*1000)*AD27</f>
        <v>224407.84331302895</v>
      </c>
      <c r="AE40" s="40">
        <f t="shared" si="71"/>
        <v>236366.53728318031</v>
      </c>
      <c r="AF40" s="40">
        <f t="shared" si="71"/>
        <v>243457.53340167567</v>
      </c>
      <c r="AG40" s="40">
        <f t="shared" si="71"/>
        <v>251978.54707073435</v>
      </c>
      <c r="AH40" s="72">
        <f t="shared" si="71"/>
        <v>260797.79621821007</v>
      </c>
      <c r="AI40" s="28"/>
      <c r="AJ40" s="326">
        <f>(AB40/D40)^(1/5)-1</f>
        <v>1.6758786223424638E-2</v>
      </c>
      <c r="AK40" s="335">
        <f>(AH40/AC40)^(1/5)-1</f>
        <v>3.1960825643639224E-2</v>
      </c>
      <c r="AL40" s="26"/>
      <c r="AN40" s="28"/>
    </row>
    <row r="41" spans="2:40" x14ac:dyDescent="0.25">
      <c r="B41" s="43" t="s">
        <v>126</v>
      </c>
      <c r="C41" s="158">
        <f>C40/C$31</f>
        <v>0.2596792137467771</v>
      </c>
      <c r="D41" s="160">
        <f t="shared" ref="D41" si="72">D40/D$31</f>
        <v>0.25929259972715812</v>
      </c>
      <c r="E41" s="160">
        <f t="shared" ref="E41" si="73">E40/E$31</f>
        <v>0.25356536247252509</v>
      </c>
      <c r="F41" s="160">
        <f t="shared" ref="F41" si="74">F40/F$31</f>
        <v>0.240032961155483</v>
      </c>
      <c r="G41" s="160">
        <f t="shared" ref="G41" si="75">G40/G$31</f>
        <v>0.20106645857718819</v>
      </c>
      <c r="H41" s="161">
        <f t="shared" ref="H41" si="76">H40/H$31</f>
        <v>0.17274231408500024</v>
      </c>
      <c r="I41" s="80">
        <f>I40/I$31</f>
        <v>0.16768459928018631</v>
      </c>
      <c r="J41" s="79">
        <f t="shared" ref="J41:O41" si="77">J40/J$31</f>
        <v>0.16640915767177969</v>
      </c>
      <c r="K41" s="79">
        <f t="shared" si="77"/>
        <v>0.1666010107950468</v>
      </c>
      <c r="L41" s="79">
        <f t="shared" si="77"/>
        <v>0.15884204287517648</v>
      </c>
      <c r="M41" s="79"/>
      <c r="N41" s="79">
        <f t="shared" si="77"/>
        <v>0.15338337646377634</v>
      </c>
      <c r="O41" s="79">
        <f t="shared" si="77"/>
        <v>0.14880799556719587</v>
      </c>
      <c r="AB41" s="80">
        <f t="shared" ref="AB41" si="78">AB40/AB$31</f>
        <v>0.15884204287517648</v>
      </c>
      <c r="AC41" s="79">
        <f t="shared" ref="AC41" si="79">AC40/AC$31</f>
        <v>0.1451098780216088</v>
      </c>
      <c r="AD41" s="79">
        <f t="shared" ref="AD41" si="80">AD40/AD$31</f>
        <v>0.135062918015392</v>
      </c>
      <c r="AE41" s="79">
        <f t="shared" ref="AE41" si="81">AE40/AE$31</f>
        <v>0.12929444093370926</v>
      </c>
      <c r="AF41" s="79">
        <f t="shared" ref="AF41" si="82">AF40/AF$31</f>
        <v>0.12832407768231227</v>
      </c>
      <c r="AG41" s="79">
        <f t="shared" ref="AG41" si="83">AG40/AG$31</f>
        <v>0.12736817121140256</v>
      </c>
      <c r="AH41" s="129">
        <f t="shared" ref="AH41" si="84">AH40/AH$31</f>
        <v>0.12642640083723072</v>
      </c>
      <c r="AI41" s="28"/>
      <c r="AJ41" s="26"/>
      <c r="AL41" s="26"/>
      <c r="AN41" s="28"/>
    </row>
    <row r="42" spans="2:40" x14ac:dyDescent="0.25">
      <c r="B42" s="43" t="s">
        <v>153</v>
      </c>
      <c r="C42" s="156"/>
      <c r="D42" s="159">
        <f>(D40/C40)-1</f>
        <v>-7.2182008304484402E-3</v>
      </c>
      <c r="E42" s="159">
        <f t="shared" ref="E42:H42" si="85">(E40/D40)-1</f>
        <v>-8.4671234277533536E-3</v>
      </c>
      <c r="F42" s="159">
        <f t="shared" si="85"/>
        <v>-3.2651966749860817E-2</v>
      </c>
      <c r="G42" s="159">
        <f t="shared" si="85"/>
        <v>3.8402490511322496E-2</v>
      </c>
      <c r="H42" s="162">
        <f t="shared" si="85"/>
        <v>-6.0447853138668184E-2</v>
      </c>
      <c r="I42" s="30"/>
      <c r="J42" s="79">
        <f>(J40/I40)-1</f>
        <v>-4.510383758578318E-2</v>
      </c>
      <c r="K42" s="79">
        <f t="shared" ref="K42" si="86">(K40/J40)-1</f>
        <v>0.28236559266158556</v>
      </c>
      <c r="L42" s="79">
        <f t="shared" ref="L42" si="87">(L40/K40)-1</f>
        <v>-2.61062028007919E-2</v>
      </c>
      <c r="M42" s="79"/>
      <c r="N42" s="79">
        <f>(N40/L40)-1</f>
        <v>-2.2778282288838603E-2</v>
      </c>
      <c r="O42" s="79">
        <f t="shared" ref="O42" si="88">(O40/N40)-1</f>
        <v>4.0941613782344399E-2</v>
      </c>
      <c r="AB42" s="80">
        <f>(AB40/H40)-1</f>
        <v>0.16121647242666137</v>
      </c>
      <c r="AC42" s="79">
        <f>(AC40/AB40)-1</f>
        <v>4.8512829524963719E-2</v>
      </c>
      <c r="AD42" s="79">
        <f t="shared" ref="AD42:AH42" si="89">(AD40/AC40)-1</f>
        <v>7.0480000000001652E-3</v>
      </c>
      <c r="AE42" s="79">
        <f t="shared" si="89"/>
        <v>5.3290000000000282E-2</v>
      </c>
      <c r="AF42" s="79">
        <f t="shared" si="89"/>
        <v>2.9999999999999805E-2</v>
      </c>
      <c r="AG42" s="79">
        <f t="shared" si="89"/>
        <v>3.5000000000000142E-2</v>
      </c>
      <c r="AH42" s="129">
        <f t="shared" si="89"/>
        <v>3.5000000000000142E-2</v>
      </c>
      <c r="AI42" s="28"/>
      <c r="AJ42" s="26"/>
      <c r="AL42" s="26"/>
      <c r="AN42" s="28"/>
    </row>
    <row r="43" spans="2:40" x14ac:dyDescent="0.25">
      <c r="B43" s="6" t="s">
        <v>132</v>
      </c>
      <c r="C43" s="107">
        <f>47782+19193</f>
        <v>66975</v>
      </c>
      <c r="D43" s="94">
        <f>47025+17080</f>
        <v>64105</v>
      </c>
      <c r="E43" s="94">
        <v>64523</v>
      </c>
      <c r="F43" s="94">
        <v>74166</v>
      </c>
      <c r="G43" s="94">
        <v>114360</v>
      </c>
      <c r="H43" s="95">
        <v>213380</v>
      </c>
      <c r="I43" s="107">
        <v>210315</v>
      </c>
      <c r="J43" s="94">
        <v>167717</v>
      </c>
      <c r="K43" s="94">
        <v>166228</v>
      </c>
      <c r="L43" s="94">
        <v>154048</v>
      </c>
      <c r="M43" s="94"/>
      <c r="N43" s="94">
        <v>154238</v>
      </c>
      <c r="O43" s="94">
        <v>184798</v>
      </c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107">
        <v>154048</v>
      </c>
      <c r="AC43" s="40">
        <f>AC23*1000*AC28</f>
        <v>193921.02722624989</v>
      </c>
      <c r="AD43" s="40">
        <f t="shared" ref="AD43:AH43" si="90">AD23*1000*AD28</f>
        <v>226150.70195125262</v>
      </c>
      <c r="AE43" s="40">
        <f t="shared" si="90"/>
        <v>275847.31870504038</v>
      </c>
      <c r="AF43" s="40">
        <f t="shared" si="90"/>
        <v>290328.44381860161</v>
      </c>
      <c r="AG43" s="40">
        <f t="shared" si="90"/>
        <v>306912.84459899704</v>
      </c>
      <c r="AH43" s="72">
        <f t="shared" si="90"/>
        <v>324302.50109034241</v>
      </c>
      <c r="AI43" s="28"/>
      <c r="AJ43" s="326">
        <f>(AB43/D43)^(1/5)-1</f>
        <v>0.19166129006151089</v>
      </c>
      <c r="AK43" s="335">
        <f>(AH43/AC43)^(1/5)-1</f>
        <v>0.10831976704543544</v>
      </c>
      <c r="AL43" s="26"/>
      <c r="AN43" s="28"/>
    </row>
    <row r="44" spans="2:40" x14ac:dyDescent="0.25">
      <c r="B44" s="43" t="s">
        <v>126</v>
      </c>
      <c r="C44" s="158">
        <f>C43/C$31</f>
        <v>8.8283445552280668E-2</v>
      </c>
      <c r="D44" s="160">
        <f t="shared" ref="D44" si="91">D43/D$31</f>
        <v>8.4987995221952509E-2</v>
      </c>
      <c r="E44" s="160">
        <f t="shared" ref="E44" si="92">E43/E$31</f>
        <v>8.4367060718708031E-2</v>
      </c>
      <c r="F44" s="160">
        <f t="shared" ref="F44" si="93">F43/F$31</f>
        <v>9.4898954097496435E-2</v>
      </c>
      <c r="G44" s="160">
        <f t="shared" ref="G44" si="94">G43/G$31</f>
        <v>0.11804123392106225</v>
      </c>
      <c r="H44" s="161">
        <f t="shared" ref="H44" si="95">H43/H$31</f>
        <v>0.20139631506470487</v>
      </c>
      <c r="I44" s="80">
        <f>I43/I$31</f>
        <v>0.19789231022558867</v>
      </c>
      <c r="J44" s="79">
        <f t="shared" ref="J44:O44" si="96">J43/J$31</f>
        <v>0.16400747884351732</v>
      </c>
      <c r="K44" s="79">
        <f t="shared" si="96"/>
        <v>0.12690516543752767</v>
      </c>
      <c r="L44" s="79">
        <f t="shared" si="96"/>
        <v>0.11513501353162274</v>
      </c>
      <c r="M44" s="79"/>
      <c r="N44" s="79">
        <f t="shared" si="96"/>
        <v>0.11391015869639713</v>
      </c>
      <c r="O44" s="79">
        <f t="shared" si="96"/>
        <v>0.12720082874164118</v>
      </c>
      <c r="AB44" s="80">
        <f t="shared" ref="AB44" si="97">AB43/AB$31</f>
        <v>0.11513501353162274</v>
      </c>
      <c r="AC44" s="79">
        <f t="shared" ref="AC44" si="98">AC43/AC$31</f>
        <v>0.12627983896472128</v>
      </c>
      <c r="AD44" s="79">
        <f t="shared" ref="AD44" si="99">AD43/AD$31</f>
        <v>0.13611188123294971</v>
      </c>
      <c r="AE44" s="79">
        <f t="shared" ref="AE44" si="100">AE43/AE$31</f>
        <v>0.1508907532554053</v>
      </c>
      <c r="AF44" s="79">
        <f t="shared" ref="AF44" si="101">AF43/AF$31</f>
        <v>0.15302927478729908</v>
      </c>
      <c r="AG44" s="79">
        <f t="shared" ref="AG44" si="102">AG43/AG$31</f>
        <v>0.15513593594493663</v>
      </c>
      <c r="AH44" s="129">
        <f t="shared" ref="AH44" si="103">AH43/AH$31</f>
        <v>0.15721144346273142</v>
      </c>
      <c r="AI44" s="28"/>
      <c r="AJ44" s="26"/>
      <c r="AL44" s="26"/>
      <c r="AN44" s="28"/>
    </row>
    <row r="45" spans="2:40" x14ac:dyDescent="0.25">
      <c r="B45" s="43" t="s">
        <v>153</v>
      </c>
      <c r="C45" s="156"/>
      <c r="D45" s="159">
        <f>(D43/C43)-1</f>
        <v>-4.2851810377006361E-2</v>
      </c>
      <c r="E45" s="159">
        <f t="shared" ref="E45:H45" si="104">(E43/D43)-1</f>
        <v>6.5205522190157073E-3</v>
      </c>
      <c r="F45" s="159">
        <f t="shared" si="104"/>
        <v>0.14945058351285589</v>
      </c>
      <c r="G45" s="159">
        <f t="shared" si="104"/>
        <v>0.54194644446242224</v>
      </c>
      <c r="H45" s="162">
        <f t="shared" si="104"/>
        <v>0.86586218957677508</v>
      </c>
      <c r="I45" s="30"/>
      <c r="J45" s="79">
        <f>(J43/I43)-1</f>
        <v>-0.20254380334260513</v>
      </c>
      <c r="K45" s="79">
        <f t="shared" ref="K45" si="105">(K43/J43)-1</f>
        <v>-8.8780505255877662E-3</v>
      </c>
      <c r="L45" s="79">
        <f t="shared" ref="L45" si="106">(L43/K43)-1</f>
        <v>-7.3272854152128364E-2</v>
      </c>
      <c r="M45" s="79"/>
      <c r="N45" s="79">
        <f>(N43/L43)-1</f>
        <v>1.2333818030743071E-3</v>
      </c>
      <c r="O45" s="79">
        <f t="shared" ref="O45" si="107">(O43/N43)-1</f>
        <v>0.19813534926542098</v>
      </c>
      <c r="AB45" s="80">
        <f>(AB43/H43)-1</f>
        <v>-0.27805792482894365</v>
      </c>
      <c r="AC45" s="79">
        <f>(AC43/AB43)-1</f>
        <v>0.25883508533866006</v>
      </c>
      <c r="AD45" s="79">
        <f t="shared" ref="AD45:AH45" si="108">(AD43/AC43)-1</f>
        <v>0.1661999999999999</v>
      </c>
      <c r="AE45" s="79">
        <f t="shared" si="108"/>
        <v>0.21974999999999989</v>
      </c>
      <c r="AF45" s="79">
        <f t="shared" si="108"/>
        <v>5.2496885529076609E-2</v>
      </c>
      <c r="AG45" s="79">
        <f t="shared" si="108"/>
        <v>5.7122893514206963E-2</v>
      </c>
      <c r="AH45" s="129">
        <f t="shared" si="108"/>
        <v>5.6659917619499289E-2</v>
      </c>
      <c r="AI45" s="28"/>
      <c r="AJ45" s="26"/>
      <c r="AL45" s="26"/>
      <c r="AN45" s="28"/>
    </row>
    <row r="46" spans="2:40" x14ac:dyDescent="0.25">
      <c r="B46" s="6" t="s">
        <v>133</v>
      </c>
      <c r="C46" s="107">
        <f>20605+16492</f>
        <v>37097</v>
      </c>
      <c r="D46" s="94">
        <f>19695+16748</f>
        <v>36443</v>
      </c>
      <c r="E46" s="94">
        <v>33911</v>
      </c>
      <c r="F46" s="94">
        <v>23497</v>
      </c>
      <c r="G46" s="94">
        <v>23322</v>
      </c>
      <c r="H46" s="95">
        <v>21618</v>
      </c>
      <c r="I46" s="107">
        <v>20202</v>
      </c>
      <c r="J46" s="94">
        <v>19905</v>
      </c>
      <c r="K46" s="94">
        <v>19784</v>
      </c>
      <c r="L46" s="94">
        <v>18564</v>
      </c>
      <c r="M46" s="94"/>
      <c r="N46" s="94">
        <v>18202</v>
      </c>
      <c r="O46" s="94">
        <v>18392</v>
      </c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107">
        <v>18564</v>
      </c>
      <c r="AC46" s="40">
        <f>AC24*1000*AC29</f>
        <v>20267.724424885684</v>
      </c>
      <c r="AD46" s="40">
        <f t="shared" ref="AD46:AH46" si="109">AD24*1000*AD29</f>
        <v>21252.73583193513</v>
      </c>
      <c r="AE46" s="40">
        <f t="shared" si="109"/>
        <v>23308.938023674858</v>
      </c>
      <c r="AF46" s="40">
        <f t="shared" si="109"/>
        <v>25911.794505662529</v>
      </c>
      <c r="AG46" s="40">
        <f t="shared" si="109"/>
        <v>28788.921246582853</v>
      </c>
      <c r="AH46" s="72">
        <f t="shared" si="109"/>
        <v>31835.704911098161</v>
      </c>
      <c r="AI46" s="28"/>
      <c r="AJ46" s="326">
        <f>(AB46/D46)^(1/5)-1</f>
        <v>-0.12620111189462202</v>
      </c>
      <c r="AK46" s="335">
        <f>(AH46/AC46)^(1/5)-1</f>
        <v>9.4515448977697591E-2</v>
      </c>
      <c r="AL46" s="26"/>
      <c r="AN46" s="28"/>
    </row>
    <row r="47" spans="2:40" x14ac:dyDescent="0.25">
      <c r="B47" s="43" t="s">
        <v>126</v>
      </c>
      <c r="C47" s="158">
        <f>C46/C$31</f>
        <v>4.8899604026173292E-2</v>
      </c>
      <c r="D47" s="160">
        <f t="shared" ref="D47" si="110">D46/D$31</f>
        <v>4.8314757193255051E-2</v>
      </c>
      <c r="E47" s="160">
        <f t="shared" ref="E47" si="111">E46/E$31</f>
        <v>4.4340334392884838E-2</v>
      </c>
      <c r="F47" s="160">
        <f t="shared" ref="F47" si="112">F46/F$31</f>
        <v>3.0065538446577594E-2</v>
      </c>
      <c r="G47" s="160">
        <f t="shared" ref="G47" si="113">G46/G$31</f>
        <v>2.4072732227238665E-2</v>
      </c>
      <c r="H47" s="161">
        <f t="shared" ref="H47" si="114">H46/H$31</f>
        <v>2.0403906359868731E-2</v>
      </c>
      <c r="I47" s="80">
        <f>I46/I$31</f>
        <v>1.9008727152972173E-2</v>
      </c>
      <c r="J47" s="79">
        <f t="shared" ref="J47:O47" si="115">J46/J$31</f>
        <v>1.9464746366678467E-2</v>
      </c>
      <c r="K47" s="79">
        <f t="shared" si="115"/>
        <v>1.510390423404028E-2</v>
      </c>
      <c r="L47" s="79">
        <f t="shared" si="115"/>
        <v>1.3874677965316294E-2</v>
      </c>
      <c r="M47" s="79"/>
      <c r="N47" s="79">
        <f t="shared" si="115"/>
        <v>1.3442813759202145E-2</v>
      </c>
      <c r="O47" s="79">
        <f t="shared" si="115"/>
        <v>1.2659648060131952E-2</v>
      </c>
      <c r="AB47" s="80">
        <f t="shared" ref="AB47" si="116">AB46/AB$31</f>
        <v>1.3874677965316294E-2</v>
      </c>
      <c r="AC47" s="79">
        <f t="shared" ref="AC47" si="117">AC46/AC$31</f>
        <v>1.3198181822592274E-2</v>
      </c>
      <c r="AD47" s="79">
        <f t="shared" ref="AD47" si="118">AD46/AD$31</f>
        <v>1.2791248625242601E-2</v>
      </c>
      <c r="AE47" s="79">
        <f t="shared" ref="AE47" si="119">AE46/AE$31</f>
        <v>1.2750180906186896E-2</v>
      </c>
      <c r="AF47" s="79">
        <f t="shared" ref="AF47" si="120">AF46/AF$31</f>
        <v>1.3657852704630519E-2</v>
      </c>
      <c r="AG47" s="79">
        <f t="shared" ref="AG47" si="121">AG46/AG$31</f>
        <v>1.4552001719801264E-2</v>
      </c>
      <c r="AH47" s="129">
        <f t="shared" ref="AH47" si="122">AH46/AH$31</f>
        <v>1.5432927917299846E-2</v>
      </c>
      <c r="AI47" s="28"/>
      <c r="AJ47" s="26"/>
      <c r="AL47" s="26"/>
      <c r="AN47" s="28"/>
    </row>
    <row r="48" spans="2:40" x14ac:dyDescent="0.25">
      <c r="B48" s="43" t="s">
        <v>153</v>
      </c>
      <c r="C48" s="56"/>
      <c r="D48" s="159">
        <f>(D46/C46)-1</f>
        <v>-1.7629457907647472E-2</v>
      </c>
      <c r="E48" s="159">
        <f t="shared" ref="E48:H48" si="123">(E46/D46)-1</f>
        <v>-6.9478363471722981E-2</v>
      </c>
      <c r="F48" s="159">
        <f t="shared" si="123"/>
        <v>-0.30709799180207009</v>
      </c>
      <c r="G48" s="159">
        <f t="shared" si="123"/>
        <v>-7.4477592884197863E-3</v>
      </c>
      <c r="H48" s="162">
        <f t="shared" si="123"/>
        <v>-7.3064059686133276E-2</v>
      </c>
      <c r="I48" s="30"/>
      <c r="J48" s="79">
        <f>(J46/I46)-1</f>
        <v>-1.4701514701514706E-2</v>
      </c>
      <c r="K48" s="79">
        <f t="shared" ref="K48" si="124">(K46/J46)-1</f>
        <v>-6.0788746546094341E-3</v>
      </c>
      <c r="L48" s="79">
        <f t="shared" ref="L48" si="125">(L46/K46)-1</f>
        <v>-6.1665992721391061E-2</v>
      </c>
      <c r="M48" s="79"/>
      <c r="N48" s="79">
        <f>(N46/L46)-1</f>
        <v>-1.9500107735401895E-2</v>
      </c>
      <c r="O48" s="79">
        <f t="shared" ref="O48" si="126">(O46/N46)-1</f>
        <v>1.0438413361169019E-2</v>
      </c>
      <c r="Q48" s="40"/>
      <c r="R48" s="40"/>
      <c r="V48" s="40"/>
      <c r="W48" s="40"/>
      <c r="AA48" s="40"/>
      <c r="AB48" s="80">
        <f>(AB46/H46)-1</f>
        <v>-0.14127116291978903</v>
      </c>
      <c r="AC48" s="79">
        <f>(AC46/AB46)-1</f>
        <v>9.1775717780956834E-2</v>
      </c>
      <c r="AD48" s="79">
        <f t="shared" ref="AD48:AH48" si="127">(AD46/AC46)-1</f>
        <v>4.8599999999999977E-2</v>
      </c>
      <c r="AE48" s="79">
        <f t="shared" si="127"/>
        <v>9.6750000000000336E-2</v>
      </c>
      <c r="AF48" s="79">
        <f t="shared" si="127"/>
        <v>0.11166774219159836</v>
      </c>
      <c r="AG48" s="79">
        <f t="shared" si="127"/>
        <v>0.11103541054601918</v>
      </c>
      <c r="AH48" s="129">
        <f t="shared" si="127"/>
        <v>0.10583181073090575</v>
      </c>
      <c r="AI48" s="28"/>
      <c r="AJ48" s="26"/>
      <c r="AL48" s="26"/>
      <c r="AN48" s="28"/>
    </row>
    <row r="49" spans="2:40" hidden="1" outlineLevel="1" x14ac:dyDescent="0.25">
      <c r="B49" s="5" t="s">
        <v>115</v>
      </c>
      <c r="C49" s="49"/>
      <c r="D49" s="50"/>
      <c r="E49" s="50"/>
      <c r="F49" s="50"/>
      <c r="G49" s="50"/>
      <c r="H49" s="51"/>
      <c r="I49" s="23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3"/>
      <c r="AC49" s="24"/>
      <c r="AD49" s="24"/>
      <c r="AE49" s="24"/>
      <c r="AF49" s="24"/>
      <c r="AG49" s="24"/>
      <c r="AH49" s="25"/>
      <c r="AI49" s="25"/>
      <c r="AJ49" s="23"/>
      <c r="AK49" s="24"/>
      <c r="AL49" s="26"/>
      <c r="AN49" s="28"/>
    </row>
    <row r="50" spans="2:40" hidden="1" outlineLevel="1" x14ac:dyDescent="0.25">
      <c r="B50" s="2" t="s">
        <v>116</v>
      </c>
      <c r="C50" s="62"/>
      <c r="D50" s="39"/>
      <c r="E50" s="39"/>
      <c r="F50" s="39"/>
      <c r="G50" s="39"/>
      <c r="H50" s="63"/>
      <c r="I50" s="26"/>
      <c r="AB50" s="26"/>
      <c r="AH50" s="28"/>
      <c r="AI50" s="28"/>
      <c r="AJ50" s="26"/>
      <c r="AL50" s="26"/>
      <c r="AN50" s="28"/>
    </row>
    <row r="51" spans="2:40" hidden="1" outlineLevel="1" x14ac:dyDescent="0.25">
      <c r="B51" s="6" t="s">
        <v>23</v>
      </c>
      <c r="C51" s="53"/>
      <c r="D51" s="54"/>
      <c r="E51" s="54"/>
      <c r="F51" s="54"/>
      <c r="G51" s="54"/>
      <c r="H51" s="55"/>
      <c r="I51" s="73">
        <v>13985</v>
      </c>
      <c r="J51" s="74">
        <v>14864</v>
      </c>
      <c r="K51" s="74">
        <v>17181</v>
      </c>
      <c r="L51" s="74">
        <v>18316</v>
      </c>
      <c r="M51" s="74"/>
      <c r="N51" s="74">
        <v>18824</v>
      </c>
      <c r="O51" s="74">
        <v>18819</v>
      </c>
      <c r="AB51" s="26"/>
      <c r="AH51" s="28"/>
      <c r="AI51" s="28"/>
      <c r="AJ51" s="26"/>
      <c r="AL51" s="26"/>
      <c r="AN51" s="28"/>
    </row>
    <row r="52" spans="2:40" hidden="1" outlineLevel="1" x14ac:dyDescent="0.25">
      <c r="B52" s="43" t="s">
        <v>136</v>
      </c>
      <c r="C52" s="56"/>
      <c r="D52" s="57"/>
      <c r="E52" s="57"/>
      <c r="F52" s="57"/>
      <c r="G52" s="57"/>
      <c r="H52" s="58"/>
      <c r="I52" s="250">
        <f>I51/(I$33+I$46)</f>
        <v>2.0741595463990306E-2</v>
      </c>
      <c r="J52" s="228">
        <f t="shared" ref="J52:O52" si="128">J51/(J$33+J$46)</f>
        <v>2.1707889848231708E-2</v>
      </c>
      <c r="K52" s="228">
        <f t="shared" si="128"/>
        <v>1.8565865002247658E-2</v>
      </c>
      <c r="L52" s="228">
        <f t="shared" si="128"/>
        <v>1.8855221628121005E-2</v>
      </c>
      <c r="M52" s="228"/>
      <c r="N52" s="228">
        <f t="shared" si="128"/>
        <v>1.8973740762094449E-2</v>
      </c>
      <c r="O52" s="228">
        <f t="shared" si="128"/>
        <v>1.7891878632995441E-2</v>
      </c>
      <c r="AB52" s="26"/>
      <c r="AH52" s="28"/>
      <c r="AI52" s="28"/>
      <c r="AJ52" s="26"/>
      <c r="AL52" s="26"/>
      <c r="AN52" s="28"/>
    </row>
    <row r="53" spans="2:40" hidden="1" outlineLevel="1" x14ac:dyDescent="0.25">
      <c r="B53" s="43" t="s">
        <v>124</v>
      </c>
      <c r="C53" s="56"/>
      <c r="D53" s="57"/>
      <c r="E53" s="57"/>
      <c r="F53" s="57"/>
      <c r="G53" s="57"/>
      <c r="H53" s="58"/>
      <c r="I53" s="251"/>
      <c r="J53" s="252">
        <f>(J51/I51)-1</f>
        <v>6.2853056846621458E-2</v>
      </c>
      <c r="K53" s="252">
        <f t="shared" ref="K53:O53" si="129">(K51/J51)-1</f>
        <v>0.15587997847147461</v>
      </c>
      <c r="L53" s="252">
        <f t="shared" si="129"/>
        <v>6.6061346836621793E-2</v>
      </c>
      <c r="M53" s="252"/>
      <c r="N53" s="252">
        <f>(N51/L51)-1</f>
        <v>2.7735313387202476E-2</v>
      </c>
      <c r="O53" s="252">
        <f t="shared" si="129"/>
        <v>-2.6561835954097557E-4</v>
      </c>
      <c r="AB53" s="26"/>
      <c r="AH53" s="28"/>
      <c r="AI53" s="28"/>
      <c r="AJ53" s="26"/>
      <c r="AL53" s="26"/>
      <c r="AN53" s="28"/>
    </row>
    <row r="54" spans="2:40" hidden="1" outlineLevel="1" x14ac:dyDescent="0.25">
      <c r="B54" s="6" t="s">
        <v>117</v>
      </c>
      <c r="C54" s="53"/>
      <c r="D54" s="54"/>
      <c r="E54" s="54"/>
      <c r="F54" s="54"/>
      <c r="G54" s="54"/>
      <c r="H54" s="55"/>
      <c r="I54" s="73">
        <v>500</v>
      </c>
      <c r="J54" s="74">
        <v>0</v>
      </c>
      <c r="K54" s="74">
        <v>150</v>
      </c>
      <c r="L54" s="74">
        <v>50</v>
      </c>
      <c r="M54" s="74"/>
      <c r="N54" s="74">
        <v>50</v>
      </c>
      <c r="O54" s="74">
        <v>1100</v>
      </c>
      <c r="AB54" s="26"/>
      <c r="AH54" s="28"/>
      <c r="AI54" s="28"/>
      <c r="AJ54" s="26"/>
      <c r="AL54" s="26"/>
      <c r="AN54" s="28"/>
    </row>
    <row r="55" spans="2:40" hidden="1" outlineLevel="1" x14ac:dyDescent="0.25">
      <c r="B55" s="43" t="s">
        <v>136</v>
      </c>
      <c r="C55" s="56"/>
      <c r="D55" s="57"/>
      <c r="E55" s="57"/>
      <c r="F55" s="57"/>
      <c r="G55" s="57"/>
      <c r="H55" s="58"/>
      <c r="I55" s="250">
        <f>I54/(I$33+I$46)</f>
        <v>7.4156580135825191E-4</v>
      </c>
      <c r="J55" s="228">
        <f t="shared" ref="J55" si="130">J54/(J$33+J$46)</f>
        <v>0</v>
      </c>
      <c r="K55" s="228">
        <f t="shared" ref="K55" si="131">K54/(K$33+K$46)</f>
        <v>1.6209066703551299E-4</v>
      </c>
      <c r="L55" s="228">
        <f t="shared" ref="L55" si="132">L54/(L$33+L$46)</f>
        <v>5.1471996145776932E-5</v>
      </c>
      <c r="M55" s="228"/>
      <c r="N55" s="228">
        <f t="shared" ref="N55" si="133">N54/(N$33+N$46)</f>
        <v>5.0397738955839484E-5</v>
      </c>
      <c r="O55" s="228">
        <f t="shared" ref="O55" si="134">O54/(O$33+O$46)</f>
        <v>1.0458083052391194E-3</v>
      </c>
      <c r="AB55" s="26"/>
      <c r="AH55" s="28"/>
      <c r="AI55" s="28"/>
      <c r="AJ55" s="26"/>
      <c r="AL55" s="26"/>
      <c r="AN55" s="28"/>
    </row>
    <row r="56" spans="2:40" hidden="1" outlineLevel="1" x14ac:dyDescent="0.25">
      <c r="B56" s="43" t="s">
        <v>135</v>
      </c>
      <c r="C56" s="56"/>
      <c r="D56" s="57"/>
      <c r="E56" s="57"/>
      <c r="F56" s="57"/>
      <c r="G56" s="57"/>
      <c r="H56" s="58"/>
      <c r="I56" s="250">
        <f>I54/I51</f>
        <v>3.5752592062924561E-2</v>
      </c>
      <c r="J56" s="228">
        <f t="shared" ref="J56:O56" si="135">J54/J51</f>
        <v>0</v>
      </c>
      <c r="K56" s="228">
        <f t="shared" si="135"/>
        <v>8.7305744718002443E-3</v>
      </c>
      <c r="L56" s="228">
        <f t="shared" si="135"/>
        <v>2.7298536798427606E-3</v>
      </c>
      <c r="M56" s="228"/>
      <c r="N56" s="228">
        <f t="shared" si="135"/>
        <v>2.6561835954101148E-3</v>
      </c>
      <c r="O56" s="228">
        <f t="shared" si="135"/>
        <v>5.8451564907805939E-2</v>
      </c>
      <c r="AB56" s="26"/>
      <c r="AH56" s="28"/>
      <c r="AI56" s="28"/>
      <c r="AJ56" s="26"/>
      <c r="AL56" s="26"/>
      <c r="AN56" s="28"/>
    </row>
    <row r="57" spans="2:40" hidden="1" outlineLevel="1" x14ac:dyDescent="0.25">
      <c r="B57" s="43" t="s">
        <v>124</v>
      </c>
      <c r="C57" s="56"/>
      <c r="D57" s="57"/>
      <c r="E57" s="57"/>
      <c r="F57" s="57"/>
      <c r="G57" s="57"/>
      <c r="H57" s="58"/>
      <c r="I57" s="251"/>
      <c r="J57" s="252"/>
      <c r="K57" s="252"/>
      <c r="L57" s="252">
        <f>(L54/K54)-1</f>
        <v>-0.66666666666666674</v>
      </c>
      <c r="M57" s="252"/>
      <c r="N57" s="252">
        <f>(N54/L54)-1</f>
        <v>0</v>
      </c>
      <c r="O57" s="252">
        <f>(O54/N54)-1</f>
        <v>21</v>
      </c>
      <c r="AB57" s="26"/>
      <c r="AH57" s="28"/>
      <c r="AI57" s="28"/>
      <c r="AJ57" s="26"/>
      <c r="AL57" s="26"/>
      <c r="AN57" s="28"/>
    </row>
    <row r="58" spans="2:40" hidden="1" outlineLevel="1" x14ac:dyDescent="0.25">
      <c r="B58" s="6" t="s">
        <v>35</v>
      </c>
      <c r="C58" s="53"/>
      <c r="D58" s="54"/>
      <c r="E58" s="54"/>
      <c r="F58" s="54"/>
      <c r="G58" s="54"/>
      <c r="H58" s="55"/>
      <c r="I58" s="73">
        <v>3005</v>
      </c>
      <c r="J58" s="74">
        <v>3354</v>
      </c>
      <c r="K58" s="74">
        <v>4340</v>
      </c>
      <c r="L58" s="74">
        <v>4480</v>
      </c>
      <c r="M58" s="74"/>
      <c r="N58" s="74">
        <v>4300</v>
      </c>
      <c r="O58" s="74">
        <v>5187</v>
      </c>
      <c r="AB58" s="26"/>
      <c r="AH58" s="28"/>
      <c r="AI58" s="28"/>
      <c r="AJ58" s="26"/>
      <c r="AL58" s="26"/>
      <c r="AN58" s="28"/>
    </row>
    <row r="59" spans="2:40" hidden="1" outlineLevel="1" x14ac:dyDescent="0.25">
      <c r="B59" s="43" t="s">
        <v>124</v>
      </c>
      <c r="C59" s="56"/>
      <c r="D59" s="57"/>
      <c r="E59" s="57"/>
      <c r="F59" s="57"/>
      <c r="G59" s="57"/>
      <c r="H59" s="58"/>
      <c r="I59" s="251"/>
      <c r="J59" s="252">
        <f>(J58/I58)-1</f>
        <v>0.11613976705490847</v>
      </c>
      <c r="K59" s="252">
        <f t="shared" ref="K59" si="136">(K58/J58)-1</f>
        <v>0.29397734048896829</v>
      </c>
      <c r="L59" s="252">
        <f t="shared" ref="L59" si="137">(L58/K58)-1</f>
        <v>3.2258064516129004E-2</v>
      </c>
      <c r="M59" s="252"/>
      <c r="N59" s="252">
        <f>(N58/L58)-1</f>
        <v>-4.0178571428571397E-2</v>
      </c>
      <c r="O59" s="252">
        <f t="shared" ref="O59" si="138">(O58/N58)-1</f>
        <v>0.20627906976744192</v>
      </c>
      <c r="AB59" s="26"/>
      <c r="AH59" s="28"/>
      <c r="AI59" s="28"/>
      <c r="AJ59" s="26"/>
      <c r="AL59" s="26"/>
      <c r="AN59" s="28"/>
    </row>
    <row r="60" spans="2:40" hidden="1" outlineLevel="1" x14ac:dyDescent="0.25">
      <c r="B60" s="6" t="s">
        <v>118</v>
      </c>
      <c r="C60" s="53"/>
      <c r="D60" s="54"/>
      <c r="E60" s="54"/>
      <c r="F60" s="54"/>
      <c r="G60" s="54"/>
      <c r="H60" s="55"/>
      <c r="I60" s="73">
        <v>11960</v>
      </c>
      <c r="J60" s="74">
        <v>13366</v>
      </c>
      <c r="K60" s="74">
        <v>16941</v>
      </c>
      <c r="L60" s="74">
        <v>19280</v>
      </c>
      <c r="M60" s="74"/>
      <c r="N60" s="74">
        <v>17701</v>
      </c>
      <c r="O60" s="74">
        <v>19504</v>
      </c>
      <c r="AB60" s="26"/>
      <c r="AH60" s="28"/>
      <c r="AI60" s="28"/>
      <c r="AJ60" s="26"/>
      <c r="AL60" s="26"/>
      <c r="AN60" s="28"/>
    </row>
    <row r="61" spans="2:40" hidden="1" outlineLevel="1" x14ac:dyDescent="0.25">
      <c r="B61" s="43" t="s">
        <v>124</v>
      </c>
      <c r="C61" s="56"/>
      <c r="D61" s="57"/>
      <c r="E61" s="57"/>
      <c r="F61" s="57"/>
      <c r="G61" s="57"/>
      <c r="H61" s="58"/>
      <c r="I61" s="251"/>
      <c r="J61" s="252">
        <f>(J60/I60)-1</f>
        <v>0.11755852842809356</v>
      </c>
      <c r="K61" s="252">
        <f t="shared" ref="K61" si="139">(K60/J60)-1</f>
        <v>0.2674696992368697</v>
      </c>
      <c r="L61" s="252">
        <f t="shared" ref="L61" si="140">(L60/K60)-1</f>
        <v>0.13806741042441417</v>
      </c>
      <c r="M61" s="252"/>
      <c r="N61" s="252">
        <f>(N60/L60)-1</f>
        <v>-8.1898340248962698E-2</v>
      </c>
      <c r="O61" s="252">
        <f t="shared" ref="O61" si="141">(O60/N60)-1</f>
        <v>0.10185865205355626</v>
      </c>
      <c r="AB61" s="26"/>
      <c r="AH61" s="28"/>
      <c r="AI61" s="28"/>
      <c r="AJ61" s="26"/>
      <c r="AL61" s="26"/>
      <c r="AN61" s="28"/>
    </row>
    <row r="62" spans="2:40" hidden="1" outlineLevel="1" x14ac:dyDescent="0.25">
      <c r="B62" s="6" t="s">
        <v>119</v>
      </c>
      <c r="C62" s="53"/>
      <c r="D62" s="54"/>
      <c r="E62" s="54"/>
      <c r="F62" s="54"/>
      <c r="G62" s="54"/>
      <c r="H62" s="55"/>
      <c r="I62" s="73">
        <v>1160</v>
      </c>
      <c r="J62" s="74">
        <v>1241</v>
      </c>
      <c r="K62" s="74">
        <v>434</v>
      </c>
      <c r="L62" s="74">
        <v>475</v>
      </c>
      <c r="M62" s="74"/>
      <c r="N62" s="74">
        <v>900</v>
      </c>
      <c r="O62" s="74">
        <v>227</v>
      </c>
      <c r="AB62" s="26"/>
      <c r="AH62" s="28"/>
      <c r="AI62" s="28"/>
      <c r="AJ62" s="26"/>
      <c r="AL62" s="26"/>
      <c r="AN62" s="28"/>
    </row>
    <row r="63" spans="2:40" hidden="1" outlineLevel="1" x14ac:dyDescent="0.25">
      <c r="B63" s="43" t="s">
        <v>124</v>
      </c>
      <c r="C63" s="56"/>
      <c r="D63" s="57"/>
      <c r="E63" s="57"/>
      <c r="F63" s="57"/>
      <c r="G63" s="57"/>
      <c r="H63" s="58"/>
      <c r="I63" s="251"/>
      <c r="J63" s="252">
        <f>(J62/I62)-1</f>
        <v>6.9827586206896441E-2</v>
      </c>
      <c r="K63" s="252">
        <f t="shared" ref="K63" si="142">(K62/J62)-1</f>
        <v>-0.6502820306204673</v>
      </c>
      <c r="L63" s="252">
        <f t="shared" ref="L63" si="143">(L62/K62)-1</f>
        <v>9.4470046082949288E-2</v>
      </c>
      <c r="M63" s="252"/>
      <c r="N63" s="252">
        <f>(N62/L62)-1</f>
        <v>0.89473684210526305</v>
      </c>
      <c r="O63" s="252">
        <f t="shared" ref="O63" si="144">(O62/N62)-1</f>
        <v>-0.74777777777777776</v>
      </c>
      <c r="AB63" s="26"/>
      <c r="AH63" s="28"/>
      <c r="AI63" s="28"/>
      <c r="AJ63" s="26"/>
      <c r="AL63" s="26"/>
      <c r="AN63" s="28"/>
    </row>
    <row r="64" spans="2:40" hidden="1" outlineLevel="1" x14ac:dyDescent="0.25">
      <c r="B64" s="12" t="s">
        <v>120</v>
      </c>
      <c r="C64" s="64"/>
      <c r="D64" s="65"/>
      <c r="E64" s="65"/>
      <c r="F64" s="65"/>
      <c r="G64" s="65"/>
      <c r="H64" s="66"/>
      <c r="I64" s="31">
        <f>I51-I54+I58-I60-I62</f>
        <v>3370</v>
      </c>
      <c r="J64" s="81">
        <f>J51-J54+J58-J60-J62</f>
        <v>3611</v>
      </c>
      <c r="K64" s="81">
        <f>K51-K54+K58-K60-K62</f>
        <v>3996</v>
      </c>
      <c r="L64" s="81">
        <f>L51-L54+L58-L60-L62</f>
        <v>2991</v>
      </c>
      <c r="M64" s="81"/>
      <c r="N64" s="81">
        <v>3175</v>
      </c>
      <c r="O64" s="81">
        <f>O51-O54+O58-O60-O62</f>
        <v>3175</v>
      </c>
      <c r="AB64" s="26"/>
      <c r="AH64" s="28"/>
      <c r="AI64" s="28"/>
      <c r="AJ64" s="26"/>
      <c r="AL64" s="26"/>
      <c r="AN64" s="28"/>
    </row>
    <row r="65" spans="2:40" hidden="1" outlineLevel="1" x14ac:dyDescent="0.25">
      <c r="B65" s="43" t="s">
        <v>124</v>
      </c>
      <c r="C65" s="56"/>
      <c r="D65" s="57"/>
      <c r="E65" s="57"/>
      <c r="F65" s="57"/>
      <c r="G65" s="57"/>
      <c r="H65" s="58"/>
      <c r="I65" s="251"/>
      <c r="J65" s="252">
        <f>(J64/I64)-1</f>
        <v>7.1513353115727041E-2</v>
      </c>
      <c r="K65" s="252">
        <f t="shared" ref="K65" si="145">(K64/J64)-1</f>
        <v>0.10661866518969809</v>
      </c>
      <c r="L65" s="252">
        <f t="shared" ref="L65" si="146">(L64/K64)-1</f>
        <v>-0.25150150150150152</v>
      </c>
      <c r="M65" s="252"/>
      <c r="N65" s="252">
        <f>(N64/L64)-1</f>
        <v>6.1517886994316262E-2</v>
      </c>
      <c r="O65" s="252">
        <f t="shared" ref="O65" si="147">(O64/N64)-1</f>
        <v>0</v>
      </c>
      <c r="AB65" s="26"/>
      <c r="AH65" s="28"/>
      <c r="AI65" s="28"/>
      <c r="AJ65" s="26"/>
      <c r="AL65" s="26"/>
      <c r="AN65" s="28"/>
    </row>
    <row r="66" spans="2:40" hidden="1" outlineLevel="1" x14ac:dyDescent="0.25">
      <c r="B66" s="6" t="s">
        <v>123</v>
      </c>
      <c r="C66" s="53"/>
      <c r="D66" s="54"/>
      <c r="E66" s="54"/>
      <c r="F66" s="54"/>
      <c r="G66" s="54"/>
      <c r="H66" s="55"/>
      <c r="I66" s="73">
        <v>291</v>
      </c>
      <c r="J66" s="74">
        <v>294</v>
      </c>
      <c r="K66" s="74">
        <v>417</v>
      </c>
      <c r="L66" s="74">
        <v>400</v>
      </c>
      <c r="M66" s="74"/>
      <c r="N66" s="74">
        <v>404</v>
      </c>
      <c r="O66" s="74">
        <v>396</v>
      </c>
      <c r="AB66" s="26"/>
      <c r="AH66" s="28"/>
      <c r="AI66" s="28"/>
      <c r="AJ66" s="26"/>
      <c r="AL66" s="26"/>
      <c r="AN66" s="28"/>
    </row>
    <row r="67" spans="2:40" hidden="1" outlineLevel="1" x14ac:dyDescent="0.25">
      <c r="B67" s="8" t="s">
        <v>121</v>
      </c>
      <c r="C67" s="67"/>
      <c r="D67" s="8"/>
      <c r="E67" s="8"/>
      <c r="F67" s="8"/>
      <c r="G67" s="8"/>
      <c r="H67" s="68"/>
      <c r="I67" s="253"/>
      <c r="J67" s="41"/>
      <c r="K67" s="41"/>
      <c r="L67" s="41"/>
      <c r="M67" s="41"/>
      <c r="N67" s="41"/>
      <c r="O67" s="41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42"/>
      <c r="AC67" s="9"/>
      <c r="AD67" s="9"/>
      <c r="AE67" s="9"/>
      <c r="AF67" s="9"/>
      <c r="AG67" s="9"/>
      <c r="AH67" s="29"/>
      <c r="AI67" s="29"/>
      <c r="AJ67" s="42"/>
      <c r="AK67" s="9"/>
      <c r="AL67" s="26"/>
      <c r="AN67" s="28"/>
    </row>
    <row r="68" spans="2:40" hidden="1" outlineLevel="1" x14ac:dyDescent="0.25">
      <c r="B68" s="6" t="s">
        <v>23</v>
      </c>
      <c r="C68" s="53"/>
      <c r="D68" s="54"/>
      <c r="E68" s="54"/>
      <c r="F68" s="54"/>
      <c r="G68" s="54"/>
      <c r="H68" s="55"/>
      <c r="I68" s="73">
        <v>168</v>
      </c>
      <c r="J68" s="74">
        <v>123</v>
      </c>
      <c r="K68" s="74">
        <v>138</v>
      </c>
      <c r="L68" s="74">
        <v>114</v>
      </c>
      <c r="M68" s="74"/>
      <c r="N68" s="74">
        <v>71</v>
      </c>
      <c r="O68" s="74">
        <v>57</v>
      </c>
      <c r="AB68" s="26"/>
      <c r="AH68" s="28"/>
      <c r="AI68" s="28"/>
      <c r="AJ68" s="26"/>
      <c r="AL68" s="26"/>
      <c r="AN68" s="28"/>
    </row>
    <row r="69" spans="2:40" hidden="1" outlineLevel="1" x14ac:dyDescent="0.25">
      <c r="B69" s="43" t="s">
        <v>137</v>
      </c>
      <c r="C69" s="56"/>
      <c r="D69" s="57"/>
      <c r="E69" s="57"/>
      <c r="F69" s="57"/>
      <c r="G69" s="57"/>
      <c r="H69" s="58"/>
      <c r="I69" s="250">
        <f>I68/I40</f>
        <v>9.4270275123308888E-4</v>
      </c>
      <c r="J69" s="228">
        <f t="shared" ref="J69:O69" si="148">J68/J40</f>
        <v>7.2279386271617704E-4</v>
      </c>
      <c r="K69" s="228">
        <f t="shared" si="148"/>
        <v>6.3237774030354128E-4</v>
      </c>
      <c r="L69" s="228">
        <f t="shared" si="148"/>
        <v>5.3640243357314598E-4</v>
      </c>
      <c r="M69" s="228"/>
      <c r="N69" s="228">
        <f t="shared" si="148"/>
        <v>3.4186223433452424E-4</v>
      </c>
      <c r="O69" s="228">
        <f t="shared" si="148"/>
        <v>2.6365818797441127E-4</v>
      </c>
      <c r="AB69" s="26"/>
      <c r="AH69" s="28"/>
      <c r="AI69" s="28"/>
      <c r="AJ69" s="26"/>
      <c r="AL69" s="26"/>
      <c r="AN69" s="28"/>
    </row>
    <row r="70" spans="2:40" hidden="1" outlineLevel="1" x14ac:dyDescent="0.25">
      <c r="B70" s="43" t="s">
        <v>124</v>
      </c>
      <c r="C70" s="56"/>
      <c r="D70" s="57"/>
      <c r="E70" s="57"/>
      <c r="F70" s="57"/>
      <c r="G70" s="57"/>
      <c r="H70" s="58"/>
      <c r="I70" s="251"/>
      <c r="J70" s="252">
        <f>(J68/I68)-1</f>
        <v>-0.2678571428571429</v>
      </c>
      <c r="K70" s="252">
        <f t="shared" ref="K70" si="149">(K68/J68)-1</f>
        <v>0.12195121951219523</v>
      </c>
      <c r="L70" s="252">
        <f t="shared" ref="L70" si="150">(L68/K68)-1</f>
        <v>-0.17391304347826086</v>
      </c>
      <c r="M70" s="252"/>
      <c r="N70" s="252">
        <f>(N68/L68)-1</f>
        <v>-0.3771929824561403</v>
      </c>
      <c r="O70" s="252">
        <f t="shared" ref="O70" si="151">(O68/N68)-1</f>
        <v>-0.19718309859154926</v>
      </c>
      <c r="AB70" s="26"/>
      <c r="AH70" s="28"/>
      <c r="AI70" s="28"/>
      <c r="AJ70" s="26"/>
      <c r="AL70" s="26"/>
      <c r="AN70" s="28"/>
    </row>
    <row r="71" spans="2:40" hidden="1" outlineLevel="1" x14ac:dyDescent="0.25">
      <c r="B71" s="6" t="s">
        <v>117</v>
      </c>
      <c r="C71" s="53"/>
      <c r="D71" s="54"/>
      <c r="E71" s="54"/>
      <c r="F71" s="54"/>
      <c r="G71" s="54"/>
      <c r="H71" s="55"/>
      <c r="I71" s="73">
        <v>0</v>
      </c>
      <c r="J71" s="74">
        <v>0</v>
      </c>
      <c r="K71" s="74">
        <v>0</v>
      </c>
      <c r="L71" s="74">
        <v>0</v>
      </c>
      <c r="M71" s="74"/>
      <c r="N71" s="74">
        <v>0</v>
      </c>
      <c r="O71" s="74">
        <v>0</v>
      </c>
      <c r="AB71" s="26"/>
      <c r="AH71" s="28"/>
      <c r="AI71" s="28"/>
      <c r="AJ71" s="26"/>
      <c r="AL71" s="26"/>
      <c r="AN71" s="28"/>
    </row>
    <row r="72" spans="2:40" hidden="1" outlineLevel="1" x14ac:dyDescent="0.25">
      <c r="B72" s="6" t="s">
        <v>35</v>
      </c>
      <c r="C72" s="53"/>
      <c r="D72" s="54"/>
      <c r="E72" s="54"/>
      <c r="F72" s="54"/>
      <c r="G72" s="54"/>
      <c r="H72" s="55"/>
      <c r="I72" s="73">
        <v>3986</v>
      </c>
      <c r="J72" s="74">
        <v>2997</v>
      </c>
      <c r="K72" s="74">
        <v>3104</v>
      </c>
      <c r="L72" s="74">
        <v>3102</v>
      </c>
      <c r="M72" s="74"/>
      <c r="N72" s="74">
        <v>2912</v>
      </c>
      <c r="O72" s="74">
        <v>2736</v>
      </c>
      <c r="AB72" s="26"/>
      <c r="AH72" s="28"/>
      <c r="AI72" s="28"/>
      <c r="AJ72" s="26"/>
      <c r="AL72" s="26"/>
      <c r="AN72" s="28"/>
    </row>
    <row r="73" spans="2:40" hidden="1" outlineLevel="1" x14ac:dyDescent="0.25">
      <c r="B73" s="43" t="s">
        <v>124</v>
      </c>
      <c r="C73" s="56"/>
      <c r="D73" s="57"/>
      <c r="E73" s="57"/>
      <c r="F73" s="57"/>
      <c r="G73" s="57"/>
      <c r="H73" s="58"/>
      <c r="I73" s="251"/>
      <c r="J73" s="252">
        <f>(J72/I72)-1</f>
        <v>-0.24811841445057703</v>
      </c>
      <c r="K73" s="252">
        <f t="shared" ref="K73" si="152">(K72/J72)-1</f>
        <v>3.5702369035702342E-2</v>
      </c>
      <c r="L73" s="252">
        <f t="shared" ref="L73" si="153">(L72/K72)-1</f>
        <v>-6.4432989690721421E-4</v>
      </c>
      <c r="M73" s="252"/>
      <c r="N73" s="252">
        <f>(N72/L72)-1</f>
        <v>-6.1250805931656993E-2</v>
      </c>
      <c r="O73" s="252">
        <f t="shared" ref="O73" si="154">(O72/N72)-1</f>
        <v>-6.0439560439560447E-2</v>
      </c>
      <c r="AB73" s="26"/>
      <c r="AH73" s="28"/>
      <c r="AI73" s="28"/>
      <c r="AJ73" s="26"/>
      <c r="AL73" s="26"/>
      <c r="AN73" s="28"/>
    </row>
    <row r="74" spans="2:40" hidden="1" outlineLevel="1" x14ac:dyDescent="0.25">
      <c r="B74" s="6" t="s">
        <v>118</v>
      </c>
      <c r="C74" s="53"/>
      <c r="D74" s="54"/>
      <c r="E74" s="54"/>
      <c r="F74" s="54"/>
      <c r="G74" s="54"/>
      <c r="H74" s="55"/>
      <c r="I74" s="73">
        <v>2793</v>
      </c>
      <c r="J74" s="74">
        <v>2887</v>
      </c>
      <c r="K74" s="74">
        <v>2765</v>
      </c>
      <c r="L74" s="74">
        <v>2869</v>
      </c>
      <c r="M74" s="74"/>
      <c r="N74" s="74">
        <v>2711</v>
      </c>
      <c r="O74" s="74">
        <v>2799</v>
      </c>
      <c r="AB74" s="26"/>
      <c r="AH74" s="28"/>
      <c r="AI74" s="28"/>
      <c r="AJ74" s="26"/>
      <c r="AL74" s="26"/>
      <c r="AN74" s="28"/>
    </row>
    <row r="75" spans="2:40" hidden="1" outlineLevel="1" x14ac:dyDescent="0.25">
      <c r="B75" s="43" t="s">
        <v>124</v>
      </c>
      <c r="C75" s="56"/>
      <c r="D75" s="57"/>
      <c r="E75" s="57"/>
      <c r="F75" s="57"/>
      <c r="G75" s="57"/>
      <c r="H75" s="58"/>
      <c r="I75" s="251"/>
      <c r="J75" s="252">
        <f>(J74/I74)-1</f>
        <v>3.365556749015397E-2</v>
      </c>
      <c r="K75" s="252">
        <f t="shared" ref="K75" si="155">(K74/J74)-1</f>
        <v>-4.225839972289569E-2</v>
      </c>
      <c r="L75" s="252">
        <f t="shared" ref="L75" si="156">(L74/K74)-1</f>
        <v>3.7613019891501009E-2</v>
      </c>
      <c r="M75" s="252"/>
      <c r="N75" s="252">
        <f>(N74/L74)-1</f>
        <v>-5.5071453468107379E-2</v>
      </c>
      <c r="O75" s="252">
        <f t="shared" ref="O75" si="157">(O74/N74)-1</f>
        <v>3.2460346735522005E-2</v>
      </c>
      <c r="AB75" s="26"/>
      <c r="AH75" s="28"/>
      <c r="AI75" s="28"/>
      <c r="AJ75" s="26"/>
      <c r="AL75" s="26"/>
      <c r="AN75" s="28"/>
    </row>
    <row r="76" spans="2:40" hidden="1" outlineLevel="1" x14ac:dyDescent="0.25">
      <c r="B76" s="6" t="s">
        <v>119</v>
      </c>
      <c r="C76" s="53"/>
      <c r="D76" s="54"/>
      <c r="E76" s="54"/>
      <c r="F76" s="54"/>
      <c r="G76" s="54"/>
      <c r="H76" s="55"/>
      <c r="I76" s="73">
        <v>354</v>
      </c>
      <c r="J76" s="74">
        <v>60</v>
      </c>
      <c r="K76" s="74">
        <v>-290</v>
      </c>
      <c r="L76" s="74">
        <v>334</v>
      </c>
      <c r="M76" s="74"/>
      <c r="N76" s="74">
        <v>101</v>
      </c>
      <c r="O76" s="74">
        <v>-7</v>
      </c>
      <c r="AB76" s="26"/>
      <c r="AH76" s="28"/>
      <c r="AI76" s="28"/>
      <c r="AJ76" s="26"/>
      <c r="AL76" s="26"/>
      <c r="AN76" s="28"/>
    </row>
    <row r="77" spans="2:40" hidden="1" outlineLevel="1" x14ac:dyDescent="0.25">
      <c r="B77" s="43" t="s">
        <v>124</v>
      </c>
      <c r="C77" s="56"/>
      <c r="D77" s="57"/>
      <c r="E77" s="57"/>
      <c r="F77" s="57"/>
      <c r="G77" s="57"/>
      <c r="H77" s="58"/>
      <c r="I77" s="251"/>
      <c r="J77" s="252">
        <f>(J76/I76)-1</f>
        <v>-0.83050847457627119</v>
      </c>
      <c r="K77" s="252">
        <f t="shared" ref="K77" si="158">(K76/J76)-1</f>
        <v>-5.833333333333333</v>
      </c>
      <c r="L77" s="252">
        <f t="shared" ref="L77" si="159">(L76/K76)-1</f>
        <v>-2.1517241379310343</v>
      </c>
      <c r="M77" s="252"/>
      <c r="N77" s="252">
        <f>(N76/L76)-1</f>
        <v>-0.69760479041916168</v>
      </c>
      <c r="O77" s="252">
        <f t="shared" ref="O77" si="160">(O76/N76)-1</f>
        <v>-1.0693069306930694</v>
      </c>
      <c r="AB77" s="26"/>
      <c r="AH77" s="28"/>
      <c r="AI77" s="28"/>
      <c r="AJ77" s="26"/>
      <c r="AL77" s="26"/>
      <c r="AN77" s="28"/>
    </row>
    <row r="78" spans="2:40" hidden="1" outlineLevel="1" x14ac:dyDescent="0.25">
      <c r="B78" s="12" t="s">
        <v>120</v>
      </c>
      <c r="C78" s="64"/>
      <c r="D78" s="65"/>
      <c r="E78" s="65"/>
      <c r="F78" s="65"/>
      <c r="G78" s="65"/>
      <c r="H78" s="66"/>
      <c r="I78" s="31">
        <f>I68-I71+I72-I74-I76</f>
        <v>1007</v>
      </c>
      <c r="J78" s="81">
        <f>J68-J71+J72-J74-J76</f>
        <v>173</v>
      </c>
      <c r="K78" s="39">
        <f>K68-K71+K72-K74-K76</f>
        <v>767</v>
      </c>
      <c r="L78" s="81">
        <f>L68-L71+L72-L74-L76</f>
        <v>13</v>
      </c>
      <c r="M78" s="81"/>
      <c r="N78" s="81">
        <v>1</v>
      </c>
      <c r="O78" s="81">
        <f>O68-O71+O72-O74-O76</f>
        <v>1</v>
      </c>
      <c r="AB78" s="26"/>
      <c r="AH78" s="28"/>
      <c r="AI78" s="28"/>
      <c r="AJ78" s="26"/>
      <c r="AL78" s="26"/>
      <c r="AN78" s="28"/>
    </row>
    <row r="79" spans="2:40" hidden="1" outlineLevel="1" x14ac:dyDescent="0.25">
      <c r="B79" s="43" t="s">
        <v>124</v>
      </c>
      <c r="C79" s="56"/>
      <c r="D79" s="57"/>
      <c r="E79" s="57"/>
      <c r="F79" s="57"/>
      <c r="G79" s="57"/>
      <c r="H79" s="58"/>
      <c r="I79" s="251"/>
      <c r="J79" s="252">
        <f>(J78/I78)-1</f>
        <v>-0.82820258192651441</v>
      </c>
      <c r="K79" s="252">
        <f t="shared" ref="K79" si="161">(K78/J78)-1</f>
        <v>3.4335260115606934</v>
      </c>
      <c r="L79" s="252">
        <f t="shared" ref="L79" si="162">(L78/K78)-1</f>
        <v>-0.98305084745762716</v>
      </c>
      <c r="M79" s="252"/>
      <c r="N79" s="252">
        <f>(N78/L78)-1</f>
        <v>-0.92307692307692313</v>
      </c>
      <c r="O79" s="252">
        <f t="shared" ref="O79" si="163">(O78/N78)-1</f>
        <v>0</v>
      </c>
      <c r="AB79" s="26"/>
      <c r="AH79" s="28"/>
      <c r="AI79" s="28"/>
      <c r="AJ79" s="26"/>
      <c r="AL79" s="26"/>
      <c r="AN79" s="28"/>
    </row>
    <row r="80" spans="2:40" hidden="1" outlineLevel="1" x14ac:dyDescent="0.25">
      <c r="B80" s="6" t="s">
        <v>123</v>
      </c>
      <c r="C80" s="53"/>
      <c r="D80" s="54"/>
      <c r="E80" s="54"/>
      <c r="F80" s="54"/>
      <c r="G80" s="54"/>
      <c r="H80" s="55"/>
      <c r="I80" s="73">
        <v>51</v>
      </c>
      <c r="J80" s="74">
        <v>53</v>
      </c>
      <c r="K80" s="74">
        <v>53</v>
      </c>
      <c r="L80" s="74">
        <v>55</v>
      </c>
      <c r="M80" s="74"/>
      <c r="N80" s="74">
        <v>62</v>
      </c>
      <c r="O80" s="74">
        <v>59</v>
      </c>
      <c r="AB80" s="26"/>
      <c r="AH80" s="28"/>
      <c r="AI80" s="28"/>
      <c r="AJ80" s="26"/>
      <c r="AL80" s="26"/>
      <c r="AN80" s="28"/>
    </row>
    <row r="81" spans="2:40" hidden="1" outlineLevel="1" x14ac:dyDescent="0.25">
      <c r="B81" s="8" t="s">
        <v>122</v>
      </c>
      <c r="C81" s="67"/>
      <c r="D81" s="8"/>
      <c r="E81" s="8"/>
      <c r="F81" s="8"/>
      <c r="G81" s="8"/>
      <c r="H81" s="68"/>
      <c r="I81" s="253"/>
      <c r="J81" s="41"/>
      <c r="K81" s="41"/>
      <c r="L81" s="41"/>
      <c r="M81" s="41"/>
      <c r="N81" s="41"/>
      <c r="O81" s="41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42"/>
      <c r="AC81" s="9"/>
      <c r="AD81" s="9"/>
      <c r="AE81" s="9"/>
      <c r="AF81" s="9"/>
      <c r="AG81" s="9"/>
      <c r="AH81" s="29"/>
      <c r="AI81" s="29"/>
      <c r="AJ81" s="42"/>
      <c r="AK81" s="9"/>
      <c r="AL81" s="26"/>
      <c r="AN81" s="28"/>
    </row>
    <row r="82" spans="2:40" hidden="1" outlineLevel="1" x14ac:dyDescent="0.25">
      <c r="B82" s="6" t="s">
        <v>23</v>
      </c>
      <c r="C82" s="53"/>
      <c r="D82" s="54"/>
      <c r="E82" s="54"/>
      <c r="F82" s="54"/>
      <c r="G82" s="54"/>
      <c r="H82" s="55"/>
      <c r="I82" s="73">
        <v>130</v>
      </c>
      <c r="J82" s="74">
        <v>82</v>
      </c>
      <c r="K82" s="74">
        <v>549</v>
      </c>
      <c r="L82" s="74">
        <v>592</v>
      </c>
      <c r="M82" s="74"/>
      <c r="N82" s="74">
        <v>293</v>
      </c>
      <c r="O82" s="74">
        <v>291</v>
      </c>
      <c r="AB82" s="26"/>
      <c r="AH82" s="28"/>
      <c r="AI82" s="28"/>
      <c r="AJ82" s="26"/>
      <c r="AL82" s="26"/>
      <c r="AN82" s="28"/>
    </row>
    <row r="83" spans="2:40" hidden="1" outlineLevel="1" x14ac:dyDescent="0.25">
      <c r="B83" s="43" t="s">
        <v>138</v>
      </c>
      <c r="C83" s="56"/>
      <c r="D83" s="57"/>
      <c r="E83" s="57"/>
      <c r="F83" s="57"/>
      <c r="G83" s="57"/>
      <c r="H83" s="58"/>
      <c r="I83" s="250">
        <f>I82/I40</f>
        <v>7.2947236702560446E-4</v>
      </c>
      <c r="J83" s="228">
        <f t="shared" ref="J83:O83" si="164">J82/J40</f>
        <v>4.8186257514411804E-4</v>
      </c>
      <c r="K83" s="228">
        <f t="shared" si="164"/>
        <v>2.5157636190336536E-3</v>
      </c>
      <c r="L83" s="228">
        <f t="shared" si="164"/>
        <v>2.7855284269763373E-3</v>
      </c>
      <c r="M83" s="228"/>
      <c r="N83" s="228">
        <f t="shared" si="164"/>
        <v>1.4107835867607831E-3</v>
      </c>
      <c r="O83" s="228">
        <f t="shared" si="164"/>
        <v>1.346044433343047E-3</v>
      </c>
      <c r="AB83" s="26"/>
      <c r="AH83" s="28"/>
      <c r="AI83" s="28"/>
      <c r="AJ83" s="26"/>
      <c r="AL83" s="26"/>
      <c r="AN83" s="28"/>
    </row>
    <row r="84" spans="2:40" hidden="1" outlineLevel="1" x14ac:dyDescent="0.25">
      <c r="B84" s="43" t="s">
        <v>124</v>
      </c>
      <c r="C84" s="56"/>
      <c r="D84" s="57"/>
      <c r="E84" s="57"/>
      <c r="F84" s="57"/>
      <c r="G84" s="57"/>
      <c r="H84" s="58"/>
      <c r="I84" s="251"/>
      <c r="J84" s="252">
        <f>(J82/I82)-1</f>
        <v>-0.36923076923076925</v>
      </c>
      <c r="K84" s="252">
        <f t="shared" ref="K84" si="165">(K82/J82)-1</f>
        <v>5.6951219512195124</v>
      </c>
      <c r="L84" s="252">
        <f t="shared" ref="L84" si="166">(L82/K82)-1</f>
        <v>7.8324225865209485E-2</v>
      </c>
      <c r="M84" s="252"/>
      <c r="N84" s="252">
        <f>(N82/L82)-1</f>
        <v>-0.50506756756756754</v>
      </c>
      <c r="O84" s="252">
        <f t="shared" ref="O84" si="167">(O82/N82)-1</f>
        <v>-6.8259385665528916E-3</v>
      </c>
      <c r="AB84" s="26"/>
      <c r="AH84" s="28"/>
      <c r="AI84" s="28"/>
      <c r="AJ84" s="26"/>
      <c r="AL84" s="26"/>
      <c r="AN84" s="28"/>
    </row>
    <row r="85" spans="2:40" hidden="1" outlineLevel="1" x14ac:dyDescent="0.25">
      <c r="B85" s="6" t="s">
        <v>117</v>
      </c>
      <c r="C85" s="53"/>
      <c r="D85" s="54"/>
      <c r="E85" s="54"/>
      <c r="F85" s="54"/>
      <c r="G85" s="54"/>
      <c r="H85" s="55"/>
      <c r="I85" s="73">
        <v>0</v>
      </c>
      <c r="J85" s="74">
        <v>0</v>
      </c>
      <c r="K85" s="74">
        <v>0</v>
      </c>
      <c r="L85" s="74">
        <v>0</v>
      </c>
      <c r="M85" s="74"/>
      <c r="N85" s="74">
        <v>0</v>
      </c>
      <c r="O85" s="74">
        <v>0</v>
      </c>
      <c r="AB85" s="26"/>
      <c r="AH85" s="28"/>
      <c r="AI85" s="28"/>
      <c r="AJ85" s="26"/>
      <c r="AL85" s="26"/>
      <c r="AN85" s="28"/>
    </row>
    <row r="86" spans="2:40" hidden="1" outlineLevel="1" x14ac:dyDescent="0.25">
      <c r="B86" s="6" t="s">
        <v>35</v>
      </c>
      <c r="C86" s="53"/>
      <c r="D86" s="54"/>
      <c r="E86" s="54"/>
      <c r="F86" s="54"/>
      <c r="G86" s="54"/>
      <c r="H86" s="55"/>
      <c r="I86" s="73">
        <v>1585</v>
      </c>
      <c r="J86" s="74">
        <v>1400</v>
      </c>
      <c r="K86" s="74">
        <v>1994</v>
      </c>
      <c r="L86" s="74">
        <v>3233</v>
      </c>
      <c r="M86" s="74"/>
      <c r="N86" s="74">
        <v>1940</v>
      </c>
      <c r="O86" s="74">
        <v>2135</v>
      </c>
      <c r="AB86" s="26"/>
      <c r="AH86" s="28"/>
      <c r="AI86" s="28"/>
      <c r="AJ86" s="26"/>
      <c r="AL86" s="26"/>
      <c r="AN86" s="28"/>
    </row>
    <row r="87" spans="2:40" hidden="1" outlineLevel="1" x14ac:dyDescent="0.25">
      <c r="B87" s="43" t="s">
        <v>124</v>
      </c>
      <c r="C87" s="56"/>
      <c r="D87" s="57"/>
      <c r="E87" s="57"/>
      <c r="F87" s="57"/>
      <c r="G87" s="57"/>
      <c r="H87" s="58"/>
      <c r="I87" s="251"/>
      <c r="J87" s="252">
        <f>(J86/I86)-1</f>
        <v>-0.11671924290220825</v>
      </c>
      <c r="K87" s="252">
        <f t="shared" ref="K87" si="168">(K86/J86)-1</f>
        <v>0.42428571428571438</v>
      </c>
      <c r="L87" s="252">
        <f t="shared" ref="L87" si="169">(L86/K86)-1</f>
        <v>0.62136409227683043</v>
      </c>
      <c r="M87" s="252"/>
      <c r="N87" s="252">
        <f>(N86/L86)-1</f>
        <v>-0.39993813795236621</v>
      </c>
      <c r="O87" s="252">
        <f t="shared" ref="O87" si="170">(O86/N86)-1</f>
        <v>0.10051546391752586</v>
      </c>
      <c r="AB87" s="26"/>
      <c r="AH87" s="28"/>
      <c r="AI87" s="28"/>
      <c r="AJ87" s="26"/>
      <c r="AL87" s="26"/>
      <c r="AN87" s="28"/>
    </row>
    <row r="88" spans="2:40" hidden="1" outlineLevel="1" x14ac:dyDescent="0.25">
      <c r="B88" s="6" t="s">
        <v>118</v>
      </c>
      <c r="C88" s="53"/>
      <c r="D88" s="54"/>
      <c r="E88" s="54"/>
      <c r="F88" s="54"/>
      <c r="G88" s="54"/>
      <c r="H88" s="55"/>
      <c r="I88" s="73">
        <v>1029</v>
      </c>
      <c r="J88" s="74">
        <v>1212</v>
      </c>
      <c r="K88" s="74">
        <v>1505</v>
      </c>
      <c r="L88" s="74">
        <v>2363</v>
      </c>
      <c r="M88" s="74"/>
      <c r="N88" s="74">
        <v>1393</v>
      </c>
      <c r="O88" s="74">
        <v>2173</v>
      </c>
      <c r="AB88" s="26"/>
      <c r="AH88" s="28"/>
      <c r="AI88" s="28"/>
      <c r="AJ88" s="26"/>
      <c r="AL88" s="26"/>
      <c r="AN88" s="28"/>
    </row>
    <row r="89" spans="2:40" hidden="1" outlineLevel="1" x14ac:dyDescent="0.25">
      <c r="B89" s="43" t="s">
        <v>124</v>
      </c>
      <c r="C89" s="56"/>
      <c r="D89" s="57"/>
      <c r="E89" s="57"/>
      <c r="F89" s="57"/>
      <c r="G89" s="57"/>
      <c r="H89" s="58"/>
      <c r="I89" s="251"/>
      <c r="J89" s="252">
        <f>(J88/I88)-1</f>
        <v>0.17784256559766765</v>
      </c>
      <c r="K89" s="252">
        <f t="shared" ref="K89" si="171">(K88/J88)-1</f>
        <v>0.24174917491749182</v>
      </c>
      <c r="L89" s="252">
        <f t="shared" ref="L89" si="172">(L88/K88)-1</f>
        <v>0.57009966777408638</v>
      </c>
      <c r="M89" s="252"/>
      <c r="N89" s="252">
        <f>(N88/L88)-1</f>
        <v>-0.41049513330512066</v>
      </c>
      <c r="O89" s="252">
        <f t="shared" ref="O89" si="173">(O88/N88)-1</f>
        <v>0.55994256999282133</v>
      </c>
      <c r="AB89" s="26"/>
      <c r="AH89" s="28"/>
      <c r="AI89" s="28"/>
      <c r="AJ89" s="26"/>
      <c r="AL89" s="26"/>
      <c r="AN89" s="28"/>
    </row>
    <row r="90" spans="2:40" hidden="1" outlineLevel="1" x14ac:dyDescent="0.25">
      <c r="B90" s="6" t="s">
        <v>119</v>
      </c>
      <c r="C90" s="53"/>
      <c r="D90" s="54"/>
      <c r="E90" s="54"/>
      <c r="F90" s="54"/>
      <c r="G90" s="54"/>
      <c r="H90" s="55"/>
      <c r="I90" s="73">
        <v>144</v>
      </c>
      <c r="J90" s="74">
        <v>57</v>
      </c>
      <c r="K90" s="74">
        <v>218</v>
      </c>
      <c r="L90" s="74">
        <v>307</v>
      </c>
      <c r="M90" s="74"/>
      <c r="N90" s="74">
        <v>160</v>
      </c>
      <c r="O90" s="74">
        <v>14</v>
      </c>
      <c r="AB90" s="26"/>
      <c r="AH90" s="28"/>
      <c r="AI90" s="28"/>
      <c r="AJ90" s="26"/>
      <c r="AL90" s="26"/>
      <c r="AN90" s="28"/>
    </row>
    <row r="91" spans="2:40" hidden="1" outlineLevel="1" x14ac:dyDescent="0.25">
      <c r="B91" s="43" t="s">
        <v>124</v>
      </c>
      <c r="C91" s="56"/>
      <c r="D91" s="57"/>
      <c r="E91" s="57"/>
      <c r="F91" s="57"/>
      <c r="G91" s="57"/>
      <c r="H91" s="58"/>
      <c r="I91" s="251"/>
      <c r="J91" s="252">
        <f>(J90/I90)-1</f>
        <v>-0.60416666666666674</v>
      </c>
      <c r="K91" s="252">
        <f t="shared" ref="K91" si="174">(K90/J90)-1</f>
        <v>2.8245614035087718</v>
      </c>
      <c r="L91" s="252">
        <f t="shared" ref="L91" si="175">(L90/K90)-1</f>
        <v>0.40825688073394506</v>
      </c>
      <c r="M91" s="252"/>
      <c r="N91" s="252">
        <f>(N90/L90)-1</f>
        <v>-0.47882736156351791</v>
      </c>
      <c r="O91" s="252">
        <f t="shared" ref="O91" si="176">(O90/N90)-1</f>
        <v>-0.91249999999999998</v>
      </c>
      <c r="AB91" s="26"/>
      <c r="AH91" s="28"/>
      <c r="AI91" s="28"/>
      <c r="AJ91" s="26"/>
      <c r="AL91" s="26"/>
      <c r="AN91" s="28"/>
    </row>
    <row r="92" spans="2:40" hidden="1" outlineLevel="1" x14ac:dyDescent="0.25">
      <c r="B92" s="12" t="s">
        <v>120</v>
      </c>
      <c r="C92" s="64"/>
      <c r="D92" s="65"/>
      <c r="E92" s="65"/>
      <c r="F92" s="65"/>
      <c r="G92" s="65"/>
      <c r="H92" s="66"/>
      <c r="I92" s="31">
        <f>I82-I85+I86-I88-I90</f>
        <v>542</v>
      </c>
      <c r="J92" s="81">
        <f>J82-J85+J86-J88-J90</f>
        <v>213</v>
      </c>
      <c r="K92" s="81">
        <f>K82-K85+K86-K88-K90</f>
        <v>820</v>
      </c>
      <c r="L92" s="81">
        <f>L82-L85+L86-L88-L90</f>
        <v>1155</v>
      </c>
      <c r="M92" s="81"/>
      <c r="N92" s="81">
        <v>239</v>
      </c>
      <c r="O92" s="81">
        <f>O82-O85+O86-O88-O90</f>
        <v>239</v>
      </c>
      <c r="AB92" s="26"/>
      <c r="AH92" s="28"/>
      <c r="AI92" s="28"/>
      <c r="AJ92" s="26"/>
      <c r="AL92" s="26"/>
      <c r="AN92" s="28"/>
    </row>
    <row r="93" spans="2:40" hidden="1" outlineLevel="1" x14ac:dyDescent="0.25">
      <c r="B93" s="43" t="s">
        <v>124</v>
      </c>
      <c r="C93" s="56"/>
      <c r="D93" s="57"/>
      <c r="E93" s="57"/>
      <c r="F93" s="57"/>
      <c r="G93" s="57"/>
      <c r="H93" s="58"/>
      <c r="I93" s="251"/>
      <c r="J93" s="252">
        <f>(J92/I92)-1</f>
        <v>-0.6070110701107011</v>
      </c>
      <c r="K93" s="252">
        <f t="shared" ref="K93" si="177">(K92/J92)-1</f>
        <v>2.8497652582159625</v>
      </c>
      <c r="L93" s="252">
        <f t="shared" ref="L93" si="178">(L92/K92)-1</f>
        <v>0.40853658536585358</v>
      </c>
      <c r="M93" s="252"/>
      <c r="N93" s="252">
        <f>(N92/L92)-1</f>
        <v>-0.79307359307359304</v>
      </c>
      <c r="O93" s="252">
        <f t="shared" ref="O93" si="179">(O92/N92)-1</f>
        <v>0</v>
      </c>
      <c r="AB93" s="26"/>
      <c r="AH93" s="28"/>
      <c r="AI93" s="28"/>
      <c r="AJ93" s="26"/>
      <c r="AL93" s="26"/>
      <c r="AN93" s="28"/>
    </row>
    <row r="94" spans="2:40" hidden="1" outlineLevel="1" x14ac:dyDescent="0.25">
      <c r="B94" s="6" t="s">
        <v>123</v>
      </c>
      <c r="C94" s="53"/>
      <c r="D94" s="54"/>
      <c r="E94" s="54"/>
      <c r="F94" s="54"/>
      <c r="G94" s="54"/>
      <c r="H94" s="55"/>
      <c r="I94" s="73">
        <v>23</v>
      </c>
      <c r="J94" s="74">
        <v>24</v>
      </c>
      <c r="K94" s="74">
        <v>24</v>
      </c>
      <c r="L94" s="74">
        <v>26</v>
      </c>
      <c r="M94" s="74"/>
      <c r="N94" s="74">
        <v>28</v>
      </c>
      <c r="O94" s="74">
        <v>28</v>
      </c>
      <c r="AB94" s="26"/>
      <c r="AH94" s="28"/>
      <c r="AI94" s="28"/>
      <c r="AJ94" s="26"/>
      <c r="AL94" s="26"/>
      <c r="AN94" s="28"/>
    </row>
    <row r="95" spans="2:40" collapsed="1" x14ac:dyDescent="0.25">
      <c r="B95" s="5" t="s">
        <v>113</v>
      </c>
      <c r="C95" s="49"/>
      <c r="D95" s="50"/>
      <c r="E95" s="50"/>
      <c r="F95" s="50"/>
      <c r="G95" s="50"/>
      <c r="H95" s="51"/>
      <c r="I95" s="23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3"/>
      <c r="AC95" s="24"/>
      <c r="AD95" s="24"/>
      <c r="AE95" s="24"/>
      <c r="AF95" s="24"/>
      <c r="AG95" s="24"/>
      <c r="AH95" s="25"/>
      <c r="AI95" s="25"/>
      <c r="AJ95" s="23"/>
      <c r="AK95" s="24"/>
      <c r="AL95" s="23"/>
      <c r="AM95" s="24"/>
      <c r="AN95" s="25"/>
    </row>
    <row r="96" spans="2:40" x14ac:dyDescent="0.25">
      <c r="B96" s="2" t="s">
        <v>24</v>
      </c>
      <c r="C96" s="109">
        <v>44275.478000000003</v>
      </c>
      <c r="D96" s="96">
        <v>44589.088000000003</v>
      </c>
      <c r="E96" s="96">
        <v>45916.423999999999</v>
      </c>
      <c r="F96" s="96">
        <v>49022.144</v>
      </c>
      <c r="G96" s="96">
        <v>60483.002</v>
      </c>
      <c r="H96" s="97">
        <v>63125</v>
      </c>
      <c r="I96" s="116">
        <v>15376</v>
      </c>
      <c r="J96" s="96">
        <v>16036</v>
      </c>
      <c r="K96" s="96">
        <v>19025</v>
      </c>
      <c r="L96" s="96">
        <v>20200.999</v>
      </c>
      <c r="M96" s="96"/>
      <c r="N96" s="96">
        <v>20237</v>
      </c>
      <c r="O96" s="96">
        <v>21172.001</v>
      </c>
      <c r="P96" s="81">
        <f>P98+P100+P102</f>
        <v>24057.378083424999</v>
      </c>
      <c r="Q96" s="81">
        <f t="shared" ref="Q96:AA96" si="180">Q98+Q100+Q102</f>
        <v>27700.337539287502</v>
      </c>
      <c r="R96" s="81"/>
      <c r="S96" s="81">
        <f>S98+S100+S102</f>
        <v>27770.344733083664</v>
      </c>
      <c r="T96" s="81">
        <f t="shared" si="180"/>
        <v>27238.209251885972</v>
      </c>
      <c r="U96" s="81">
        <f t="shared" si="180"/>
        <v>28215.903515840131</v>
      </c>
      <c r="V96" s="81">
        <f t="shared" si="180"/>
        <v>28700.871354453502</v>
      </c>
      <c r="W96" s="81"/>
      <c r="X96" s="81">
        <f t="shared" si="180"/>
        <v>29404.757201407447</v>
      </c>
      <c r="Y96" s="81">
        <f t="shared" si="180"/>
        <v>30087.115097994181</v>
      </c>
      <c r="Z96" s="81">
        <f t="shared" si="180"/>
        <v>30857.669593221355</v>
      </c>
      <c r="AA96" s="81">
        <f t="shared" si="180"/>
        <v>31545.771690800451</v>
      </c>
      <c r="AB96" s="31">
        <f>SUM(I96:L96)</f>
        <v>70637.998999999996</v>
      </c>
      <c r="AC96" s="81">
        <f>SUM(AC98,AC100,AC102)</f>
        <v>93166.716622712498</v>
      </c>
      <c r="AD96" s="81">
        <f t="shared" ref="AD96:AH96" si="181">SUM(AD98,AD100,AD102)</f>
        <v>111925.32885526327</v>
      </c>
      <c r="AE96" s="81">
        <f t="shared" si="181"/>
        <v>121895.31358342343</v>
      </c>
      <c r="AF96" s="81">
        <f t="shared" si="181"/>
        <v>131464.7033049773</v>
      </c>
      <c r="AG96" s="81">
        <f t="shared" si="181"/>
        <v>140059.86200055594</v>
      </c>
      <c r="AH96" s="82">
        <f t="shared" si="181"/>
        <v>146531.09519040782</v>
      </c>
      <c r="AI96" s="28"/>
      <c r="AJ96" s="326">
        <f>(AB96/D96)^(1/5)-1</f>
        <v>9.6382158761512349E-2</v>
      </c>
      <c r="AK96" s="335">
        <f>(AH96/AC96)^(1/5)-1</f>
        <v>9.4797510152664133E-2</v>
      </c>
      <c r="AL96" s="26"/>
      <c r="AN96" s="28"/>
    </row>
    <row r="97" spans="2:40" ht="13.8" x14ac:dyDescent="0.3">
      <c r="B97" s="44" t="s">
        <v>153</v>
      </c>
      <c r="C97" s="426"/>
      <c r="D97" s="219">
        <f>(D96/C96)-1</f>
        <v>7.0831533428052929E-3</v>
      </c>
      <c r="E97" s="219">
        <f t="shared" ref="E97:H97" si="182">(E96/D96)-1</f>
        <v>2.9768180053379778E-2</v>
      </c>
      <c r="F97" s="219">
        <f t="shared" si="182"/>
        <v>6.7638542583368544E-2</v>
      </c>
      <c r="G97" s="219">
        <f t="shared" si="182"/>
        <v>0.23378940749715071</v>
      </c>
      <c r="H97" s="219">
        <f t="shared" si="182"/>
        <v>4.3681661171513841E-2</v>
      </c>
      <c r="I97" s="425"/>
      <c r="J97" s="160">
        <f>(J96/I96)-1</f>
        <v>4.2924037460978059E-2</v>
      </c>
      <c r="K97" s="160">
        <f t="shared" ref="K97:AA97" si="183">(K96/J96)-1</f>
        <v>0.18639311549014725</v>
      </c>
      <c r="L97" s="160">
        <f t="shared" si="183"/>
        <v>6.1813350854139193E-2</v>
      </c>
      <c r="M97" s="160"/>
      <c r="N97" s="160">
        <f>(N96/L96)-1</f>
        <v>1.7821395862649414E-3</v>
      </c>
      <c r="O97" s="160">
        <f t="shared" si="183"/>
        <v>4.620254978504712E-2</v>
      </c>
      <c r="P97" s="79">
        <f t="shared" si="183"/>
        <v>0.13628268218129214</v>
      </c>
      <c r="Q97" s="79">
        <f t="shared" si="183"/>
        <v>0.15142795042874702</v>
      </c>
      <c r="R97" s="79"/>
      <c r="S97" s="79">
        <f>(S96/Q96)-1</f>
        <v>2.5273047195497611E-3</v>
      </c>
      <c r="T97" s="79">
        <f t="shared" si="183"/>
        <v>-1.916200487650932E-2</v>
      </c>
      <c r="U97" s="79">
        <f t="shared" si="183"/>
        <v>3.5894219583707088E-2</v>
      </c>
      <c r="V97" s="79">
        <f t="shared" si="183"/>
        <v>1.7187747978409273E-2</v>
      </c>
      <c r="W97" s="79"/>
      <c r="X97" s="79">
        <f>(X96/V96)-1</f>
        <v>2.4524894671698716E-2</v>
      </c>
      <c r="Y97" s="79">
        <f t="shared" si="183"/>
        <v>2.3205697360904276E-2</v>
      </c>
      <c r="Z97" s="79">
        <f t="shared" si="183"/>
        <v>2.5610780319663906E-2</v>
      </c>
      <c r="AA97" s="79">
        <f t="shared" si="183"/>
        <v>2.2299224363017123E-2</v>
      </c>
      <c r="AB97" s="80">
        <f>(AB96/H96)-1</f>
        <v>0.11901780594059397</v>
      </c>
      <c r="AC97" s="79">
        <f>(AC96/AB96)-1</f>
        <v>0.31893199045336074</v>
      </c>
      <c r="AD97" s="79">
        <f t="shared" ref="AD97:AH97" si="184">(AD96/AC96)-1</f>
        <v>0.20134456716464055</v>
      </c>
      <c r="AE97" s="79">
        <f t="shared" si="184"/>
        <v>8.9077109088085749E-2</v>
      </c>
      <c r="AF97" s="79">
        <f t="shared" si="184"/>
        <v>7.8504984648197551E-2</v>
      </c>
      <c r="AG97" s="79">
        <f t="shared" si="184"/>
        <v>6.5379972566774969E-2</v>
      </c>
      <c r="AH97" s="129">
        <f t="shared" si="184"/>
        <v>4.6203338325623955E-2</v>
      </c>
      <c r="AI97" s="28"/>
      <c r="AJ97" s="326"/>
      <c r="AK97" s="335"/>
      <c r="AL97" s="26"/>
      <c r="AN97" s="28"/>
    </row>
    <row r="98" spans="2:40" x14ac:dyDescent="0.25">
      <c r="B98" s="6" t="s">
        <v>25</v>
      </c>
      <c r="C98" s="110">
        <v>39716.267</v>
      </c>
      <c r="D98" s="88">
        <v>38942.504999999997</v>
      </c>
      <c r="E98" s="88">
        <v>38613.540999999997</v>
      </c>
      <c r="F98" s="88">
        <v>40681.85</v>
      </c>
      <c r="G98" s="88">
        <v>50278</v>
      </c>
      <c r="H98" s="89">
        <v>55549.999000000003</v>
      </c>
      <c r="I98" s="87">
        <v>13573</v>
      </c>
      <c r="J98" s="88">
        <v>14099</v>
      </c>
      <c r="K98" s="88">
        <v>16013</v>
      </c>
      <c r="L98" s="88">
        <v>16427.999</v>
      </c>
      <c r="M98" s="88"/>
      <c r="N98" s="88">
        <v>16010</v>
      </c>
      <c r="O98" s="88">
        <v>16266.001</v>
      </c>
      <c r="P98" s="40">
        <f>P99*AVERAGE(K179:O179)/4*1000</f>
        <v>16341.065509175</v>
      </c>
      <c r="Q98" s="40">
        <f>AVERAGE(O99:Q99)*AVERAGE(L179:P179)/4*1000</f>
        <v>16822.091837375003</v>
      </c>
      <c r="R98" s="40"/>
      <c r="S98" s="40">
        <f>AVERAGE(S99,AB99)*AVERAGE(N179:Q179)/4*1000</f>
        <v>18653.910993602414</v>
      </c>
      <c r="T98" s="40">
        <f>AVERAGE(T99,P99)*AVERAGE(O179:S179)/4*1000</f>
        <v>19094.823743454723</v>
      </c>
      <c r="U98" s="40">
        <f>U99*AVERAGE(P179:T179)/4*1000</f>
        <v>20996.028515840131</v>
      </c>
      <c r="V98" s="40">
        <f>V99*AVERAGE(Q179:U179)/4*1000</f>
        <v>21520.746354453502</v>
      </c>
      <c r="W98" s="40"/>
      <c r="X98" s="40">
        <f>X99*AVERAGE(S179:V179)/4*1000</f>
        <v>22252.757201407447</v>
      </c>
      <c r="Y98" s="40">
        <f>Y99*AVERAGE(T179:X179)/4*1000</f>
        <v>22924.615097994181</v>
      </c>
      <c r="Z98" s="40">
        <f>Z99*AVERAGE(U179:Y179)/4*1000</f>
        <v>23684.669593221355</v>
      </c>
      <c r="AA98" s="40">
        <f>AA99*AVERAGE(V179:Z179)/4*1000</f>
        <v>24372.771690800451</v>
      </c>
      <c r="AB98" s="30">
        <f>SUM(I98:L98)</f>
        <v>60112.998999999996</v>
      </c>
      <c r="AC98" s="40">
        <f>SUM(N98:Q98)</f>
        <v>65439.158346550001</v>
      </c>
      <c r="AD98" s="40">
        <f>SUM(S98:V98)</f>
        <v>80265.509607350774</v>
      </c>
      <c r="AE98" s="40">
        <f>SUM(X98:AA98)</f>
        <v>93234.813583423427</v>
      </c>
      <c r="AF98" s="40">
        <f>AF99*((AF179+AE179)*1000/2)</f>
        <v>103564.56830497729</v>
      </c>
      <c r="AG98" s="40">
        <f>AG99*((AG179+AF179)*1000/2)</f>
        <v>109771.06638805593</v>
      </c>
      <c r="AH98" s="72">
        <f>AH99*((AH179+AG179)*1000/2)</f>
        <v>114559.87363453282</v>
      </c>
      <c r="AI98" s="28"/>
      <c r="AJ98" s="26"/>
      <c r="AL98" s="26"/>
      <c r="AN98" s="28"/>
    </row>
    <row r="99" spans="2:40" x14ac:dyDescent="0.25">
      <c r="B99" s="43" t="s">
        <v>172</v>
      </c>
      <c r="C99" s="197"/>
      <c r="D99" s="198">
        <f t="shared" ref="D99:AB99" si="185">D224</f>
        <v>5.2108356869852525E-2</v>
      </c>
      <c r="E99" s="198">
        <f t="shared" si="185"/>
        <v>5.140658230010553E-2</v>
      </c>
      <c r="F99" s="198">
        <f t="shared" si="185"/>
        <v>5.3125759969152309E-2</v>
      </c>
      <c r="G99" s="198">
        <f t="shared" si="185"/>
        <v>5.7917282061547351E-2</v>
      </c>
      <c r="H99" s="199">
        <f t="shared" si="185"/>
        <v>5.5292145021657968E-2</v>
      </c>
      <c r="I99" s="197"/>
      <c r="J99" s="198"/>
      <c r="K99" s="198"/>
      <c r="L99" s="198"/>
      <c r="M99" s="198"/>
      <c r="N99" s="198">
        <f>N224</f>
        <v>4.7800000000000002E-2</v>
      </c>
      <c r="O99" s="198">
        <f>O224</f>
        <v>4.58E-2</v>
      </c>
      <c r="P99" s="208">
        <f>AVERAGE(O99,AC99)</f>
        <v>4.8399999999999999E-2</v>
      </c>
      <c r="Q99" s="208">
        <f>AC99</f>
        <v>5.0999999999999997E-2</v>
      </c>
      <c r="R99" s="208"/>
      <c r="S99" s="208">
        <f>AVERAGE(AD99,Q99)</f>
        <v>5.2999999999999999E-2</v>
      </c>
      <c r="T99" s="208">
        <f>AVERAGE(S99,AD99)</f>
        <v>5.3999999999999999E-2</v>
      </c>
      <c r="U99" s="208">
        <f>AD99</f>
        <v>5.5E-2</v>
      </c>
      <c r="V99" s="208">
        <f>U99</f>
        <v>5.5E-2</v>
      </c>
      <c r="W99" s="208"/>
      <c r="X99" s="208">
        <f>AVERAGE(AE99,V99)</f>
        <v>5.5750000000000001E-2</v>
      </c>
      <c r="Y99" s="208">
        <f>AVERAGE(X99,AE99)</f>
        <v>5.6125000000000001E-2</v>
      </c>
      <c r="Z99" s="208">
        <f>AE99</f>
        <v>5.6500000000000002E-2</v>
      </c>
      <c r="AA99" s="208">
        <f>Z99</f>
        <v>5.6500000000000002E-2</v>
      </c>
      <c r="AB99" s="200">
        <f t="shared" si="185"/>
        <v>5.067603238689241E-2</v>
      </c>
      <c r="AC99" s="202">
        <f>AC224</f>
        <v>5.0999999999999997E-2</v>
      </c>
      <c r="AD99" s="202">
        <f t="shared" ref="AD99:AH99" si="186">AD224</f>
        <v>5.5E-2</v>
      </c>
      <c r="AE99" s="202">
        <f t="shared" si="186"/>
        <v>5.6500000000000002E-2</v>
      </c>
      <c r="AF99" s="202">
        <f t="shared" si="186"/>
        <v>5.5999999999999994E-2</v>
      </c>
      <c r="AG99" s="202">
        <f t="shared" si="186"/>
        <v>5.7000000000000002E-2</v>
      </c>
      <c r="AH99" s="215">
        <f t="shared" si="186"/>
        <v>5.7000000000000002E-2</v>
      </c>
      <c r="AI99" s="28"/>
      <c r="AJ99" s="26"/>
      <c r="AL99" s="26"/>
      <c r="AN99" s="28"/>
    </row>
    <row r="100" spans="2:40" x14ac:dyDescent="0.25">
      <c r="B100" s="6" t="s">
        <v>26</v>
      </c>
      <c r="C100" s="110">
        <v>94.296000000000006</v>
      </c>
      <c r="D100" s="88">
        <v>124.459</v>
      </c>
      <c r="E100" s="88">
        <v>232.4</v>
      </c>
      <c r="F100" s="88">
        <v>409.73200000000003</v>
      </c>
      <c r="G100" s="88">
        <v>1056</v>
      </c>
      <c r="H100" s="89">
        <v>438</v>
      </c>
      <c r="I100" s="87">
        <v>53</v>
      </c>
      <c r="J100" s="88">
        <v>44</v>
      </c>
      <c r="K100" s="88">
        <v>58</v>
      </c>
      <c r="L100" s="88">
        <v>58</v>
      </c>
      <c r="M100" s="88"/>
      <c r="N100" s="88">
        <v>56</v>
      </c>
      <c r="O100" s="88">
        <v>103</v>
      </c>
      <c r="P100" s="40">
        <f>P101*AVERAGE(K166:O166)/4*1000</f>
        <v>170.97989999999999</v>
      </c>
      <c r="Q100" s="40">
        <f>Q101*AVERAGE(L166:P166)/4*1000</f>
        <v>162.55015035</v>
      </c>
      <c r="R100" s="40"/>
      <c r="S100" s="40">
        <f>S101*AVERAGE(N166:Q166)/4*1000</f>
        <v>147.22807385625001</v>
      </c>
      <c r="T100" s="40">
        <f>T101*AVERAGE(O166:S166)/4*1000</f>
        <v>156.11038397812499</v>
      </c>
      <c r="U100" s="40">
        <f>U101*AVERAGE(P166:T166)/4*1000</f>
        <v>198</v>
      </c>
      <c r="V100" s="40">
        <f>V101*AVERAGE(Q166:U166)/4*1000</f>
        <v>214.5</v>
      </c>
      <c r="W100" s="40"/>
      <c r="X100" s="40">
        <f>X101*AVERAGE(S166:V166)/4*1000</f>
        <v>252</v>
      </c>
      <c r="Y100" s="40">
        <f>Y101*AVERAGE(T166:X166)/4*1000</f>
        <v>262.5</v>
      </c>
      <c r="Z100" s="40">
        <f>Z101*AVERAGE(U166:Y166)/4*1000</f>
        <v>272.99999999999994</v>
      </c>
      <c r="AA100" s="40">
        <f>AA101*AVERAGE(V166:Z166)/4*1000</f>
        <v>272.99999999999994</v>
      </c>
      <c r="AB100" s="30">
        <f>SUM(I100:L100)</f>
        <v>213</v>
      </c>
      <c r="AC100" s="40">
        <f>SUM(N100:Q100)</f>
        <v>492.53005035000001</v>
      </c>
      <c r="AD100" s="40">
        <f>SUM(S100:V100)</f>
        <v>715.83845783437505</v>
      </c>
      <c r="AE100" s="40">
        <f>SUM(X100:AA100)</f>
        <v>1060.5</v>
      </c>
      <c r="AF100" s="40">
        <f>AF101*((AF166+AE166)*1000/2)</f>
        <v>936</v>
      </c>
      <c r="AG100" s="40">
        <f>AG101*((AG166+AF166)*1000/2)</f>
        <v>950</v>
      </c>
      <c r="AH100" s="72">
        <f>AH101*((AH166+AG166)*1000/2)</f>
        <v>909.99999999999932</v>
      </c>
      <c r="AI100" s="28"/>
      <c r="AJ100" s="26"/>
      <c r="AL100" s="26"/>
      <c r="AN100" s="28"/>
    </row>
    <row r="101" spans="2:40" x14ac:dyDescent="0.25">
      <c r="B101" s="43" t="s">
        <v>172</v>
      </c>
      <c r="C101" s="197"/>
      <c r="D101" s="198">
        <f t="shared" ref="D101:AH101" si="187">D226</f>
        <v>2.685497377702727E-3</v>
      </c>
      <c r="E101" s="198">
        <f t="shared" si="187"/>
        <v>6.7036430463534701E-3</v>
      </c>
      <c r="F101" s="198">
        <f t="shared" si="187"/>
        <v>8.231091222858606E-3</v>
      </c>
      <c r="G101" s="198">
        <f t="shared" si="187"/>
        <v>1.1929237525273802E-2</v>
      </c>
      <c r="H101" s="199">
        <f t="shared" si="187"/>
        <v>2.6339845076247658E-3</v>
      </c>
      <c r="I101" s="197"/>
      <c r="J101" s="198"/>
      <c r="K101" s="198"/>
      <c r="L101" s="198"/>
      <c r="M101" s="198"/>
      <c r="N101" s="198">
        <f>N226</f>
        <v>1.4E-3</v>
      </c>
      <c r="O101" s="198">
        <f>O226</f>
        <v>5.5999999999999999E-3</v>
      </c>
      <c r="P101" s="208">
        <f>AVERAGE(O101,AC101)</f>
        <v>5.5999999999999999E-3</v>
      </c>
      <c r="Q101" s="208">
        <f>AC101</f>
        <v>5.5999999999999999E-3</v>
      </c>
      <c r="R101" s="208"/>
      <c r="S101" s="208">
        <f>AVERAGE(AD101,Q101)</f>
        <v>6.0999999999999995E-3</v>
      </c>
      <c r="T101" s="208">
        <f>AVERAGE(S101,AD101)</f>
        <v>6.3499999999999997E-3</v>
      </c>
      <c r="U101" s="208">
        <f>AD101</f>
        <v>6.6E-3</v>
      </c>
      <c r="V101" s="208">
        <f>U101</f>
        <v>6.6E-3</v>
      </c>
      <c r="W101" s="208"/>
      <c r="X101" s="208">
        <f>AVERAGE(AE101,V101)</f>
        <v>7.1999999999999998E-3</v>
      </c>
      <c r="Y101" s="208">
        <f>AVERAGE(X101,AE101)</f>
        <v>7.4999999999999997E-3</v>
      </c>
      <c r="Z101" s="208">
        <f>AE101</f>
        <v>7.7999999999999996E-3</v>
      </c>
      <c r="AA101" s="208">
        <f>Z101</f>
        <v>7.7999999999999996E-3</v>
      </c>
      <c r="AB101" s="200">
        <f t="shared" si="187"/>
        <v>1.2364132478277919E-3</v>
      </c>
      <c r="AC101" s="208">
        <f t="shared" si="187"/>
        <v>5.5999999999999999E-3</v>
      </c>
      <c r="AD101" s="208">
        <f t="shared" si="187"/>
        <v>6.6E-3</v>
      </c>
      <c r="AE101" s="208">
        <f t="shared" si="187"/>
        <v>7.7999999999999996E-3</v>
      </c>
      <c r="AF101" s="208">
        <f t="shared" si="187"/>
        <v>7.7999999999999996E-3</v>
      </c>
      <c r="AG101" s="208">
        <f t="shared" si="187"/>
        <v>9.4999999999999998E-3</v>
      </c>
      <c r="AH101" s="209">
        <f t="shared" si="187"/>
        <v>9.0999999999999935E-3</v>
      </c>
      <c r="AI101" s="28"/>
      <c r="AJ101" s="26"/>
      <c r="AL101" s="26"/>
      <c r="AN101" s="28"/>
    </row>
    <row r="102" spans="2:40" x14ac:dyDescent="0.25">
      <c r="B102" s="6" t="s">
        <v>27</v>
      </c>
      <c r="C102" s="110">
        <v>4342.8450000000003</v>
      </c>
      <c r="D102" s="88">
        <v>5391.12</v>
      </c>
      <c r="E102" s="88">
        <v>6920.3109999999997</v>
      </c>
      <c r="F102" s="88">
        <v>7743.4440000000004</v>
      </c>
      <c r="G102" s="88">
        <v>8917</v>
      </c>
      <c r="H102" s="89">
        <v>7137</v>
      </c>
      <c r="I102" s="87">
        <v>1750</v>
      </c>
      <c r="J102" s="88">
        <v>1893</v>
      </c>
      <c r="K102" s="88">
        <v>2954</v>
      </c>
      <c r="L102" s="88">
        <v>3715</v>
      </c>
      <c r="M102" s="88"/>
      <c r="N102" s="88">
        <v>4171</v>
      </c>
      <c r="O102" s="88">
        <v>4803</v>
      </c>
      <c r="P102" s="40">
        <f>P103*AVERAGE(K169:O169)/4*1000</f>
        <v>7545.3326742499985</v>
      </c>
      <c r="Q102" s="40">
        <f>Q103*AVERAGE(L169:P169)/4*1000</f>
        <v>10715.6955515625</v>
      </c>
      <c r="R102" s="40"/>
      <c r="S102" s="40">
        <f>S103*AVERAGE(N169:Q169)/4*1000</f>
        <v>8969.2056656249988</v>
      </c>
      <c r="T102" s="40">
        <f>T103*AVERAGE(O169:S169)/4*1000</f>
        <v>7987.2751244531255</v>
      </c>
      <c r="U102" s="40">
        <f>U103*AVERAGE(P169:T169)/4*1000</f>
        <v>7021.875</v>
      </c>
      <c r="V102" s="40">
        <f>V103*AVERAGE(Q169:U169)/4*1000</f>
        <v>6965.625</v>
      </c>
      <c r="W102" s="40"/>
      <c r="X102" s="40">
        <f>X103*AVERAGE(S169:V169)/4*1000</f>
        <v>6899.9999999999991</v>
      </c>
      <c r="Y102" s="40">
        <f>Y103*AVERAGE(T169:X169)/4*1000</f>
        <v>6899.9999999999991</v>
      </c>
      <c r="Z102" s="40">
        <f>Z103*AVERAGE(U169:Y169)/4*1000</f>
        <v>6899.9999999999991</v>
      </c>
      <c r="AA102" s="40">
        <f>AA103*AVERAGE(V169:Z169)/4*1000</f>
        <v>6899.9999999999991</v>
      </c>
      <c r="AB102" s="30">
        <f>SUM(I102:L102)</f>
        <v>10312</v>
      </c>
      <c r="AC102" s="40">
        <f>SUM(N102:Q102)</f>
        <v>27235.028225812501</v>
      </c>
      <c r="AD102" s="40">
        <f>SUM(S102:V102)</f>
        <v>30943.980790078123</v>
      </c>
      <c r="AE102" s="40">
        <f>SUM(X102:AA102)</f>
        <v>27599.999999999996</v>
      </c>
      <c r="AF102" s="40">
        <f>AF103*((AF169+AE169)*1000/2)</f>
        <v>26964.134999999998</v>
      </c>
      <c r="AG102" s="40">
        <f>AG103*((AG169+AF169)*1000/2)</f>
        <v>29338.795612500002</v>
      </c>
      <c r="AH102" s="72">
        <f>AH103*((AH169+AG169)*1000/2)</f>
        <v>31061.221555875007</v>
      </c>
      <c r="AI102" s="28"/>
      <c r="AJ102" s="26"/>
      <c r="AL102" s="26"/>
      <c r="AN102" s="28"/>
    </row>
    <row r="103" spans="2:40" x14ac:dyDescent="0.25">
      <c r="B103" s="43" t="s">
        <v>172</v>
      </c>
      <c r="C103" s="193"/>
      <c r="D103" s="194">
        <f t="shared" ref="D103:AH103" si="188">D225</f>
        <v>1.739611959002928E-2</v>
      </c>
      <c r="E103" s="194">
        <f t="shared" si="188"/>
        <v>2.0416763985520475E-2</v>
      </c>
      <c r="F103" s="194">
        <f t="shared" si="188"/>
        <v>2.1895379059015847E-2</v>
      </c>
      <c r="G103" s="194">
        <f t="shared" si="188"/>
        <v>2.5462659587243947E-2</v>
      </c>
      <c r="H103" s="195">
        <f t="shared" si="188"/>
        <v>1.9603211551547144E-2</v>
      </c>
      <c r="I103" s="193"/>
      <c r="J103" s="194"/>
      <c r="K103" s="194"/>
      <c r="L103" s="194"/>
      <c r="M103" s="194"/>
      <c r="N103" s="194">
        <f>N225</f>
        <v>1.7600000000000001E-2</v>
      </c>
      <c r="O103" s="194">
        <f>O225</f>
        <v>2.06E-2</v>
      </c>
      <c r="P103" s="208">
        <f>AVERAGE(O103,AC103)</f>
        <v>3.2799999999999996E-2</v>
      </c>
      <c r="Q103" s="208">
        <f>AC103</f>
        <v>4.4999999999999998E-2</v>
      </c>
      <c r="R103" s="208"/>
      <c r="S103" s="208">
        <f>AVERAGE(AD103,Q103)</f>
        <v>3.7499999999999999E-2</v>
      </c>
      <c r="T103" s="208">
        <f>AVERAGE(S103,AD103)</f>
        <v>3.3750000000000002E-2</v>
      </c>
      <c r="U103" s="208">
        <f>AD103</f>
        <v>0.03</v>
      </c>
      <c r="V103" s="208">
        <f>U103</f>
        <v>0.03</v>
      </c>
      <c r="W103" s="208"/>
      <c r="X103" s="208">
        <f>AVERAGE(AE103,V103)</f>
        <v>0.03</v>
      </c>
      <c r="Y103" s="208">
        <f>AVERAGE(X103,AE103)</f>
        <v>0.03</v>
      </c>
      <c r="Z103" s="208">
        <f>AE103</f>
        <v>0.03</v>
      </c>
      <c r="AA103" s="208">
        <f>Z103</f>
        <v>0.03</v>
      </c>
      <c r="AB103" s="196">
        <f t="shared" si="188"/>
        <v>1.5636348796223588E-2</v>
      </c>
      <c r="AC103" s="202">
        <f t="shared" si="188"/>
        <v>4.4999999999999998E-2</v>
      </c>
      <c r="AD103" s="202">
        <f t="shared" si="188"/>
        <v>0.03</v>
      </c>
      <c r="AE103" s="202">
        <f t="shared" si="188"/>
        <v>0.03</v>
      </c>
      <c r="AF103" s="202">
        <f t="shared" si="188"/>
        <v>2.8199999999999999E-2</v>
      </c>
      <c r="AG103" s="202">
        <f t="shared" si="188"/>
        <v>2.8149999999999998E-2</v>
      </c>
      <c r="AH103" s="215">
        <f t="shared" si="188"/>
        <v>2.8149999999999998E-2</v>
      </c>
      <c r="AI103" s="28"/>
      <c r="AJ103" s="26"/>
      <c r="AL103" s="26"/>
      <c r="AN103" s="28"/>
    </row>
    <row r="104" spans="2:40" x14ac:dyDescent="0.25">
      <c r="B104" s="8" t="s">
        <v>28</v>
      </c>
      <c r="C104" s="112">
        <v>-6569.2470000000003</v>
      </c>
      <c r="D104" s="98">
        <v>-6483.3310000000001</v>
      </c>
      <c r="E104" s="98">
        <v>-6872.7290000000003</v>
      </c>
      <c r="F104" s="98">
        <v>-8225.5190000000002</v>
      </c>
      <c r="G104" s="98">
        <v>-12638</v>
      </c>
      <c r="H104" s="99">
        <v>-7880</v>
      </c>
      <c r="I104" s="115">
        <v>-1093</v>
      </c>
      <c r="J104" s="98">
        <v>-967</v>
      </c>
      <c r="K104" s="98">
        <v>-1157</v>
      </c>
      <c r="L104" s="98">
        <v>-1179</v>
      </c>
      <c r="M104" s="98"/>
      <c r="N104" s="98">
        <v>-1049</v>
      </c>
      <c r="O104" s="98">
        <v>-1978</v>
      </c>
      <c r="P104" s="16">
        <f>P106+P108+P110+P111</f>
        <v>-2226.3775233750002</v>
      </c>
      <c r="Q104" s="16">
        <f>Q106+Q108+Q110+Q111</f>
        <v>-2299.0073507929997</v>
      </c>
      <c r="R104" s="16"/>
      <c r="S104" s="16">
        <f>S106+S108+S110+S111</f>
        <v>-2952.7388945829325</v>
      </c>
      <c r="T104" s="16">
        <f>T106+T108+T110+T111</f>
        <v>-3175.294181338757</v>
      </c>
      <c r="U104" s="16">
        <f>U106+U108+U110+U111</f>
        <v>-3405.7670923629385</v>
      </c>
      <c r="V104" s="16">
        <f>V106+V108+V110+V111</f>
        <v>-3417.9980169854734</v>
      </c>
      <c r="W104" s="16"/>
      <c r="X104" s="16">
        <f>X106+X108+X110+X111</f>
        <v>-3893.203818992471</v>
      </c>
      <c r="Y104" s="16">
        <f>Y106+Y108+Y110+Y111</f>
        <v>-4177.3054375796864</v>
      </c>
      <c r="Z104" s="16">
        <f>Z106+Z108+Z110+Z111</f>
        <v>-4474.6115769801854</v>
      </c>
      <c r="AA104" s="16">
        <f>AA106+AA108+AA110+AA111</f>
        <v>-4520.4161419449683</v>
      </c>
      <c r="AB104" s="35">
        <f>SUM(I104:L104)</f>
        <v>-4396</v>
      </c>
      <c r="AC104" s="16">
        <f t="shared" ref="AC104:AH104" si="189">AC106+AC108+AC111</f>
        <v>-7552.3848741679994</v>
      </c>
      <c r="AD104" s="16">
        <f t="shared" si="189"/>
        <v>-12751.798185270101</v>
      </c>
      <c r="AE104" s="16">
        <f t="shared" si="189"/>
        <v>-17065.536975497311</v>
      </c>
      <c r="AF104" s="16">
        <f t="shared" si="189"/>
        <v>-22541.453128293808</v>
      </c>
      <c r="AG104" s="16">
        <f t="shared" si="189"/>
        <v>-24955.570898638583</v>
      </c>
      <c r="AH104" s="235">
        <f t="shared" si="189"/>
        <v>-24829.837473246735</v>
      </c>
      <c r="AI104" s="28"/>
      <c r="AJ104" s="326">
        <f>(AB104/D104)^(1/5)-1</f>
        <v>-7.4765330595309543E-2</v>
      </c>
      <c r="AK104" s="335">
        <f>(AH104/AC104)^(1/5)-1</f>
        <v>0.26875554295840853</v>
      </c>
      <c r="AL104" s="26"/>
      <c r="AN104" s="28"/>
    </row>
    <row r="105" spans="2:40" ht="13.8" x14ac:dyDescent="0.3">
      <c r="B105" s="44" t="s">
        <v>153</v>
      </c>
      <c r="C105" s="426"/>
      <c r="D105" s="219">
        <f>(D104/C104)-1</f>
        <v>-1.3078515695938986E-2</v>
      </c>
      <c r="E105" s="219">
        <f t="shared" ref="E105" si="190">(E104/D104)-1</f>
        <v>6.0061409790738818E-2</v>
      </c>
      <c r="F105" s="219">
        <f t="shared" ref="F105" si="191">(F104/E104)-1</f>
        <v>0.19683447434054213</v>
      </c>
      <c r="G105" s="219">
        <f t="shared" ref="G105" si="192">(G104/F104)-1</f>
        <v>0.53643800470219571</v>
      </c>
      <c r="H105" s="219">
        <f t="shared" ref="H105" si="193">(H104/G104)-1</f>
        <v>-0.37648362082608011</v>
      </c>
      <c r="I105" s="425"/>
      <c r="J105" s="160">
        <f>(J104/I104)-1</f>
        <v>-0.11527904849039339</v>
      </c>
      <c r="K105" s="160">
        <f t="shared" ref="K105" si="194">(K104/J104)-1</f>
        <v>0.19648397104446746</v>
      </c>
      <c r="L105" s="160">
        <f t="shared" ref="L105" si="195">(L104/K104)-1</f>
        <v>1.9014693171996555E-2</v>
      </c>
      <c r="M105" s="160"/>
      <c r="N105" s="160">
        <f>(N104/L104)-1</f>
        <v>-0.11026293469041559</v>
      </c>
      <c r="O105" s="160">
        <f t="shared" ref="O105" si="196">(O104/N104)-1</f>
        <v>0.88560533841754041</v>
      </c>
      <c r="P105" s="79">
        <f t="shared" ref="P105" si="197">(P104/O104)-1</f>
        <v>0.12557003203993955</v>
      </c>
      <c r="Q105" s="79">
        <f t="shared" ref="Q105" si="198">(Q104/P104)-1</f>
        <v>3.2622422143347318E-2</v>
      </c>
      <c r="R105" s="79"/>
      <c r="S105" s="79">
        <f>(S104/Q104)-1</f>
        <v>0.28435382930134634</v>
      </c>
      <c r="T105" s="79">
        <f t="shared" ref="T105" si="199">(T104/S104)-1</f>
        <v>7.5372491338168146E-2</v>
      </c>
      <c r="U105" s="79">
        <f t="shared" ref="U105" si="200">(U104/T104)-1</f>
        <v>7.2583168003353293E-2</v>
      </c>
      <c r="V105" s="79">
        <f t="shared" ref="V105" si="201">(V104/U104)-1</f>
        <v>3.5912392981778396E-3</v>
      </c>
      <c r="W105" s="79"/>
      <c r="X105" s="79">
        <f>(X104/V104)-1</f>
        <v>0.1390304498848447</v>
      </c>
      <c r="Y105" s="79">
        <f t="shared" ref="Y105" si="202">(Y104/X104)-1</f>
        <v>7.2973733664100537E-2</v>
      </c>
      <c r="Z105" s="79">
        <f t="shared" ref="Z105" si="203">(Z104/Y104)-1</f>
        <v>7.1171750268938183E-2</v>
      </c>
      <c r="AA105" s="79">
        <f t="shared" ref="AA105" si="204">(AA104/Z104)-1</f>
        <v>1.0236545491552063E-2</v>
      </c>
      <c r="AB105" s="80">
        <f>(AB104/H104)-1</f>
        <v>-0.4421319796954315</v>
      </c>
      <c r="AC105" s="79">
        <f>(AC104/AB104)-1</f>
        <v>0.71801293770882602</v>
      </c>
      <c r="AD105" s="79">
        <f t="shared" ref="AD105" si="205">(AD104/AC104)-1</f>
        <v>0.68844655002766797</v>
      </c>
      <c r="AE105" s="79">
        <f t="shared" ref="AE105" si="206">(AE104/AD104)-1</f>
        <v>0.33828474443785583</v>
      </c>
      <c r="AF105" s="79">
        <f t="shared" ref="AF105" si="207">(AF104/AE104)-1</f>
        <v>0.32087570175253277</v>
      </c>
      <c r="AG105" s="79">
        <f t="shared" ref="AG105" si="208">(AG104/AF104)-1</f>
        <v>0.10709681210900279</v>
      </c>
      <c r="AH105" s="129">
        <f t="shared" ref="AH105" si="209">(AH104/AG104)-1</f>
        <v>-5.0382908851308583E-3</v>
      </c>
      <c r="AI105" s="28"/>
      <c r="AJ105" s="326"/>
      <c r="AK105" s="335"/>
      <c r="AL105" s="26"/>
      <c r="AN105" s="28"/>
    </row>
    <row r="106" spans="2:40" x14ac:dyDescent="0.25">
      <c r="B106" s="6" t="s">
        <v>29</v>
      </c>
      <c r="C106" s="110">
        <v>-4856.6729999999998</v>
      </c>
      <c r="D106" s="88">
        <v>-4781.2280000000001</v>
      </c>
      <c r="E106" s="88">
        <v>-4758.0730000000003</v>
      </c>
      <c r="F106" s="88">
        <v>-6057.0659999999998</v>
      </c>
      <c r="G106" s="88">
        <v>-10050</v>
      </c>
      <c r="H106" s="89">
        <v>-5599</v>
      </c>
      <c r="I106" s="87">
        <v>-654</v>
      </c>
      <c r="J106" s="88">
        <v>-569</v>
      </c>
      <c r="K106" s="88">
        <v>-698</v>
      </c>
      <c r="L106" s="88">
        <v>-679</v>
      </c>
      <c r="M106" s="88"/>
      <c r="N106" s="88">
        <v>-599</v>
      </c>
      <c r="O106" s="88">
        <v>-626</v>
      </c>
      <c r="P106" s="40">
        <f>-P107*AVERAGE(K192:O192)/4*1000</f>
        <v>-867.37752337500001</v>
      </c>
      <c r="Q106" s="40">
        <f>-Q107*AVERAGE(L192:P192)/4*1000</f>
        <v>-940.00735079299977</v>
      </c>
      <c r="R106" s="40"/>
      <c r="S106" s="40">
        <f>-S107*AVERAGE(N192:Q192)/4*1000</f>
        <v>-1377.7388945829327</v>
      </c>
      <c r="T106" s="40">
        <f>-T107*AVERAGE(O192:S192)/4*1000</f>
        <v>-1600.2941813387567</v>
      </c>
      <c r="U106" s="40">
        <f>-U107*AVERAGE(P192:T192)/4*1000</f>
        <v>-1830.7670923629382</v>
      </c>
      <c r="V106" s="40">
        <f>-V107*AVERAGE(Q192:U192)/4*1000</f>
        <v>-1842.9980169854734</v>
      </c>
      <c r="W106" s="40"/>
      <c r="X106" s="40">
        <f>-X107*AVERAGE(S192:V192)/4*1000</f>
        <v>-2368.203818992471</v>
      </c>
      <c r="Y106" s="40">
        <f>-Y107*AVERAGE(T192:X192)/4*1000</f>
        <v>-2652.3054375796864</v>
      </c>
      <c r="Z106" s="40">
        <f>-Z107*AVERAGE(U192:Y192)/4*1000</f>
        <v>-2949.6115769801854</v>
      </c>
      <c r="AA106" s="40">
        <f>-AA107*AVERAGE(V192:Z192)/4*1000</f>
        <v>-2995.4161419449679</v>
      </c>
      <c r="AB106" s="30">
        <f>SUM(I106:L106)</f>
        <v>-2600</v>
      </c>
      <c r="AC106" s="40">
        <f>SUM(N106:Q106)</f>
        <v>-3032.3848741679999</v>
      </c>
      <c r="AD106" s="40">
        <f>SUM(S106:V106)</f>
        <v>-6651.7981852701014</v>
      </c>
      <c r="AE106" s="40">
        <f>SUM(X106:AA106)</f>
        <v>-10965.536975497311</v>
      </c>
      <c r="AF106" s="40">
        <f>-AF107*((AF192+AE192)*1000/2)</f>
        <v>-18541.453128293808</v>
      </c>
      <c r="AG106" s="40">
        <f>-AG107*((AG192+AF192)*1000/2)</f>
        <v>-20955.570898638583</v>
      </c>
      <c r="AH106" s="72">
        <f>-AH107*((AH192+AG192)*1000/2)</f>
        <v>-20829.837473246735</v>
      </c>
      <c r="AI106" s="28"/>
      <c r="AJ106" s="26"/>
      <c r="AL106" s="26"/>
      <c r="AN106" s="28"/>
    </row>
    <row r="107" spans="2:40" x14ac:dyDescent="0.25">
      <c r="B107" s="43" t="s">
        <v>172</v>
      </c>
      <c r="C107" s="110"/>
      <c r="D107" s="194">
        <f>D228</f>
        <v>4.6512017323015924E-3</v>
      </c>
      <c r="E107" s="194">
        <f>E228</f>
        <v>4.5050216134067079E-3</v>
      </c>
      <c r="F107" s="194">
        <f>F228</f>
        <v>5.6263392366739471E-3</v>
      </c>
      <c r="G107" s="194">
        <f>G228</f>
        <v>8.4493989610638382E-3</v>
      </c>
      <c r="H107" s="195">
        <f>H228</f>
        <v>4.0886983615657877E-3</v>
      </c>
      <c r="I107" s="193"/>
      <c r="J107" s="194"/>
      <c r="K107" s="194"/>
      <c r="L107" s="194"/>
      <c r="M107" s="194"/>
      <c r="N107" s="194">
        <f>N228</f>
        <v>1.4E-3</v>
      </c>
      <c r="O107" s="194">
        <f>O228</f>
        <v>1.4E-3</v>
      </c>
      <c r="P107" s="208">
        <f>AVERAGE(O107,AC107)</f>
        <v>1.5E-3</v>
      </c>
      <c r="Q107" s="208">
        <f>AC107</f>
        <v>1.6000000000000001E-3</v>
      </c>
      <c r="R107" s="208"/>
      <c r="S107" s="208">
        <f>AVERAGE(AD107,Q107)</f>
        <v>2.3500000000000001E-3</v>
      </c>
      <c r="T107" s="208">
        <f>AVERAGE(S107,AD107)</f>
        <v>2.725E-3</v>
      </c>
      <c r="U107" s="208">
        <f>AD107</f>
        <v>3.0999999999999999E-3</v>
      </c>
      <c r="V107" s="208">
        <f>U107</f>
        <v>3.0999999999999999E-3</v>
      </c>
      <c r="W107" s="208"/>
      <c r="X107" s="208">
        <f>AVERAGE(AE107,V107)</f>
        <v>3.9499999999999995E-3</v>
      </c>
      <c r="Y107" s="208">
        <f>AVERAGE(X107,AE107)</f>
        <v>4.3749999999999995E-3</v>
      </c>
      <c r="Z107" s="208">
        <f>AE107</f>
        <v>4.7999999999999996E-3</v>
      </c>
      <c r="AA107" s="208">
        <f>Z107</f>
        <v>4.7999999999999996E-3</v>
      </c>
      <c r="AB107" s="196">
        <f t="shared" ref="AB107:AH107" si="210">AB228</f>
        <v>1.3613866428155356E-3</v>
      </c>
      <c r="AC107" s="202">
        <f t="shared" si="210"/>
        <v>1.6000000000000001E-3</v>
      </c>
      <c r="AD107" s="202">
        <f t="shared" si="210"/>
        <v>3.0999999999999999E-3</v>
      </c>
      <c r="AE107" s="202">
        <f t="shared" si="210"/>
        <v>4.7999999999999996E-3</v>
      </c>
      <c r="AF107" s="202">
        <f t="shared" si="210"/>
        <v>6.9999999999999993E-3</v>
      </c>
      <c r="AG107" s="202">
        <f t="shared" si="210"/>
        <v>7.4999999999999997E-3</v>
      </c>
      <c r="AH107" s="215">
        <f t="shared" si="210"/>
        <v>7.0999999999999935E-3</v>
      </c>
      <c r="AI107" s="28"/>
      <c r="AJ107" s="26"/>
      <c r="AL107" s="26"/>
      <c r="AN107" s="28"/>
    </row>
    <row r="108" spans="2:40" x14ac:dyDescent="0.25">
      <c r="B108" s="6" t="s">
        <v>30</v>
      </c>
      <c r="C108" s="113">
        <v>0</v>
      </c>
      <c r="D108" s="88">
        <v>0</v>
      </c>
      <c r="E108" s="88">
        <v>0</v>
      </c>
      <c r="F108" s="88">
        <v>0</v>
      </c>
      <c r="G108" s="88">
        <v>0</v>
      </c>
      <c r="H108" s="89">
        <v>-743</v>
      </c>
      <c r="I108" s="87">
        <v>-114</v>
      </c>
      <c r="J108" s="88">
        <v>-115</v>
      </c>
      <c r="K108" s="88">
        <v>-170</v>
      </c>
      <c r="L108" s="88">
        <v>-253</v>
      </c>
      <c r="M108" s="88"/>
      <c r="N108" s="88">
        <v>-249</v>
      </c>
      <c r="O108" s="88">
        <v>-943</v>
      </c>
      <c r="P108" s="128">
        <v>-950</v>
      </c>
      <c r="Q108" s="128">
        <f>P108</f>
        <v>-950</v>
      </c>
      <c r="R108" s="40"/>
      <c r="S108" s="128">
        <v>-1000</v>
      </c>
      <c r="T108" s="128">
        <f>S108</f>
        <v>-1000</v>
      </c>
      <c r="U108" s="128">
        <f t="shared" ref="U108:V108" si="211">T108</f>
        <v>-1000</v>
      </c>
      <c r="V108" s="128">
        <f t="shared" si="211"/>
        <v>-1000</v>
      </c>
      <c r="W108" s="40"/>
      <c r="X108" s="128">
        <v>-1000</v>
      </c>
      <c r="Y108" s="128">
        <f>X108</f>
        <v>-1000</v>
      </c>
      <c r="Z108" s="128">
        <f t="shared" ref="Z108:AA108" si="212">Y108</f>
        <v>-1000</v>
      </c>
      <c r="AA108" s="128">
        <f t="shared" si="212"/>
        <v>-1000</v>
      </c>
      <c r="AB108" s="30">
        <f>SUM(I108:L108)</f>
        <v>-652</v>
      </c>
      <c r="AC108" s="40">
        <f>SUM(N108:Q108)</f>
        <v>-3092</v>
      </c>
      <c r="AD108" s="40">
        <f>SUM(S108:V108)</f>
        <v>-4000</v>
      </c>
      <c r="AE108" s="40">
        <f>SUM(X108:AA108)</f>
        <v>-4000</v>
      </c>
      <c r="AF108" s="128">
        <f>AE108</f>
        <v>-4000</v>
      </c>
      <c r="AG108" s="128">
        <f>AF108</f>
        <v>-4000</v>
      </c>
      <c r="AH108" s="225">
        <f>AG108</f>
        <v>-4000</v>
      </c>
      <c r="AI108" s="28"/>
      <c r="AJ108" s="26"/>
      <c r="AL108" s="26"/>
      <c r="AN108" s="28"/>
    </row>
    <row r="109" spans="2:40" x14ac:dyDescent="0.25">
      <c r="B109" s="43" t="s">
        <v>172</v>
      </c>
      <c r="C109" s="113"/>
      <c r="D109" s="194">
        <f>D229</f>
        <v>0</v>
      </c>
      <c r="E109" s="194">
        <f t="shared" ref="E109:AH109" si="213">E229</f>
        <v>0</v>
      </c>
      <c r="F109" s="194">
        <f t="shared" si="213"/>
        <v>0</v>
      </c>
      <c r="G109" s="194">
        <f t="shared" si="213"/>
        <v>0</v>
      </c>
      <c r="H109" s="195">
        <f t="shared" si="213"/>
        <v>0</v>
      </c>
      <c r="I109" s="193"/>
      <c r="J109" s="194"/>
      <c r="K109" s="194"/>
      <c r="L109" s="194"/>
      <c r="M109" s="194"/>
      <c r="N109" s="194">
        <f>N229</f>
        <v>1.95E-2</v>
      </c>
      <c r="O109" s="194">
        <f>O229</f>
        <v>2.009E-2</v>
      </c>
      <c r="P109" s="208">
        <f>AVERAGE(O109,AC109)</f>
        <v>2.009E-2</v>
      </c>
      <c r="Q109" s="208">
        <f>AC109</f>
        <v>2.009E-2</v>
      </c>
      <c r="R109" s="208"/>
      <c r="S109" s="208">
        <f>AVERAGE(AD109,Q109)</f>
        <v>2.0289999999999999E-2</v>
      </c>
      <c r="T109" s="208">
        <f>AVERAGE(S109,AD109)</f>
        <v>2.0389999999999998E-2</v>
      </c>
      <c r="U109" s="208">
        <f>AD109</f>
        <v>2.0489999999999998E-2</v>
      </c>
      <c r="V109" s="208">
        <f>U109</f>
        <v>2.0489999999999998E-2</v>
      </c>
      <c r="W109" s="208"/>
      <c r="X109" s="208">
        <f>AVERAGE(AE109,V109)</f>
        <v>2.069E-2</v>
      </c>
      <c r="Y109" s="208">
        <f>AVERAGE(X109,AE109)</f>
        <v>2.0789999999999999E-2</v>
      </c>
      <c r="Z109" s="208">
        <f>AE109</f>
        <v>2.0889999999999999E-2</v>
      </c>
      <c r="AA109" s="208">
        <f>Z109</f>
        <v>2.0889999999999999E-2</v>
      </c>
      <c r="AB109" s="196">
        <f t="shared" si="213"/>
        <v>1.7584551960314797E-2</v>
      </c>
      <c r="AC109" s="202">
        <f t="shared" si="213"/>
        <v>2.009E-2</v>
      </c>
      <c r="AD109" s="202">
        <f t="shared" si="213"/>
        <v>2.0489999999999998E-2</v>
      </c>
      <c r="AE109" s="202">
        <f t="shared" si="213"/>
        <v>2.0889999999999999E-2</v>
      </c>
      <c r="AF109" s="202">
        <f t="shared" si="213"/>
        <v>2.129E-2</v>
      </c>
      <c r="AG109" s="202">
        <f t="shared" si="213"/>
        <v>2.1690000000000001E-2</v>
      </c>
      <c r="AH109" s="215">
        <f t="shared" si="213"/>
        <v>2.1690000000000001E-2</v>
      </c>
      <c r="AI109" s="28"/>
      <c r="AJ109" s="26"/>
      <c r="AL109" s="26"/>
      <c r="AN109" s="28"/>
    </row>
    <row r="110" spans="2:40" x14ac:dyDescent="0.25">
      <c r="B110" s="6" t="s">
        <v>31</v>
      </c>
      <c r="C110" s="113">
        <v>0</v>
      </c>
      <c r="D110" s="88">
        <v>0</v>
      </c>
      <c r="E110" s="88">
        <v>0</v>
      </c>
      <c r="F110" s="88">
        <v>0</v>
      </c>
      <c r="G110" s="88">
        <v>0</v>
      </c>
      <c r="H110" s="89">
        <v>-205</v>
      </c>
      <c r="I110" s="87">
        <v>-68</v>
      </c>
      <c r="J110" s="88">
        <v>-25</v>
      </c>
      <c r="K110" s="88">
        <v>0</v>
      </c>
      <c r="L110" s="88">
        <v>0</v>
      </c>
      <c r="M110" s="88"/>
      <c r="N110" s="88">
        <v>0</v>
      </c>
      <c r="O110" s="88">
        <v>0</v>
      </c>
      <c r="P110" s="27">
        <v>0</v>
      </c>
      <c r="Q110" s="27">
        <v>0</v>
      </c>
      <c r="S110" s="27">
        <v>0</v>
      </c>
      <c r="T110" s="27">
        <v>0</v>
      </c>
      <c r="U110" s="27">
        <v>0</v>
      </c>
      <c r="V110" s="27">
        <v>0</v>
      </c>
      <c r="X110" s="27">
        <v>0</v>
      </c>
      <c r="Y110" s="27">
        <v>0</v>
      </c>
      <c r="Z110" s="27">
        <v>0</v>
      </c>
      <c r="AA110" s="27">
        <v>0</v>
      </c>
      <c r="AB110" s="30">
        <f>SUM(I110:L110)</f>
        <v>-93</v>
      </c>
      <c r="AC110" s="27">
        <v>0</v>
      </c>
      <c r="AD110" s="27">
        <v>0</v>
      </c>
      <c r="AE110" s="27">
        <v>0</v>
      </c>
      <c r="AF110" s="27">
        <v>0</v>
      </c>
      <c r="AG110" s="27">
        <v>0</v>
      </c>
      <c r="AH110" s="28">
        <v>0</v>
      </c>
      <c r="AI110" s="28"/>
      <c r="AJ110" s="26"/>
      <c r="AL110" s="26"/>
      <c r="AN110" s="28"/>
    </row>
    <row r="111" spans="2:40" x14ac:dyDescent="0.25">
      <c r="B111" s="6" t="s">
        <v>32</v>
      </c>
      <c r="C111" s="87">
        <v>-1712.548</v>
      </c>
      <c r="D111" s="88">
        <v>-1701.5219999999999</v>
      </c>
      <c r="E111" s="88">
        <v>-2112.0169999999998</v>
      </c>
      <c r="F111" s="88">
        <v>-2163.1480000000001</v>
      </c>
      <c r="G111" s="88">
        <v>-2587</v>
      </c>
      <c r="H111" s="89">
        <v>-2281</v>
      </c>
      <c r="I111" s="87">
        <v>-257</v>
      </c>
      <c r="J111" s="88">
        <v>-258</v>
      </c>
      <c r="K111" s="88">
        <v>-289</v>
      </c>
      <c r="L111" s="88">
        <v>-247</v>
      </c>
      <c r="M111" s="88"/>
      <c r="N111" s="88">
        <v>-201</v>
      </c>
      <c r="O111" s="88">
        <v>-409</v>
      </c>
      <c r="P111" s="128">
        <f>O111</f>
        <v>-409</v>
      </c>
      <c r="Q111" s="128">
        <f>P111</f>
        <v>-409</v>
      </c>
      <c r="R111" s="128"/>
      <c r="S111" s="128">
        <v>-575</v>
      </c>
      <c r="T111" s="128">
        <v>-575</v>
      </c>
      <c r="U111" s="128">
        <v>-575</v>
      </c>
      <c r="V111" s="128">
        <v>-575</v>
      </c>
      <c r="W111" s="128"/>
      <c r="X111" s="128">
        <f t="shared" ref="X111:AA111" si="214">-2100/4</f>
        <v>-525</v>
      </c>
      <c r="Y111" s="128">
        <f t="shared" si="214"/>
        <v>-525</v>
      </c>
      <c r="Z111" s="128">
        <f t="shared" si="214"/>
        <v>-525</v>
      </c>
      <c r="AA111" s="128">
        <f t="shared" si="214"/>
        <v>-525</v>
      </c>
      <c r="AB111" s="30">
        <f>SUM(I111:L111)</f>
        <v>-1051</v>
      </c>
      <c r="AC111" s="128">
        <f>N111+(O111*3)</f>
        <v>-1428</v>
      </c>
      <c r="AD111" s="128">
        <v>-2100</v>
      </c>
      <c r="AE111" s="128">
        <v>-2100</v>
      </c>
      <c r="AF111" s="128">
        <v>0</v>
      </c>
      <c r="AG111" s="128">
        <v>0</v>
      </c>
      <c r="AH111" s="225">
        <v>0</v>
      </c>
      <c r="AI111" s="28"/>
      <c r="AJ111" s="26"/>
      <c r="AL111" s="26"/>
      <c r="AN111" s="28"/>
    </row>
    <row r="112" spans="2:40" x14ac:dyDescent="0.25">
      <c r="B112" s="8" t="s">
        <v>23</v>
      </c>
      <c r="C112" s="112">
        <v>37706.230000000003</v>
      </c>
      <c r="D112" s="98">
        <v>38105.758999999998</v>
      </c>
      <c r="E112" s="98">
        <v>39043.697</v>
      </c>
      <c r="F112" s="98">
        <v>40796.627</v>
      </c>
      <c r="G112" s="98">
        <v>47845.000999999997</v>
      </c>
      <c r="H112" s="99">
        <v>55244.999000000003</v>
      </c>
      <c r="I112" s="115">
        <v>14283</v>
      </c>
      <c r="J112" s="98">
        <v>15069</v>
      </c>
      <c r="K112" s="98">
        <v>17868</v>
      </c>
      <c r="L112" s="98">
        <v>19021.999</v>
      </c>
      <c r="M112" s="98"/>
      <c r="N112" s="98">
        <v>19188</v>
      </c>
      <c r="O112" s="98">
        <v>19194.001</v>
      </c>
      <c r="P112" s="16">
        <f>P96+P104</f>
        <v>21831.000560050001</v>
      </c>
      <c r="Q112" s="16">
        <f>Q96+Q104</f>
        <v>25401.330188494503</v>
      </c>
      <c r="R112" s="16"/>
      <c r="S112" s="16">
        <f>S96+S104</f>
        <v>24817.605838500731</v>
      </c>
      <c r="T112" s="16">
        <f>T96+T104</f>
        <v>24062.915070547213</v>
      </c>
      <c r="U112" s="16">
        <f>U96+U104</f>
        <v>24810.136423477194</v>
      </c>
      <c r="V112" s="16">
        <f>V96+V104</f>
        <v>25282.873337468031</v>
      </c>
      <c r="W112" s="16"/>
      <c r="X112" s="16">
        <f>X96+X104</f>
        <v>25511.553382414975</v>
      </c>
      <c r="Y112" s="16">
        <f>Y96+Y104</f>
        <v>25909.809660414496</v>
      </c>
      <c r="Z112" s="16">
        <f>Z96+Z104</f>
        <v>26383.058016241172</v>
      </c>
      <c r="AA112" s="16">
        <f>AA96+AA104</f>
        <v>27025.355548855485</v>
      </c>
      <c r="AB112" s="35">
        <f>SUM(I112:L112)</f>
        <v>66241.998999999996</v>
      </c>
      <c r="AC112" s="16">
        <f t="shared" ref="AC112:AH112" si="215">AC96+AC104</f>
        <v>85614.3317485445</v>
      </c>
      <c r="AD112" s="16">
        <f t="shared" si="215"/>
        <v>99173.530669993168</v>
      </c>
      <c r="AE112" s="16">
        <f t="shared" si="215"/>
        <v>104829.77660792612</v>
      </c>
      <c r="AF112" s="16">
        <f t="shared" si="215"/>
        <v>108923.25017668349</v>
      </c>
      <c r="AG112" s="16">
        <f t="shared" si="215"/>
        <v>115104.29110191735</v>
      </c>
      <c r="AH112" s="235">
        <f t="shared" si="215"/>
        <v>121701.25771716109</v>
      </c>
      <c r="AI112" s="28"/>
      <c r="AJ112" s="326">
        <f>(AB112/D112)^(1/5)-1</f>
        <v>0.1169367040308138</v>
      </c>
      <c r="AK112" s="335">
        <f>(AH112/AC112)^(1/5)-1</f>
        <v>7.2876466219107039E-2</v>
      </c>
      <c r="AL112" s="26"/>
      <c r="AN112" s="28"/>
    </row>
    <row r="113" spans="2:40" ht="13.8" x14ac:dyDescent="0.3">
      <c r="B113" s="44" t="s">
        <v>153</v>
      </c>
      <c r="C113" s="109"/>
      <c r="D113" s="219">
        <f>(D112/C112)-1</f>
        <v>1.0595835224046501E-2</v>
      </c>
      <c r="E113" s="219">
        <f t="shared" ref="E113" si="216">(E112/D112)-1</f>
        <v>2.4614074738676717E-2</v>
      </c>
      <c r="F113" s="219">
        <f t="shared" ref="F113" si="217">(F112/E112)-1</f>
        <v>4.48966192929936E-2</v>
      </c>
      <c r="G113" s="219">
        <f t="shared" ref="G113" si="218">(G112/F112)-1</f>
        <v>0.17276854775273454</v>
      </c>
      <c r="H113" s="219">
        <f t="shared" ref="H113" si="219">(H112/G112)-1</f>
        <v>0.15466606427701834</v>
      </c>
      <c r="I113" s="425"/>
      <c r="J113" s="160">
        <f>(J112/I112)-1</f>
        <v>5.5030455786599486E-2</v>
      </c>
      <c r="K113" s="160">
        <f t="shared" ref="K113" si="220">(K112/J112)-1</f>
        <v>0.18574557037626915</v>
      </c>
      <c r="L113" s="160">
        <f t="shared" ref="L113" si="221">(L112/K112)-1</f>
        <v>6.4584676516677764E-2</v>
      </c>
      <c r="M113" s="160"/>
      <c r="N113" s="160">
        <f>(N112/L112)-1</f>
        <v>8.7267904913674865E-3</v>
      </c>
      <c r="O113" s="160">
        <f t="shared" ref="O113" si="222">(O112/N112)-1</f>
        <v>3.1274755055243908E-4</v>
      </c>
      <c r="P113" s="79">
        <f t="shared" ref="P113" si="223">(P112/O112)-1</f>
        <v>0.13738665325952626</v>
      </c>
      <c r="Q113" s="79">
        <f t="shared" ref="Q113" si="224">(Q112/P112)-1</f>
        <v>0.16354402165964332</v>
      </c>
      <c r="R113" s="79"/>
      <c r="S113" s="79">
        <f>(S112/Q112)-1</f>
        <v>-2.2980070164127397E-2</v>
      </c>
      <c r="T113" s="79">
        <f t="shared" ref="T113" si="225">(T112/S112)-1</f>
        <v>-3.0409491264573596E-2</v>
      </c>
      <c r="U113" s="79">
        <f t="shared" ref="U113" si="226">(U112/T112)-1</f>
        <v>3.1052819275606991E-2</v>
      </c>
      <c r="V113" s="79">
        <f t="shared" ref="V113" si="227">(V112/U112)-1</f>
        <v>1.9054184383423989E-2</v>
      </c>
      <c r="W113" s="79"/>
      <c r="X113" s="79">
        <f>(X112/V112)-1</f>
        <v>9.0448598106154243E-3</v>
      </c>
      <c r="Y113" s="79">
        <f t="shared" ref="Y113" si="228">(Y112/X112)-1</f>
        <v>1.5610820400847825E-2</v>
      </c>
      <c r="Z113" s="79">
        <f t="shared" ref="Z113" si="229">(Z112/Y112)-1</f>
        <v>1.8265219313815084E-2</v>
      </c>
      <c r="AA113" s="79">
        <f t="shared" ref="AA113" si="230">(AA112/Z112)-1</f>
        <v>2.4345075245595815E-2</v>
      </c>
      <c r="AB113" s="80">
        <f>(AB112/H112)-1</f>
        <v>0.19905874195056095</v>
      </c>
      <c r="AC113" s="79">
        <f>(AC112/AB112)-1</f>
        <v>0.29244788866568627</v>
      </c>
      <c r="AD113" s="79">
        <f t="shared" ref="AD113" si="231">(AD112/AC112)-1</f>
        <v>0.15837534025579991</v>
      </c>
      <c r="AE113" s="79">
        <f t="shared" ref="AE113" si="232">(AE112/AD112)-1</f>
        <v>5.7033826462773662E-2</v>
      </c>
      <c r="AF113" s="79">
        <f t="shared" ref="AF113" si="233">(AF112/AE112)-1</f>
        <v>3.9048767451516975E-2</v>
      </c>
      <c r="AG113" s="79">
        <f t="shared" ref="AG113" si="234">(AG112/AF112)-1</f>
        <v>5.6746754390891274E-2</v>
      </c>
      <c r="AH113" s="129">
        <f t="shared" ref="AH113" si="235">(AH112/AG112)-1</f>
        <v>5.7312951168801751E-2</v>
      </c>
      <c r="AI113" s="28"/>
      <c r="AJ113" s="326"/>
      <c r="AK113" s="335"/>
      <c r="AL113" s="26"/>
      <c r="AN113" s="28"/>
    </row>
    <row r="114" spans="2:40" x14ac:dyDescent="0.25">
      <c r="B114" s="6" t="s">
        <v>33</v>
      </c>
      <c r="C114" s="87">
        <v>-865.5</v>
      </c>
      <c r="D114" s="88">
        <v>-1062</v>
      </c>
      <c r="E114" s="88">
        <v>-390</v>
      </c>
      <c r="F114" s="88">
        <v>-200.5</v>
      </c>
      <c r="G114" s="88">
        <v>-1104</v>
      </c>
      <c r="H114" s="89">
        <v>-6558</v>
      </c>
      <c r="I114" s="87">
        <v>-500</v>
      </c>
      <c r="J114" s="88">
        <v>0</v>
      </c>
      <c r="K114" s="88">
        <v>-150</v>
      </c>
      <c r="L114" s="88">
        <v>-50</v>
      </c>
      <c r="M114" s="88"/>
      <c r="N114" s="88">
        <v>-50</v>
      </c>
      <c r="O114" s="88">
        <v>-1100</v>
      </c>
      <c r="P114" s="128">
        <v>-800</v>
      </c>
      <c r="Q114" s="128">
        <f>P114</f>
        <v>-800</v>
      </c>
      <c r="R114" s="128"/>
      <c r="S114" s="128">
        <v>-900</v>
      </c>
      <c r="T114" s="128">
        <f>S114</f>
        <v>-900</v>
      </c>
      <c r="U114" s="128">
        <f t="shared" ref="U114:V114" si="236">T114</f>
        <v>-900</v>
      </c>
      <c r="V114" s="128">
        <f t="shared" si="236"/>
        <v>-900</v>
      </c>
      <c r="W114" s="128"/>
      <c r="X114" s="128">
        <v>-1500</v>
      </c>
      <c r="Y114" s="128">
        <f>X114</f>
        <v>-1500</v>
      </c>
      <c r="Z114" s="128">
        <f>Y114</f>
        <v>-1500</v>
      </c>
      <c r="AA114" s="128">
        <f>Z114</f>
        <v>-1500</v>
      </c>
      <c r="AB114" s="30">
        <f>SUM(I114:L114)</f>
        <v>-700</v>
      </c>
      <c r="AC114" s="40">
        <f>SUM(N114:Q114)</f>
        <v>-2750</v>
      </c>
      <c r="AD114" s="40">
        <f>SUM(S114:V114)*AI114</f>
        <v>-3600</v>
      </c>
      <c r="AE114" s="40">
        <f>SUM(X114:AA114)*AI114</f>
        <v>-6000</v>
      </c>
      <c r="AF114" s="40">
        <f>-AF115*AF179*1000*$AI$114</f>
        <v>-5653.8255577007658</v>
      </c>
      <c r="AG114" s="40">
        <f>-AG115*AG179*1000*$AI$114</f>
        <v>-5901.023535778806</v>
      </c>
      <c r="AH114" s="72">
        <f>-AH115*AH179*1000*AI114</f>
        <v>-6157.910531014124</v>
      </c>
      <c r="AI114" s="490">
        <f t="shared" ref="AI114" si="237">IF($B$1="Base",AL114,IF($B$1="Bear",AM114,AN114))</f>
        <v>1</v>
      </c>
      <c r="AJ114" s="26"/>
      <c r="AL114" s="488">
        <v>1</v>
      </c>
      <c r="AM114" s="489">
        <v>1.5</v>
      </c>
      <c r="AN114" s="490">
        <v>0.8</v>
      </c>
    </row>
    <row r="115" spans="2:40" x14ac:dyDescent="0.25">
      <c r="B115" s="43" t="s">
        <v>197</v>
      </c>
      <c r="C115" s="296">
        <f t="shared" ref="C115:L115" si="238">-C114/(C179*1000)</f>
        <v>1.1545004898163413E-3</v>
      </c>
      <c r="D115" s="297">
        <f t="shared" si="238"/>
        <v>1.4255048730541803E-3</v>
      </c>
      <c r="E115" s="297">
        <f t="shared" si="238"/>
        <v>5.1500049671797897E-4</v>
      </c>
      <c r="F115" s="297">
        <f t="shared" si="238"/>
        <v>2.5896052897527567E-4</v>
      </c>
      <c r="G115" s="297">
        <f t="shared" si="238"/>
        <v>1.1476676178145703E-3</v>
      </c>
      <c r="H115" s="298">
        <f t="shared" si="238"/>
        <v>6.2613618643269685E-3</v>
      </c>
      <c r="I115" s="296">
        <f t="shared" si="238"/>
        <v>4.7615327682909377E-4</v>
      </c>
      <c r="J115" s="297">
        <f t="shared" si="238"/>
        <v>0</v>
      </c>
      <c r="K115" s="297">
        <f t="shared" si="238"/>
        <v>1.1565301649991053E-4</v>
      </c>
      <c r="L115" s="297">
        <f t="shared" si="238"/>
        <v>3.7733940516610115E-5</v>
      </c>
      <c r="M115" s="297"/>
      <c r="N115" s="297">
        <f>-N114/(N179*1000)</f>
        <v>3.7282465102156787E-5</v>
      </c>
      <c r="O115" s="297">
        <f>-O114/(O179*1000)</f>
        <v>7.645036554780511E-4</v>
      </c>
      <c r="P115" s="297">
        <f>-P114/(P179*1000)</f>
        <v>5.4945054945054945E-4</v>
      </c>
      <c r="Q115" s="297">
        <f>-Q114/(Q179*1000)</f>
        <v>5.2574674146452422E-4</v>
      </c>
      <c r="R115" s="245"/>
      <c r="S115" s="297">
        <f>-S114/(S179*1000)</f>
        <v>5.8040356758830953E-4</v>
      </c>
      <c r="T115" s="297">
        <f>-T114/(T179*1000)</f>
        <v>5.6974819790602254E-4</v>
      </c>
      <c r="U115" s="297">
        <f>-U114/(U179*1000)</f>
        <v>5.5947700954951153E-4</v>
      </c>
      <c r="V115" s="297">
        <f>-V114/(V179*1000)</f>
        <v>5.4628026946601722E-4</v>
      </c>
      <c r="W115" s="245"/>
      <c r="X115" s="297">
        <f t="shared" ref="X115:AE115" si="239">-X114/(X179*1000)</f>
        <v>8.8260943764948926E-4</v>
      </c>
      <c r="Y115" s="297">
        <f t="shared" si="239"/>
        <v>8.5640587808694405E-4</v>
      </c>
      <c r="Z115" s="297">
        <f t="shared" si="239"/>
        <v>8.3171335882829898E-4</v>
      </c>
      <c r="AA115" s="297">
        <f t="shared" si="239"/>
        <v>8.2684441314266079E-4</v>
      </c>
      <c r="AB115" s="296">
        <f t="shared" si="239"/>
        <v>5.2827516723254154E-4</v>
      </c>
      <c r="AC115" s="228">
        <f t="shared" si="239"/>
        <v>1.8072544237843022E-3</v>
      </c>
      <c r="AD115" s="153">
        <f t="shared" si="239"/>
        <v>2.1851210778640689E-3</v>
      </c>
      <c r="AE115" s="153">
        <f t="shared" si="239"/>
        <v>3.3073776525706432E-3</v>
      </c>
      <c r="AF115" s="203">
        <v>3.0000000000000001E-3</v>
      </c>
      <c r="AG115" s="203">
        <f>AF115</f>
        <v>3.0000000000000001E-3</v>
      </c>
      <c r="AH115" s="216">
        <f>AG115</f>
        <v>3.0000000000000001E-3</v>
      </c>
      <c r="AI115" s="28"/>
      <c r="AJ115" s="26"/>
      <c r="AL115" s="26"/>
      <c r="AN115" s="28"/>
    </row>
    <row r="116" spans="2:40" x14ac:dyDescent="0.25">
      <c r="B116" s="2" t="s">
        <v>34</v>
      </c>
      <c r="C116" s="114">
        <v>36840.733</v>
      </c>
      <c r="D116" s="96">
        <v>37043.758000000002</v>
      </c>
      <c r="E116" s="96">
        <v>38653.694000000003</v>
      </c>
      <c r="F116" s="96">
        <v>40596.127</v>
      </c>
      <c r="G116" s="96">
        <v>46741.000999999997</v>
      </c>
      <c r="H116" s="97">
        <v>48687</v>
      </c>
      <c r="I116" s="116">
        <v>13783</v>
      </c>
      <c r="J116" s="96">
        <v>15069</v>
      </c>
      <c r="K116" s="96">
        <v>17718</v>
      </c>
      <c r="L116" s="96">
        <v>18971.999</v>
      </c>
      <c r="M116" s="96"/>
      <c r="N116" s="96">
        <v>19138</v>
      </c>
      <c r="O116" s="96">
        <v>18094.001</v>
      </c>
      <c r="P116" s="81">
        <f>P112+P114</f>
        <v>21031.000560050001</v>
      </c>
      <c r="Q116" s="261">
        <f t="shared" ref="Q116:AA116" si="240">Q112+Q114</f>
        <v>24601.330188494503</v>
      </c>
      <c r="R116" s="261"/>
      <c r="S116" s="261">
        <f t="shared" si="240"/>
        <v>23917.605838500731</v>
      </c>
      <c r="T116" s="261">
        <f t="shared" si="240"/>
        <v>23162.915070547213</v>
      </c>
      <c r="U116" s="261">
        <f t="shared" si="240"/>
        <v>23910.136423477194</v>
      </c>
      <c r="V116" s="261">
        <f t="shared" si="240"/>
        <v>24382.873337468031</v>
      </c>
      <c r="W116" s="261"/>
      <c r="X116" s="261">
        <f t="shared" si="240"/>
        <v>24011.553382414975</v>
      </c>
      <c r="Y116" s="261">
        <f t="shared" si="240"/>
        <v>24409.809660414496</v>
      </c>
      <c r="Z116" s="261">
        <f t="shared" si="240"/>
        <v>24883.058016241172</v>
      </c>
      <c r="AA116" s="261">
        <f t="shared" si="240"/>
        <v>25525.355548855485</v>
      </c>
      <c r="AB116" s="31">
        <f>SUM(I116:L116)</f>
        <v>65541.998999999996</v>
      </c>
      <c r="AC116" s="81">
        <f>AC112+AC114</f>
        <v>82864.3317485445</v>
      </c>
      <c r="AD116" s="81">
        <f>AD112+AD114</f>
        <v>95573.530669993168</v>
      </c>
      <c r="AE116" s="81">
        <f>AE112+AE114</f>
        <v>98829.77660792612</v>
      </c>
      <c r="AF116" s="81">
        <f>AF112+AF114</f>
        <v>103269.42461898272</v>
      </c>
      <c r="AG116" s="81">
        <f t="shared" ref="AD116:AH116" si="241">AG112+AG114</f>
        <v>109203.26756613854</v>
      </c>
      <c r="AH116" s="82">
        <f t="shared" si="241"/>
        <v>115543.34718614697</v>
      </c>
      <c r="AI116" s="28"/>
      <c r="AJ116" s="326">
        <f>(AB116/D116)^(1/5)-1</f>
        <v>0.12088466855209168</v>
      </c>
      <c r="AK116" s="335">
        <f>(AH116/AC116)^(1/5)-1</f>
        <v>6.8748362744474267E-2</v>
      </c>
      <c r="AL116" s="26"/>
      <c r="AN116" s="28"/>
    </row>
    <row r="117" spans="2:40" x14ac:dyDescent="0.25">
      <c r="B117" s="1"/>
      <c r="C117" s="111"/>
      <c r="D117" s="100"/>
      <c r="E117" s="100"/>
      <c r="F117" s="100"/>
      <c r="G117" s="100"/>
      <c r="H117" s="101"/>
      <c r="I117" s="111"/>
      <c r="J117" s="100"/>
      <c r="K117" s="100"/>
      <c r="L117" s="100"/>
      <c r="M117" s="100"/>
      <c r="N117" s="100"/>
      <c r="O117" s="100"/>
      <c r="AB117" s="30"/>
      <c r="AH117" s="28"/>
      <c r="AI117" s="28"/>
      <c r="AJ117" s="26"/>
      <c r="AL117" s="26"/>
      <c r="AN117" s="28"/>
    </row>
    <row r="118" spans="2:40" x14ac:dyDescent="0.25">
      <c r="B118" s="8" t="s">
        <v>35</v>
      </c>
      <c r="C118" s="115">
        <v>9044.5210000000006</v>
      </c>
      <c r="D118" s="98">
        <v>9553.7540000000008</v>
      </c>
      <c r="E118" s="98">
        <v>9734.5650000000005</v>
      </c>
      <c r="F118" s="98">
        <v>9621.33</v>
      </c>
      <c r="G118" s="98">
        <v>14762</v>
      </c>
      <c r="H118" s="99">
        <v>24243.999</v>
      </c>
      <c r="I118" s="112">
        <v>8576</v>
      </c>
      <c r="J118" s="102">
        <v>7751</v>
      </c>
      <c r="K118" s="102">
        <v>9438</v>
      </c>
      <c r="L118" s="102">
        <v>10815</v>
      </c>
      <c r="M118" s="102"/>
      <c r="N118" s="102">
        <v>9152</v>
      </c>
      <c r="O118" s="102">
        <v>10058</v>
      </c>
      <c r="P118" s="16">
        <f>P120+P122+P124+P128+P130+P132</f>
        <v>9754.0093277798624</v>
      </c>
      <c r="Q118" s="16">
        <f t="shared" ref="Q118:AA118" si="242">Q120+Q122+Q124+Q128+Q130+Q132</f>
        <v>9911.2677843785477</v>
      </c>
      <c r="R118" s="16"/>
      <c r="S118" s="16">
        <f t="shared" si="242"/>
        <v>10161.438908332768</v>
      </c>
      <c r="T118" s="16">
        <f t="shared" si="242"/>
        <v>10425.87299437605</v>
      </c>
      <c r="U118" s="16">
        <f t="shared" si="242"/>
        <v>10703.759777541187</v>
      </c>
      <c r="V118" s="16">
        <f t="shared" si="242"/>
        <v>11030.677264277041</v>
      </c>
      <c r="W118" s="16"/>
      <c r="X118" s="16">
        <f t="shared" si="242"/>
        <v>11395.00115294977</v>
      </c>
      <c r="Y118" s="16">
        <f t="shared" si="242"/>
        <v>11773.116603974046</v>
      </c>
      <c r="Z118" s="16">
        <f t="shared" si="242"/>
        <v>12161.938009337729</v>
      </c>
      <c r="AA118" s="16">
        <f t="shared" si="242"/>
        <v>12402.650104164155</v>
      </c>
      <c r="AB118" s="35">
        <f>SUM(I118:L118)</f>
        <v>36580</v>
      </c>
      <c r="AC118" s="14">
        <f>SUM(AC120,AC122,AC124,AC126,AC127,AC128,AC130,AC132)</f>
        <v>38875.277112158416</v>
      </c>
      <c r="AD118" s="14">
        <f t="shared" ref="AD118:AH118" si="243">SUM(AD120,AD122,AD124,AD126,AD127,AD128,AD130,AD132)</f>
        <v>42321.748944527055</v>
      </c>
      <c r="AE118" s="14">
        <f t="shared" si="243"/>
        <v>47732.705870425707</v>
      </c>
      <c r="AF118" s="14">
        <f t="shared" si="243"/>
        <v>52215.00146415663</v>
      </c>
      <c r="AG118" s="14">
        <f t="shared" si="243"/>
        <v>57233.248592103701</v>
      </c>
      <c r="AH118" s="305">
        <f t="shared" si="243"/>
        <v>63282.205719270416</v>
      </c>
      <c r="AI118" s="28"/>
      <c r="AJ118" s="326">
        <f>(AB118/D118)^(1/5)-1</f>
        <v>0.3080186290686604</v>
      </c>
      <c r="AK118" s="335">
        <f>(AH118/AC118)^(1/5)-1</f>
        <v>0.10235537006389173</v>
      </c>
      <c r="AL118" s="26"/>
      <c r="AN118" s="28"/>
    </row>
    <row r="119" spans="2:40" ht="13.8" x14ac:dyDescent="0.3">
      <c r="B119" s="44" t="s">
        <v>153</v>
      </c>
      <c r="C119" s="109"/>
      <c r="D119" s="219">
        <f>(D118/C118)-1</f>
        <v>5.6302926379407037E-2</v>
      </c>
      <c r="E119" s="219">
        <f t="shared" ref="E119" si="244">(E118/D118)-1</f>
        <v>1.8925649540484368E-2</v>
      </c>
      <c r="F119" s="219">
        <f t="shared" ref="F119" si="245">(F118/E118)-1</f>
        <v>-1.1632260917668225E-2</v>
      </c>
      <c r="G119" s="219">
        <f t="shared" ref="G119" si="246">(G118/F118)-1</f>
        <v>0.53429931204937375</v>
      </c>
      <c r="H119" s="219">
        <f t="shared" ref="H119" si="247">(H118/G118)-1</f>
        <v>0.64232482048502915</v>
      </c>
      <c r="I119" s="425"/>
      <c r="J119" s="160">
        <f>(J118/I118)-1</f>
        <v>-9.6198694029850706E-2</v>
      </c>
      <c r="K119" s="160">
        <f t="shared" ref="K119" si="248">(K118/J118)-1</f>
        <v>0.21764933556960386</v>
      </c>
      <c r="L119" s="160">
        <f t="shared" ref="L119" si="249">(L118/K118)-1</f>
        <v>0.14589955499046403</v>
      </c>
      <c r="M119" s="160"/>
      <c r="N119" s="160">
        <f>(N118/L118)-1</f>
        <v>-0.15376791493296349</v>
      </c>
      <c r="O119" s="160">
        <f t="shared" ref="O119" si="250">(O118/N118)-1</f>
        <v>9.8994755244755206E-2</v>
      </c>
      <c r="P119" s="79">
        <f t="shared" ref="P119" si="251">(P118/O118)-1</f>
        <v>-3.022376935972737E-2</v>
      </c>
      <c r="Q119" s="79">
        <f t="shared" ref="Q119" si="252">(Q118/P118)-1</f>
        <v>1.6122442711922202E-2</v>
      </c>
      <c r="R119" s="79"/>
      <c r="S119" s="79">
        <f>(S118/Q118)-1</f>
        <v>2.5241082109447532E-2</v>
      </c>
      <c r="T119" s="79">
        <f t="shared" ref="T119" si="253">(T118/S118)-1</f>
        <v>2.6023291428385775E-2</v>
      </c>
      <c r="U119" s="79">
        <f t="shared" ref="U119" si="254">(U118/T118)-1</f>
        <v>2.665357455582229E-2</v>
      </c>
      <c r="V119" s="79">
        <f t="shared" ref="V119" si="255">(V118/U118)-1</f>
        <v>3.0542304155760203E-2</v>
      </c>
      <c r="W119" s="79"/>
      <c r="X119" s="79">
        <f>(X118/V118)-1</f>
        <v>3.302824295771889E-2</v>
      </c>
      <c r="Y119" s="79">
        <f t="shared" ref="Y119" si="256">(Y118/X118)-1</f>
        <v>3.3182572423557488E-2</v>
      </c>
      <c r="Z119" s="79">
        <f t="shared" ref="Z119" si="257">(Z118/Y118)-1</f>
        <v>3.3026208644908461E-2</v>
      </c>
      <c r="AA119" s="79">
        <f t="shared" ref="AA119" si="258">(AA118/Z118)-1</f>
        <v>1.9792248130323653E-2</v>
      </c>
      <c r="AB119" s="80">
        <f>(AB118/H118)-1</f>
        <v>0.50882698848486174</v>
      </c>
      <c r="AC119" s="79">
        <f>(AC118/AB118)-1</f>
        <v>6.274677725966149E-2</v>
      </c>
      <c r="AD119" s="79">
        <f t="shared" ref="AD119" si="259">(AD118/AC118)-1</f>
        <v>8.865459202838033E-2</v>
      </c>
      <c r="AE119" s="79">
        <f t="shared" ref="AE119" si="260">(AE118/AD118)-1</f>
        <v>0.12785286669015083</v>
      </c>
      <c r="AF119" s="79">
        <f t="shared" ref="AF119" si="261">(AF118/AE118)-1</f>
        <v>9.3904075036066015E-2</v>
      </c>
      <c r="AG119" s="79">
        <f t="shared" ref="AG119" si="262">(AG118/AF118)-1</f>
        <v>9.6107382691387633E-2</v>
      </c>
      <c r="AH119" s="129">
        <f t="shared" ref="AH119" si="263">(AH118/AG118)-1</f>
        <v>0.10568956464933699</v>
      </c>
      <c r="AI119" s="28"/>
      <c r="AJ119" s="326"/>
      <c r="AK119" s="335"/>
      <c r="AL119" s="26"/>
      <c r="AN119" s="28"/>
    </row>
    <row r="120" spans="2:40" x14ac:dyDescent="0.25">
      <c r="B120" s="6" t="s">
        <v>36</v>
      </c>
      <c r="C120" s="87">
        <v>4268.4380000000001</v>
      </c>
      <c r="D120" s="88">
        <v>4307.2139999999999</v>
      </c>
      <c r="E120" s="88">
        <v>4466.9970000000003</v>
      </c>
      <c r="F120" s="88">
        <v>4373.8540000000003</v>
      </c>
      <c r="G120" s="88">
        <v>4783</v>
      </c>
      <c r="H120" s="89">
        <v>5293</v>
      </c>
      <c r="I120" s="110">
        <v>1222</v>
      </c>
      <c r="J120" s="254">
        <v>1264</v>
      </c>
      <c r="K120" s="254">
        <v>1792</v>
      </c>
      <c r="L120" s="254">
        <v>1935</v>
      </c>
      <c r="M120" s="254"/>
      <c r="N120" s="254">
        <v>1825</v>
      </c>
      <c r="O120" s="254">
        <v>1895</v>
      </c>
      <c r="P120" s="40">
        <f>P121*P192*1000</f>
        <v>2108.8516868369993</v>
      </c>
      <c r="Q120" s="40">
        <f>Q121*Q192*1000</f>
        <v>1913.9973749999997</v>
      </c>
      <c r="R120" s="40"/>
      <c r="S120" s="40">
        <f>S121*S192*1000</f>
        <v>1923.5673618749995</v>
      </c>
      <c r="T120" s="40">
        <f>T121*T192*1000</f>
        <v>1937.9941170890622</v>
      </c>
      <c r="U120" s="40">
        <f>U121*U192*1000</f>
        <v>1955.7835009874818</v>
      </c>
      <c r="V120" s="40">
        <f>V121*V192*1000</f>
        <v>1979.4068752559208</v>
      </c>
      <c r="W120" s="40"/>
      <c r="X120" s="40">
        <f>X121*X192*1000</f>
        <v>2010.6447463127429</v>
      </c>
      <c r="Y120" s="40">
        <f>Y121*Y192*1000</f>
        <v>2045.4260123055387</v>
      </c>
      <c r="Z120" s="40">
        <f>Z121*Z192*1000</f>
        <v>2079.8799219057437</v>
      </c>
      <c r="AA120" s="40">
        <f>AA121*AA192*1000</f>
        <v>2090.1634592169012</v>
      </c>
      <c r="AB120" s="30">
        <f>SUM(I120:L120)</f>
        <v>6213</v>
      </c>
      <c r="AC120" s="299">
        <f>SUM(N120:Q120)</f>
        <v>7742.8490618369988</v>
      </c>
      <c r="AD120" s="40">
        <f>SUM(S120:V120)</f>
        <v>7796.7518552074644</v>
      </c>
      <c r="AE120" s="40">
        <f>SUM(X120:AA120)</f>
        <v>8226.1141397409265</v>
      </c>
      <c r="AF120" s="128">
        <f>SUM($X$121:$AA$121)*AF192*1000</f>
        <v>8862.2930670796613</v>
      </c>
      <c r="AG120" s="128">
        <f>SUM($X$121:$AA$121)*AG192*1000</f>
        <v>9305.4077204336463</v>
      </c>
      <c r="AH120" s="225">
        <f>SUM($X$121:$AA$121)*AH192*1000</f>
        <v>9770.6781064553306</v>
      </c>
      <c r="AI120" s="28"/>
      <c r="AJ120" s="26"/>
      <c r="AL120" s="26"/>
      <c r="AN120" s="28"/>
    </row>
    <row r="121" spans="2:40" x14ac:dyDescent="0.25">
      <c r="B121" s="43" t="s">
        <v>198</v>
      </c>
      <c r="C121" s="296">
        <f t="shared" ref="C121:L121" si="264">C120/(C192*1000)</f>
        <v>4.2196826890927236E-3</v>
      </c>
      <c r="D121" s="297">
        <f t="shared" si="264"/>
        <v>4.124275306060291E-3</v>
      </c>
      <c r="E121" s="297">
        <f t="shared" si="264"/>
        <v>4.1826388270538757E-3</v>
      </c>
      <c r="F121" s="297">
        <f t="shared" si="264"/>
        <v>4.0307356599479311E-3</v>
      </c>
      <c r="G121" s="297">
        <f t="shared" si="264"/>
        <v>3.6970278546499904E-3</v>
      </c>
      <c r="H121" s="298">
        <f t="shared" si="264"/>
        <v>3.6629073924459282E-3</v>
      </c>
      <c r="I121" s="296">
        <f t="shared" si="264"/>
        <v>8.0084727702049556E-4</v>
      </c>
      <c r="J121" s="297">
        <f t="shared" si="264"/>
        <v>8.1960091726285083E-4</v>
      </c>
      <c r="K121" s="297">
        <f t="shared" si="264"/>
        <v>8.163555563809817E-4</v>
      </c>
      <c r="L121" s="297">
        <f t="shared" si="264"/>
        <v>8.1487134871577511E-4</v>
      </c>
      <c r="M121" s="297"/>
      <c r="N121" s="297">
        <f>N120/(N192*1000)</f>
        <v>7.7633608173463661E-4</v>
      </c>
      <c r="O121" s="297">
        <f>O120/(O192*1000)</f>
        <v>8.1277764135742332E-4</v>
      </c>
      <c r="P121" s="204">
        <v>8.9999999999999998E-4</v>
      </c>
      <c r="Q121" s="204">
        <f>O121</f>
        <v>8.1277764135742332E-4</v>
      </c>
      <c r="R121" s="204"/>
      <c r="S121" s="204">
        <f>Q121</f>
        <v>8.1277764135742332E-4</v>
      </c>
      <c r="T121" s="204">
        <f t="shared" ref="T121:AA121" si="265">S121</f>
        <v>8.1277764135742332E-4</v>
      </c>
      <c r="U121" s="204">
        <f t="shared" si="265"/>
        <v>8.1277764135742332E-4</v>
      </c>
      <c r="V121" s="204">
        <f t="shared" si="265"/>
        <v>8.1277764135742332E-4</v>
      </c>
      <c r="W121" s="204"/>
      <c r="X121" s="204">
        <f>V121</f>
        <v>8.1277764135742332E-4</v>
      </c>
      <c r="Y121" s="204">
        <f t="shared" si="265"/>
        <v>8.1277764135742332E-4</v>
      </c>
      <c r="Z121" s="204">
        <f t="shared" si="265"/>
        <v>8.1277764135742332E-4</v>
      </c>
      <c r="AA121" s="204">
        <f t="shared" si="265"/>
        <v>8.1277764135742332E-4</v>
      </c>
      <c r="AB121" s="296">
        <f t="shared" ref="AB121:AH121" si="266">AB120/(AB192*1000)</f>
        <v>2.6164318809153027E-3</v>
      </c>
      <c r="AC121" s="297">
        <f t="shared" si="266"/>
        <v>3.2879954173742868E-3</v>
      </c>
      <c r="AD121" s="297">
        <f t="shared" si="266"/>
        <v>3.2014769991668907E-3</v>
      </c>
      <c r="AE121" s="297">
        <f t="shared" si="266"/>
        <v>3.198793672596568E-3</v>
      </c>
      <c r="AF121" s="297">
        <f t="shared" si="266"/>
        <v>3.2511105654296924E-3</v>
      </c>
      <c r="AG121" s="297">
        <f t="shared" si="266"/>
        <v>3.2511105654296933E-3</v>
      </c>
      <c r="AH121" s="298">
        <f t="shared" si="266"/>
        <v>3.2511105654296933E-3</v>
      </c>
      <c r="AI121" s="28"/>
      <c r="AJ121" s="26"/>
      <c r="AL121" s="26"/>
      <c r="AN121" s="28"/>
    </row>
    <row r="122" spans="2:40" x14ac:dyDescent="0.25">
      <c r="B122" s="6" t="s">
        <v>37</v>
      </c>
      <c r="C122" s="87">
        <v>527.18700000000001</v>
      </c>
      <c r="D122" s="88">
        <v>681.80600000000004</v>
      </c>
      <c r="E122" s="88">
        <v>858.65800000000002</v>
      </c>
      <c r="F122" s="88">
        <v>651.98500000000001</v>
      </c>
      <c r="G122" s="88">
        <v>3199</v>
      </c>
      <c r="H122" s="89">
        <v>9149</v>
      </c>
      <c r="I122" s="110">
        <v>3995</v>
      </c>
      <c r="J122" s="254">
        <v>3005</v>
      </c>
      <c r="K122" s="254">
        <v>3107</v>
      </c>
      <c r="L122" s="254">
        <v>3106</v>
      </c>
      <c r="M122" s="254"/>
      <c r="N122" s="254">
        <v>2912</v>
      </c>
      <c r="O122" s="254">
        <v>2736</v>
      </c>
      <c r="P122" s="40">
        <f>($O$40/$O$31)*P179*P123*1000</f>
        <v>2751.6384076321319</v>
      </c>
      <c r="Q122" s="40">
        <f>($O$40/$O$31)*Q179*Q123*1000</f>
        <v>2875.698726636288</v>
      </c>
      <c r="R122" s="40"/>
      <c r="S122" s="40">
        <f>($O$40/$O$31)*S179*S123*1000</f>
        <v>2930.5047114036856</v>
      </c>
      <c r="T122" s="40">
        <f>($O$40/$O$31)*T179*T123*1000</f>
        <v>2985.3106961710841</v>
      </c>
      <c r="U122" s="40">
        <f>($O$40/$O$31)*U179*U123*1000</f>
        <v>3040.1166809384822</v>
      </c>
      <c r="V122" s="40">
        <f>($O$40/$O$31)*V179*V123*1000</f>
        <v>3113.5581576022059</v>
      </c>
      <c r="W122" s="40"/>
      <c r="X122" s="40">
        <f>($O$40/$O$31)*X179*X123*1000</f>
        <v>3211.8309578747817</v>
      </c>
      <c r="Y122" s="40">
        <f>($O$40/$O$31)*Y179*Y123*1000</f>
        <v>3310.1037581473579</v>
      </c>
      <c r="Z122" s="40">
        <f>($O$40/$O$31)*Z179*Z123*1000</f>
        <v>3408.3765584199336</v>
      </c>
      <c r="AA122" s="40">
        <f>($O$40/$O$31)*AA179*AA123*1000</f>
        <v>3428.4470820582019</v>
      </c>
      <c r="AB122" s="30">
        <f>SUM(I122:L122)</f>
        <v>13213</v>
      </c>
      <c r="AC122" s="299">
        <f>SUM(N122:Q122)</f>
        <v>11275.33713426842</v>
      </c>
      <c r="AD122" s="40">
        <f>SUM(S122:V122)</f>
        <v>12069.490246115456</v>
      </c>
      <c r="AE122" s="40">
        <f>SUM(X122:AA122)</f>
        <v>13358.758356500275</v>
      </c>
      <c r="AF122" s="40">
        <f>($O$40/$O$31)*AF179*AF123*1000</f>
        <v>14022.240808800574</v>
      </c>
      <c r="AG122" s="40">
        <f>($O$40/$O$31)*AG179*AG123*1000</f>
        <v>14635.324735901519</v>
      </c>
      <c r="AH122" s="72">
        <f>($O$40/$O$31)*AH179*AH123*1000</f>
        <v>15272.438716705643</v>
      </c>
      <c r="AI122" s="28"/>
      <c r="AJ122" s="26"/>
      <c r="AL122" s="26"/>
      <c r="AN122" s="28"/>
    </row>
    <row r="123" spans="2:40" x14ac:dyDescent="0.25">
      <c r="B123" s="43" t="s">
        <v>199</v>
      </c>
      <c r="C123" s="296">
        <f t="shared" ref="C123:L123" si="267">C122/C40</f>
        <v>2.6760489741220902E-3</v>
      </c>
      <c r="D123" s="297">
        <f t="shared" si="267"/>
        <v>3.4860721955210145E-3</v>
      </c>
      <c r="E123" s="297">
        <f t="shared" si="267"/>
        <v>4.4278067696623419E-3</v>
      </c>
      <c r="F123" s="297">
        <f t="shared" si="267"/>
        <v>3.4755479977824216E-3</v>
      </c>
      <c r="G123" s="297">
        <f t="shared" si="267"/>
        <v>1.6422308466292942E-2</v>
      </c>
      <c r="H123" s="298">
        <f t="shared" si="267"/>
        <v>4.9988799099556884E-2</v>
      </c>
      <c r="I123" s="296">
        <f t="shared" si="267"/>
        <v>2.2417246971286844E-2</v>
      </c>
      <c r="J123" s="297">
        <f t="shared" si="267"/>
        <v>1.7658500467171642E-2</v>
      </c>
      <c r="K123" s="297">
        <f t="shared" si="267"/>
        <v>1.4237664051616687E-2</v>
      </c>
      <c r="L123" s="297">
        <f t="shared" si="267"/>
        <v>1.4614613672615715E-2</v>
      </c>
      <c r="M123" s="297"/>
      <c r="N123" s="297">
        <f>N122/N40</f>
        <v>1.4021166568762459E-2</v>
      </c>
      <c r="O123" s="297">
        <f>O122/O40</f>
        <v>1.2655593022771741E-2</v>
      </c>
      <c r="P123" s="204">
        <v>1.2699999999999999E-2</v>
      </c>
      <c r="Q123" s="204">
        <f>P123</f>
        <v>1.2699999999999999E-2</v>
      </c>
      <c r="R123" s="204"/>
      <c r="S123" s="204">
        <f>Q123</f>
        <v>1.2699999999999999E-2</v>
      </c>
      <c r="T123" s="204">
        <f t="shared" ref="T123:AA123" si="268">S123</f>
        <v>1.2699999999999999E-2</v>
      </c>
      <c r="U123" s="204">
        <f t="shared" si="268"/>
        <v>1.2699999999999999E-2</v>
      </c>
      <c r="V123" s="204">
        <f t="shared" si="268"/>
        <v>1.2699999999999999E-2</v>
      </c>
      <c r="W123" s="204"/>
      <c r="X123" s="204">
        <f>V123</f>
        <v>1.2699999999999999E-2</v>
      </c>
      <c r="Y123" s="204">
        <f t="shared" si="268"/>
        <v>1.2699999999999999E-2</v>
      </c>
      <c r="Z123" s="204">
        <f t="shared" si="268"/>
        <v>1.2699999999999999E-2</v>
      </c>
      <c r="AA123" s="204">
        <f t="shared" si="268"/>
        <v>1.2699999999999999E-2</v>
      </c>
      <c r="AB123" s="296">
        <f>AB122/AB40</f>
        <v>6.2170924164929635E-2</v>
      </c>
      <c r="AC123" s="151">
        <f>AC122/AC40</f>
        <v>5.0598969905663246E-2</v>
      </c>
      <c r="AD123" s="151">
        <f>AD122/AD40</f>
        <v>5.3783727288353254E-2</v>
      </c>
      <c r="AE123" s="151">
        <f>AE122/AE40</f>
        <v>5.6517130174377164E-2</v>
      </c>
      <c r="AF123" s="204">
        <v>0.05</v>
      </c>
      <c r="AG123" s="204">
        <f>AF123</f>
        <v>0.05</v>
      </c>
      <c r="AH123" s="210">
        <f>AG123</f>
        <v>0.05</v>
      </c>
      <c r="AI123" s="28"/>
      <c r="AJ123" s="26"/>
      <c r="AL123" s="26"/>
      <c r="AN123" s="28"/>
    </row>
    <row r="124" spans="2:40" x14ac:dyDescent="0.25">
      <c r="B124" s="6" t="s">
        <v>38</v>
      </c>
      <c r="C124" s="87">
        <v>0</v>
      </c>
      <c r="D124" s="88">
        <v>0</v>
      </c>
      <c r="E124" s="88">
        <v>0</v>
      </c>
      <c r="F124" s="88">
        <v>0</v>
      </c>
      <c r="G124" s="88">
        <v>0</v>
      </c>
      <c r="H124" s="89">
        <v>1600</v>
      </c>
      <c r="I124" s="110">
        <v>1471</v>
      </c>
      <c r="J124" s="254">
        <v>1263</v>
      </c>
      <c r="K124" s="254">
        <v>1813</v>
      </c>
      <c r="L124" s="254">
        <v>2999</v>
      </c>
      <c r="M124" s="254"/>
      <c r="N124" s="254">
        <v>1726</v>
      </c>
      <c r="O124" s="254">
        <v>1863</v>
      </c>
      <c r="P124" s="144">
        <f>O124*(1+P125)</f>
        <v>1956.15</v>
      </c>
      <c r="Q124" s="144">
        <f t="shared" ref="Q124:AA124" si="269">P124*(1+Q125)</f>
        <v>2053.9575</v>
      </c>
      <c r="R124" s="144"/>
      <c r="S124" s="144">
        <f>Q124*(1+S125)</f>
        <v>2156.6553750000003</v>
      </c>
      <c r="T124" s="144">
        <f t="shared" si="269"/>
        <v>2264.4881437500003</v>
      </c>
      <c r="U124" s="144">
        <f t="shared" si="269"/>
        <v>2377.7125509375005</v>
      </c>
      <c r="V124" s="144">
        <f t="shared" si="269"/>
        <v>2496.5981784843757</v>
      </c>
      <c r="W124" s="144"/>
      <c r="X124" s="144">
        <f>V124*(1+X125)</f>
        <v>2596.4621056237506</v>
      </c>
      <c r="Y124" s="144">
        <f t="shared" si="269"/>
        <v>2700.3205898487008</v>
      </c>
      <c r="Z124" s="144">
        <f t="shared" si="269"/>
        <v>2808.3334134426491</v>
      </c>
      <c r="AA124" s="144">
        <f t="shared" si="269"/>
        <v>2920.6667499803552</v>
      </c>
      <c r="AB124" s="30">
        <f>SUM(I124:L124)</f>
        <v>7546</v>
      </c>
      <c r="AC124" s="299">
        <f>SUM(N124:Q124)</f>
        <v>7599.1075000000001</v>
      </c>
      <c r="AD124" s="40">
        <f>SUM(S124:V124)</f>
        <v>9295.4542481718763</v>
      </c>
      <c r="AE124" s="40">
        <f>SUM(X124:AA124)</f>
        <v>11025.782858895456</v>
      </c>
      <c r="AF124" s="40">
        <f t="shared" ref="AF124:AH124" si="270">AE124*(1+AF125)</f>
        <v>11687.329830429184</v>
      </c>
      <c r="AG124" s="40">
        <f t="shared" si="270"/>
        <v>12271.696321950643</v>
      </c>
      <c r="AH124" s="72">
        <f t="shared" si="270"/>
        <v>12762.564174828669</v>
      </c>
      <c r="AI124" s="28"/>
      <c r="AJ124" s="26"/>
      <c r="AL124" s="26"/>
      <c r="AN124" s="28"/>
    </row>
    <row r="125" spans="2:40" x14ac:dyDescent="0.25">
      <c r="B125" s="43" t="s">
        <v>140</v>
      </c>
      <c r="C125" s="87"/>
      <c r="D125" s="88"/>
      <c r="E125" s="88"/>
      <c r="F125" s="88"/>
      <c r="G125" s="88"/>
      <c r="H125" s="89"/>
      <c r="I125" s="110"/>
      <c r="J125" s="219">
        <f>(J124/I124)-1</f>
        <v>-0.141400407885792</v>
      </c>
      <c r="K125" s="219">
        <f>(K124/J124)-1</f>
        <v>0.43547110055423599</v>
      </c>
      <c r="L125" s="219">
        <f t="shared" ref="L125:O125" si="271">(L124/K124)-1</f>
        <v>0.65416436845008263</v>
      </c>
      <c r="M125" s="219"/>
      <c r="N125" s="219">
        <f>(N124/L124)-1</f>
        <v>-0.42447482494164723</v>
      </c>
      <c r="O125" s="219">
        <f t="shared" si="271"/>
        <v>7.9374275782155168E-2</v>
      </c>
      <c r="P125" s="313">
        <v>0.05</v>
      </c>
      <c r="Q125" s="313">
        <v>0.05</v>
      </c>
      <c r="R125" s="313"/>
      <c r="S125" s="313">
        <v>0.05</v>
      </c>
      <c r="T125" s="313">
        <f>S125</f>
        <v>0.05</v>
      </c>
      <c r="U125" s="313">
        <f>T125</f>
        <v>0.05</v>
      </c>
      <c r="V125" s="313">
        <f>U125</f>
        <v>0.05</v>
      </c>
      <c r="W125" s="313"/>
      <c r="X125" s="313">
        <v>0.04</v>
      </c>
      <c r="Y125" s="313">
        <v>0.04</v>
      </c>
      <c r="Z125" s="313">
        <v>0.04</v>
      </c>
      <c r="AA125" s="313">
        <v>0.04</v>
      </c>
      <c r="AB125" s="80">
        <f>(AB124/H124)-1</f>
        <v>3.7162499999999996</v>
      </c>
      <c r="AC125" s="79">
        <f>(AC124/AB124)-1</f>
        <v>7.0378346143651349E-3</v>
      </c>
      <c r="AD125" s="79">
        <f>(AD124/AC124)-1</f>
        <v>0.22322973430391357</v>
      </c>
      <c r="AE125" s="79">
        <f>(AE124/AD124)-1</f>
        <v>0.18614782715582523</v>
      </c>
      <c r="AF125" s="233">
        <v>0.06</v>
      </c>
      <c r="AG125" s="233">
        <v>0.05</v>
      </c>
      <c r="AH125" s="264">
        <v>0.04</v>
      </c>
      <c r="AI125" s="28"/>
      <c r="AJ125" s="26"/>
      <c r="AL125" s="26"/>
      <c r="AN125" s="28"/>
    </row>
    <row r="126" spans="2:40" x14ac:dyDescent="0.25">
      <c r="B126" s="6" t="s">
        <v>39</v>
      </c>
      <c r="C126" s="87">
        <v>-11.465999999999999</v>
      </c>
      <c r="D126" s="88">
        <v>385.22300000000001</v>
      </c>
      <c r="E126" s="88">
        <v>0</v>
      </c>
      <c r="F126" s="88">
        <v>115.90900000000001</v>
      </c>
      <c r="G126" s="88">
        <v>97</v>
      </c>
      <c r="H126" s="89">
        <v>926</v>
      </c>
      <c r="I126" s="110">
        <v>-4</v>
      </c>
      <c r="J126" s="254">
        <v>141</v>
      </c>
      <c r="K126" s="254">
        <v>0</v>
      </c>
      <c r="L126" s="254">
        <v>-224</v>
      </c>
      <c r="M126" s="254"/>
      <c r="N126" s="254">
        <v>24</v>
      </c>
      <c r="O126" s="254">
        <v>0</v>
      </c>
      <c r="P126" s="185">
        <v>0</v>
      </c>
      <c r="Q126" s="185">
        <v>0</v>
      </c>
      <c r="R126" s="185"/>
      <c r="S126" s="185">
        <v>0</v>
      </c>
      <c r="T126" s="185">
        <v>0</v>
      </c>
      <c r="U126" s="185">
        <v>0</v>
      </c>
      <c r="V126" s="185">
        <v>0</v>
      </c>
      <c r="W126" s="185"/>
      <c r="X126" s="185">
        <v>0</v>
      </c>
      <c r="Y126" s="185">
        <v>0</v>
      </c>
      <c r="Z126" s="185">
        <v>0</v>
      </c>
      <c r="AA126" s="185">
        <v>0</v>
      </c>
      <c r="AB126" s="30">
        <f>SUM(I126:L126)</f>
        <v>-87</v>
      </c>
      <c r="AC126" s="299">
        <f>SUM(N126:Q126)</f>
        <v>24</v>
      </c>
      <c r="AD126" s="27">
        <f>SUM(S126:V126)</f>
        <v>0</v>
      </c>
      <c r="AE126" s="27">
        <f>SUM(X126:AA126)</f>
        <v>0</v>
      </c>
      <c r="AF126" s="185">
        <v>0</v>
      </c>
      <c r="AG126" s="185">
        <v>0</v>
      </c>
      <c r="AH126" s="186">
        <v>0</v>
      </c>
      <c r="AI126" s="28"/>
      <c r="AJ126" s="26"/>
      <c r="AL126" s="26"/>
      <c r="AN126" s="28"/>
    </row>
    <row r="127" spans="2:40" x14ac:dyDescent="0.25">
      <c r="B127" s="6" t="s">
        <v>40</v>
      </c>
      <c r="C127" s="87">
        <v>0</v>
      </c>
      <c r="D127" s="88">
        <v>0</v>
      </c>
      <c r="E127" s="88">
        <v>0</v>
      </c>
      <c r="F127" s="88">
        <v>0</v>
      </c>
      <c r="G127" s="88">
        <v>0</v>
      </c>
      <c r="H127" s="89">
        <v>1082</v>
      </c>
      <c r="I127" s="113">
        <v>0</v>
      </c>
      <c r="J127" s="255">
        <v>0</v>
      </c>
      <c r="K127" s="255">
        <v>0</v>
      </c>
      <c r="L127" s="255">
        <v>0</v>
      </c>
      <c r="M127" s="255"/>
      <c r="N127" s="255">
        <v>0</v>
      </c>
      <c r="O127" s="255">
        <v>0</v>
      </c>
      <c r="P127" s="185">
        <v>0</v>
      </c>
      <c r="Q127" s="185">
        <v>0</v>
      </c>
      <c r="R127" s="185"/>
      <c r="S127" s="185">
        <v>0</v>
      </c>
      <c r="T127" s="185">
        <v>0</v>
      </c>
      <c r="U127" s="185">
        <v>0</v>
      </c>
      <c r="V127" s="185">
        <v>0</v>
      </c>
      <c r="W127" s="185"/>
      <c r="X127" s="185">
        <v>0</v>
      </c>
      <c r="Y127" s="185">
        <v>0</v>
      </c>
      <c r="Z127" s="185">
        <v>0</v>
      </c>
      <c r="AA127" s="185">
        <v>0</v>
      </c>
      <c r="AB127" s="30">
        <f>SUM(I127:L127)</f>
        <v>0</v>
      </c>
      <c r="AC127" s="27">
        <v>0</v>
      </c>
      <c r="AD127" s="27">
        <v>0</v>
      </c>
      <c r="AE127" s="27">
        <v>0</v>
      </c>
      <c r="AF127" s="27">
        <v>0</v>
      </c>
      <c r="AG127" s="27">
        <v>0</v>
      </c>
      <c r="AH127" s="28">
        <v>0</v>
      </c>
      <c r="AI127" s="28"/>
      <c r="AJ127" s="26"/>
      <c r="AL127" s="26"/>
      <c r="AN127" s="28"/>
    </row>
    <row r="128" spans="2:40" x14ac:dyDescent="0.25">
      <c r="B128" s="6" t="s">
        <v>41</v>
      </c>
      <c r="C128" s="87">
        <v>0</v>
      </c>
      <c r="D128" s="88">
        <v>0</v>
      </c>
      <c r="E128" s="88">
        <v>0</v>
      </c>
      <c r="F128" s="88">
        <v>0</v>
      </c>
      <c r="G128" s="88">
        <v>0</v>
      </c>
      <c r="H128" s="89">
        <v>4988</v>
      </c>
      <c r="I128" s="110">
        <v>1530</v>
      </c>
      <c r="J128" s="254">
        <v>1667</v>
      </c>
      <c r="K128" s="254">
        <v>1745</v>
      </c>
      <c r="L128" s="254">
        <v>1988</v>
      </c>
      <c r="M128" s="254"/>
      <c r="N128" s="254">
        <v>2000</v>
      </c>
      <c r="O128" s="254">
        <v>2159</v>
      </c>
      <c r="P128" s="40">
        <f>P129*($O$46/$O$31)*P179*1000</f>
        <v>2027.5692333107336</v>
      </c>
      <c r="Q128" s="40">
        <f>Q129*($O$46/$O$31)*Q179*1000</f>
        <v>2118.9841827422611</v>
      </c>
      <c r="R128" s="40"/>
      <c r="S128" s="40">
        <f>S129*($O$46/$O$31)*S179*1000</f>
        <v>2159.3684600540823</v>
      </c>
      <c r="T128" s="40">
        <f>T129*($O$46/$O$31)*T179*1000</f>
        <v>2199.7527373659027</v>
      </c>
      <c r="U128" s="40">
        <f>U129*($O$46/$O$31)*U179*1000</f>
        <v>2240.1370146777235</v>
      </c>
      <c r="V128" s="40">
        <f>V129*($O$46/$O$31)*V179*1000</f>
        <v>2294.2530199345383</v>
      </c>
      <c r="W128" s="40"/>
      <c r="X128" s="40">
        <f>X129*($O$46/$O$31)*X179*1000</f>
        <v>2366.6662068384935</v>
      </c>
      <c r="Y128" s="40">
        <f>Y129*($O$46/$O$31)*Y179*1000</f>
        <v>2439.0793937424478</v>
      </c>
      <c r="Z128" s="40">
        <f>Z129*($O$46/$O$31)*Z179*1000</f>
        <v>2511.4925806464025</v>
      </c>
      <c r="AA128" s="40">
        <f>AA129*($O$46/$O$31)*AA179*1000</f>
        <v>2526.2817244933972</v>
      </c>
      <c r="AB128" s="30">
        <f>SUM(I128:L128)</f>
        <v>6930</v>
      </c>
      <c r="AC128" s="299">
        <f>SUM(N128:Q128)</f>
        <v>8305.5534160529951</v>
      </c>
      <c r="AD128" s="40">
        <f>SUM(S128:V128)</f>
        <v>8893.5112320322478</v>
      </c>
      <c r="AE128" s="40">
        <f>SUM(X128:AA128)</f>
        <v>9843.519905720741</v>
      </c>
      <c r="AF128" s="40">
        <f>AF129*AF46</f>
        <v>10882.953692378262</v>
      </c>
      <c r="AG128" s="40">
        <f>AG129*AG46</f>
        <v>12091.346923564797</v>
      </c>
      <c r="AH128" s="72">
        <f>AH129*AH46</f>
        <v>13370.996062661226</v>
      </c>
      <c r="AI128" s="28"/>
      <c r="AJ128" s="26"/>
      <c r="AL128" s="26"/>
      <c r="AN128" s="28"/>
    </row>
    <row r="129" spans="2:40" x14ac:dyDescent="0.25">
      <c r="B129" s="43" t="s">
        <v>200</v>
      </c>
      <c r="C129" s="218">
        <f t="shared" ref="C129:L129" si="272">C128/C46</f>
        <v>0</v>
      </c>
      <c r="D129" s="219">
        <f t="shared" si="272"/>
        <v>0</v>
      </c>
      <c r="E129" s="219">
        <f t="shared" si="272"/>
        <v>0</v>
      </c>
      <c r="F129" s="219">
        <f t="shared" si="272"/>
        <v>0</v>
      </c>
      <c r="G129" s="219">
        <f t="shared" si="272"/>
        <v>0</v>
      </c>
      <c r="H129" s="220">
        <f t="shared" si="272"/>
        <v>0.23073364788602091</v>
      </c>
      <c r="I129" s="218">
        <f t="shared" si="272"/>
        <v>7.5735075735075735E-2</v>
      </c>
      <c r="J129" s="219">
        <f t="shared" si="272"/>
        <v>8.374780205978398E-2</v>
      </c>
      <c r="K129" s="219">
        <f t="shared" si="272"/>
        <v>8.8202587949858469E-2</v>
      </c>
      <c r="L129" s="219">
        <f t="shared" si="272"/>
        <v>0.10708898944193061</v>
      </c>
      <c r="M129" s="219"/>
      <c r="N129" s="219">
        <f>N128/N46</f>
        <v>0.10987803538072739</v>
      </c>
      <c r="O129" s="219">
        <f>O128/O46</f>
        <v>0.11738799478033927</v>
      </c>
      <c r="P129" s="233">
        <v>0.11</v>
      </c>
      <c r="Q129" s="147">
        <f>P129</f>
        <v>0.11</v>
      </c>
      <c r="R129" s="147"/>
      <c r="S129" s="147">
        <f>Q129</f>
        <v>0.11</v>
      </c>
      <c r="T129" s="147">
        <f t="shared" ref="T129:AA129" si="273">S129</f>
        <v>0.11</v>
      </c>
      <c r="U129" s="147">
        <f t="shared" si="273"/>
        <v>0.11</v>
      </c>
      <c r="V129" s="147">
        <f t="shared" si="273"/>
        <v>0.11</v>
      </c>
      <c r="W129" s="147"/>
      <c r="X129" s="147">
        <f>V129</f>
        <v>0.11</v>
      </c>
      <c r="Y129" s="147">
        <f t="shared" si="273"/>
        <v>0.11</v>
      </c>
      <c r="Z129" s="147">
        <f t="shared" si="273"/>
        <v>0.11</v>
      </c>
      <c r="AA129" s="147">
        <f t="shared" si="273"/>
        <v>0.11</v>
      </c>
      <c r="AB129" s="218">
        <f>AB128/AB46</f>
        <v>0.37330316742081449</v>
      </c>
      <c r="AC129" s="219">
        <f>AC128/AC46</f>
        <v>0.40979210304710073</v>
      </c>
      <c r="AD129" s="219">
        <f>AD128/AD46</f>
        <v>0.41846430042519683</v>
      </c>
      <c r="AE129" s="219">
        <f>AE128/AE46</f>
        <v>0.42230666604041295</v>
      </c>
      <c r="AF129" s="233">
        <v>0.42</v>
      </c>
      <c r="AG129" s="233">
        <f>AF129</f>
        <v>0.42</v>
      </c>
      <c r="AH129" s="264">
        <f>AG129</f>
        <v>0.42</v>
      </c>
      <c r="AI129" s="28"/>
      <c r="AJ129" s="26"/>
      <c r="AL129" s="26"/>
      <c r="AN129" s="28"/>
    </row>
    <row r="130" spans="2:40" x14ac:dyDescent="0.25">
      <c r="B130" s="6" t="s">
        <v>42</v>
      </c>
      <c r="C130" s="87">
        <v>0</v>
      </c>
      <c r="D130" s="88">
        <v>0</v>
      </c>
      <c r="E130" s="88">
        <v>0</v>
      </c>
      <c r="F130" s="88">
        <v>0</v>
      </c>
      <c r="G130" s="88">
        <v>0</v>
      </c>
      <c r="H130" s="89">
        <v>743</v>
      </c>
      <c r="I130" s="110">
        <v>208</v>
      </c>
      <c r="J130" s="254">
        <v>222</v>
      </c>
      <c r="K130" s="254">
        <v>280</v>
      </c>
      <c r="L130" s="254">
        <v>331</v>
      </c>
      <c r="M130" s="254"/>
      <c r="N130" s="254">
        <v>312</v>
      </c>
      <c r="O130" s="254">
        <v>353</v>
      </c>
      <c r="P130" s="302">
        <f>O130*(1+P131)</f>
        <v>388.3</v>
      </c>
      <c r="Q130" s="302">
        <f t="shared" ref="Q130:AA130" si="274">P130*(1+Q131)</f>
        <v>427.13000000000005</v>
      </c>
      <c r="R130" s="302"/>
      <c r="S130" s="302">
        <f>Q130*(1+S131)</f>
        <v>469.84300000000007</v>
      </c>
      <c r="T130" s="302">
        <f t="shared" si="274"/>
        <v>516.82730000000015</v>
      </c>
      <c r="U130" s="302">
        <f t="shared" si="274"/>
        <v>568.51003000000026</v>
      </c>
      <c r="V130" s="302">
        <f t="shared" si="274"/>
        <v>625.36103300000036</v>
      </c>
      <c r="W130" s="302"/>
      <c r="X130" s="302">
        <f>V130*(1+X131)</f>
        <v>687.8971363000004</v>
      </c>
      <c r="Y130" s="302">
        <f t="shared" si="274"/>
        <v>756.68684993000045</v>
      </c>
      <c r="Z130" s="302">
        <f t="shared" si="274"/>
        <v>832.3555349230005</v>
      </c>
      <c r="AA130" s="302">
        <f t="shared" si="274"/>
        <v>915.59108841530065</v>
      </c>
      <c r="AB130" s="30">
        <f>SUM(I130:L130)</f>
        <v>1041</v>
      </c>
      <c r="AC130" s="299">
        <f>SUM(N130:Q130)</f>
        <v>1480.43</v>
      </c>
      <c r="AD130" s="40">
        <f>SUM(S130:V130)</f>
        <v>2180.5413630000012</v>
      </c>
      <c r="AE130" s="40">
        <f>SUM(X130:AA130)</f>
        <v>3192.5306095683018</v>
      </c>
      <c r="AF130" s="40">
        <f>AE130*(1+AF131)</f>
        <v>4674.1840654689504</v>
      </c>
      <c r="AG130" s="40">
        <f t="shared" ref="AG130:AH130" si="275">AF130*(1+AG131)</f>
        <v>6843.4728902530896</v>
      </c>
      <c r="AH130" s="72">
        <f t="shared" si="275"/>
        <v>10019.528658619549</v>
      </c>
      <c r="AI130" s="28"/>
      <c r="AJ130" s="26"/>
      <c r="AL130" s="26"/>
      <c r="AN130" s="28"/>
    </row>
    <row r="131" spans="2:40" x14ac:dyDescent="0.25">
      <c r="B131" s="43" t="s">
        <v>140</v>
      </c>
      <c r="C131" s="87"/>
      <c r="D131" s="88"/>
      <c r="E131" s="88"/>
      <c r="F131" s="88"/>
      <c r="G131" s="88"/>
      <c r="H131" s="89"/>
      <c r="I131" s="110"/>
      <c r="J131" s="219">
        <f>(J130/I130)-1</f>
        <v>6.7307692307692291E-2</v>
      </c>
      <c r="K131" s="219">
        <f t="shared" ref="K131:O131" si="276">(K130/J130)-1</f>
        <v>0.26126126126126126</v>
      </c>
      <c r="L131" s="219">
        <f t="shared" si="276"/>
        <v>0.18214285714285716</v>
      </c>
      <c r="M131" s="219"/>
      <c r="N131" s="219">
        <f>(N130/L130)-1</f>
        <v>-5.7401812688821718E-2</v>
      </c>
      <c r="O131" s="219">
        <f t="shared" si="276"/>
        <v>0.13141025641025639</v>
      </c>
      <c r="P131" s="233">
        <v>0.1</v>
      </c>
      <c r="Q131" s="233">
        <v>0.1</v>
      </c>
      <c r="R131" s="233"/>
      <c r="S131" s="233">
        <f>Q131</f>
        <v>0.1</v>
      </c>
      <c r="T131" s="233">
        <f t="shared" ref="T131:AA131" si="277">S131</f>
        <v>0.1</v>
      </c>
      <c r="U131" s="233">
        <f t="shared" si="277"/>
        <v>0.1</v>
      </c>
      <c r="V131" s="233">
        <f t="shared" si="277"/>
        <v>0.1</v>
      </c>
      <c r="W131" s="233"/>
      <c r="X131" s="233">
        <f>V131</f>
        <v>0.1</v>
      </c>
      <c r="Y131" s="233">
        <f t="shared" si="277"/>
        <v>0.1</v>
      </c>
      <c r="Z131" s="233">
        <f t="shared" si="277"/>
        <v>0.1</v>
      </c>
      <c r="AA131" s="233">
        <f t="shared" si="277"/>
        <v>0.1</v>
      </c>
      <c r="AB131" s="80">
        <f>(AB130/H130)-1</f>
        <v>0.4010767160161508</v>
      </c>
      <c r="AC131" s="79">
        <f>(AC130/AB130)-1</f>
        <v>0.42212295869356398</v>
      </c>
      <c r="AD131" s="79">
        <f t="shared" ref="AD131:AE131" si="278">(AD130/AC130)-1</f>
        <v>0.47291081847841587</v>
      </c>
      <c r="AE131" s="79">
        <f t="shared" si="278"/>
        <v>0.46409999999999996</v>
      </c>
      <c r="AF131" s="233">
        <f>AE131</f>
        <v>0.46409999999999996</v>
      </c>
      <c r="AG131" s="233">
        <f t="shared" ref="AG131:AH131" si="279">AF131</f>
        <v>0.46409999999999996</v>
      </c>
      <c r="AH131" s="264">
        <f t="shared" si="279"/>
        <v>0.46409999999999996</v>
      </c>
      <c r="AI131" s="28"/>
      <c r="AJ131" s="26"/>
      <c r="AL131" s="26"/>
      <c r="AN131" s="28"/>
    </row>
    <row r="132" spans="2:40" x14ac:dyDescent="0.25">
      <c r="B132" s="6" t="s">
        <v>43</v>
      </c>
      <c r="C132" s="87">
        <v>1633.2049999999999</v>
      </c>
      <c r="D132" s="88">
        <v>0</v>
      </c>
      <c r="E132" s="88">
        <v>0</v>
      </c>
      <c r="F132" s="88">
        <v>0</v>
      </c>
      <c r="G132" s="88">
        <v>0</v>
      </c>
      <c r="H132" s="89">
        <v>463</v>
      </c>
      <c r="I132" s="110">
        <v>154</v>
      </c>
      <c r="J132" s="254">
        <v>189</v>
      </c>
      <c r="K132" s="254">
        <v>701</v>
      </c>
      <c r="L132" s="254">
        <v>680</v>
      </c>
      <c r="M132" s="254"/>
      <c r="N132" s="254">
        <v>353</v>
      </c>
      <c r="O132" s="254">
        <v>1052</v>
      </c>
      <c r="P132" s="303">
        <v>521.5</v>
      </c>
      <c r="Q132" s="304">
        <v>521.5</v>
      </c>
      <c r="R132" s="304"/>
      <c r="S132" s="304">
        <v>521.5</v>
      </c>
      <c r="T132" s="304">
        <v>521.5</v>
      </c>
      <c r="U132" s="304">
        <v>521.5</v>
      </c>
      <c r="V132" s="304">
        <v>521.5</v>
      </c>
      <c r="W132" s="304"/>
      <c r="X132" s="304">
        <v>521.5</v>
      </c>
      <c r="Y132" s="304">
        <v>521.5</v>
      </c>
      <c r="Z132" s="304">
        <v>521.5</v>
      </c>
      <c r="AA132" s="304">
        <v>521.5</v>
      </c>
      <c r="AB132" s="30">
        <f>SUM(I132:L132)</f>
        <v>1724</v>
      </c>
      <c r="AC132" s="299">
        <f>SUM(N132:Q132)</f>
        <v>2448</v>
      </c>
      <c r="AD132" s="40">
        <f>SUM(S132:V132)</f>
        <v>2086</v>
      </c>
      <c r="AE132" s="40">
        <f>SUM(X132:AA132)</f>
        <v>2086</v>
      </c>
      <c r="AF132" s="128">
        <f>AE132</f>
        <v>2086</v>
      </c>
      <c r="AG132" s="128">
        <f t="shared" ref="AG132:AH132" si="280">AF132</f>
        <v>2086</v>
      </c>
      <c r="AH132" s="225">
        <f t="shared" si="280"/>
        <v>2086</v>
      </c>
      <c r="AI132" s="28"/>
      <c r="AJ132" s="26"/>
      <c r="AL132" s="26"/>
      <c r="AN132" s="28"/>
    </row>
    <row r="133" spans="2:40" x14ac:dyDescent="0.25">
      <c r="B133" s="8" t="s">
        <v>44</v>
      </c>
      <c r="C133" s="115">
        <v>-33724.750999999997</v>
      </c>
      <c r="D133" s="98">
        <v>-34072.968000000001</v>
      </c>
      <c r="E133" s="98">
        <v>-33859.828999999998</v>
      </c>
      <c r="F133" s="98">
        <v>-35299.788999999997</v>
      </c>
      <c r="G133" s="98">
        <v>-48894.000999999997</v>
      </c>
      <c r="H133" s="99">
        <v>-58300.999000000003</v>
      </c>
      <c r="I133" s="115">
        <v>-15782</v>
      </c>
      <c r="J133" s="98">
        <v>-17465</v>
      </c>
      <c r="K133" s="98">
        <v>-21211</v>
      </c>
      <c r="L133" s="98">
        <v>-24512</v>
      </c>
      <c r="M133" s="98"/>
      <c r="N133" s="98">
        <v>-21805</v>
      </c>
      <c r="O133" s="98">
        <f>O135+O141+O143+O144+O145+O147+O146+O148+O149+O150</f>
        <v>-24476</v>
      </c>
      <c r="P133" s="16">
        <f>P135+P141+P143+P144+P145+P147+P146+P148+P149+P150</f>
        <v>-23355.333333333332</v>
      </c>
      <c r="Q133" s="16">
        <f t="shared" ref="Q133:AA133" si="281">Q135+Q141+Q143+Q144+Q145+Q147+Q146+Q148+Q149+Q150</f>
        <v>-23355.333333333332</v>
      </c>
      <c r="R133" s="16"/>
      <c r="S133" s="16">
        <f t="shared" si="281"/>
        <v>-23842.667733333332</v>
      </c>
      <c r="T133" s="16">
        <f t="shared" si="281"/>
        <v>-24344.391600213334</v>
      </c>
      <c r="U133" s="16">
        <f t="shared" si="281"/>
        <v>-24771.78783914536</v>
      </c>
      <c r="V133" s="16">
        <f t="shared" si="281"/>
        <v>-25209.678384839335</v>
      </c>
      <c r="W133" s="16"/>
      <c r="X133" s="16">
        <f t="shared" si="281"/>
        <v>-25564.811082396132</v>
      </c>
      <c r="Y133" s="16">
        <f t="shared" si="281"/>
        <v>-25926.907870794043</v>
      </c>
      <c r="Z133" s="16">
        <f t="shared" si="281"/>
        <v>-26198.974444652777</v>
      </c>
      <c r="AA133" s="16">
        <f t="shared" si="281"/>
        <v>-26475.047272333431</v>
      </c>
      <c r="AB133" s="35">
        <f>SUM(I133:L133)</f>
        <v>-78970</v>
      </c>
      <c r="AC133" s="16">
        <f>SUM(N133:Q133)</f>
        <v>-92991.666666666657</v>
      </c>
      <c r="AD133" s="16">
        <f>SUM(S133:V133)</f>
        <v>-98168.525557531364</v>
      </c>
      <c r="AE133" s="16">
        <f>SUM(X133:AA133)</f>
        <v>-104165.7406701764</v>
      </c>
      <c r="AF133" s="16">
        <f>SUM(AF135,AF141,AF143,AF144,AF145,AF146,AF147,AF148,AF149,AF150)</f>
        <v>-110043.74608578152</v>
      </c>
      <c r="AG133" s="16">
        <f t="shared" ref="AG133:AH133" si="282">SUM(AG135,AG141,AG143,AG144,AG145,AG146,AG147,AG148,AG149,AG150)</f>
        <v>-115678.90452038845</v>
      </c>
      <c r="AH133" s="235">
        <f t="shared" si="282"/>
        <v>-121706.32159493839</v>
      </c>
      <c r="AI133" s="28"/>
      <c r="AJ133" s="326">
        <f>(AB133/D133)^(1/5)-1</f>
        <v>0.18306998027836485</v>
      </c>
      <c r="AK133" s="335">
        <f>(AH133/AC133)^(1/5)-1</f>
        <v>5.5294855604344662E-2</v>
      </c>
      <c r="AL133" s="26"/>
      <c r="AN133" s="28"/>
    </row>
    <row r="134" spans="2:40" ht="13.8" x14ac:dyDescent="0.3">
      <c r="B134" s="44" t="s">
        <v>153</v>
      </c>
      <c r="C134" s="426"/>
      <c r="D134" s="219">
        <f>(D133/C133)-1</f>
        <v>1.032526526289268E-2</v>
      </c>
      <c r="E134" s="219">
        <f t="shared" ref="E134" si="283">(E133/D133)-1</f>
        <v>-6.2553693590767789E-3</v>
      </c>
      <c r="F134" s="219">
        <f t="shared" ref="F134" si="284">(F133/E133)-1</f>
        <v>4.2527090139764079E-2</v>
      </c>
      <c r="G134" s="219">
        <f t="shared" ref="G134" si="285">(G133/F133)-1</f>
        <v>0.38510745772446398</v>
      </c>
      <c r="H134" s="219">
        <f t="shared" ref="H134" si="286">(H133/G133)-1</f>
        <v>0.19239575014529908</v>
      </c>
      <c r="I134" s="425"/>
      <c r="J134" s="160">
        <f>(J133/I133)-1</f>
        <v>0.1066404764922062</v>
      </c>
      <c r="K134" s="160">
        <f t="shared" ref="K134" si="287">(K133/J133)-1</f>
        <v>0.21448611508731741</v>
      </c>
      <c r="L134" s="160">
        <f t="shared" ref="L134" si="288">(L133/K133)-1</f>
        <v>0.15562679741643493</v>
      </c>
      <c r="M134" s="160"/>
      <c r="N134" s="160">
        <f>(N133/L133)-1</f>
        <v>-0.11043570496083555</v>
      </c>
      <c r="O134" s="160">
        <f t="shared" ref="O134" si="289">(O133/N133)-1</f>
        <v>0.1224948406328823</v>
      </c>
      <c r="P134" s="79">
        <f t="shared" ref="P134" si="290">(P133/O133)-1</f>
        <v>-4.5786348531895227E-2</v>
      </c>
      <c r="Q134" s="79">
        <f t="shared" ref="Q134" si="291">(Q133/P133)-1</f>
        <v>0</v>
      </c>
      <c r="R134" s="79"/>
      <c r="S134" s="79">
        <f>(S133/Q133)-1</f>
        <v>2.0866086261524863E-2</v>
      </c>
      <c r="T134" s="79">
        <f t="shared" ref="T134" si="292">(T133/S133)-1</f>
        <v>2.1043109457863363E-2</v>
      </c>
      <c r="U134" s="79">
        <f t="shared" ref="U134" si="293">(U133/T133)-1</f>
        <v>1.7556250571005405E-2</v>
      </c>
      <c r="V134" s="79">
        <f t="shared" ref="V134" si="294">(V133/U133)-1</f>
        <v>1.767698595423961E-2</v>
      </c>
      <c r="W134" s="79"/>
      <c r="X134" s="79">
        <f>(X133/V133)-1</f>
        <v>1.4087157009125884E-2</v>
      </c>
      <c r="Y134" s="79">
        <f t="shared" ref="Y134" si="295">(Y133/X133)-1</f>
        <v>1.4163874993281311E-2</v>
      </c>
      <c r="Z134" s="79">
        <f t="shared" ref="Z134" si="296">(Z133/Y133)-1</f>
        <v>1.049359897503277E-2</v>
      </c>
      <c r="AA134" s="79">
        <f t="shared" ref="AA134" si="297">(AA133/Z133)-1</f>
        <v>1.0537543302081565E-2</v>
      </c>
      <c r="AB134" s="80">
        <f>(AB133/H133)-1</f>
        <v>0.35452224412140865</v>
      </c>
      <c r="AC134" s="79">
        <f>(AC133/AB133)-1</f>
        <v>0.17755687813937771</v>
      </c>
      <c r="AD134" s="79">
        <f t="shared" ref="AD134" si="298">(AD133/AC133)-1</f>
        <v>5.5670137727732216E-2</v>
      </c>
      <c r="AE134" s="79">
        <f t="shared" ref="AE134" si="299">(AE133/AD133)-1</f>
        <v>6.1091017498580813E-2</v>
      </c>
      <c r="AF134" s="79">
        <f t="shared" ref="AF134" si="300">(AF133/AE133)-1</f>
        <v>5.6429353622289735E-2</v>
      </c>
      <c r="AG134" s="79">
        <f t="shared" ref="AG134" si="301">(AG133/AF133)-1</f>
        <v>5.1208347907514939E-2</v>
      </c>
      <c r="AH134" s="129">
        <f t="shared" ref="AH134" si="302">(AH133/AG133)-1</f>
        <v>5.2104721250084252E-2</v>
      </c>
      <c r="AI134" s="28"/>
      <c r="AJ134" s="326"/>
      <c r="AK134" s="335"/>
      <c r="AL134" s="26"/>
      <c r="AN134" s="28"/>
    </row>
    <row r="135" spans="2:40" x14ac:dyDescent="0.25">
      <c r="B135" s="6" t="s">
        <v>45</v>
      </c>
      <c r="C135" s="87">
        <v>-17589.632000000001</v>
      </c>
      <c r="D135" s="88">
        <v>-18482.692999999999</v>
      </c>
      <c r="E135" s="88">
        <v>-19222.593000000001</v>
      </c>
      <c r="F135" s="88">
        <v>-20122.845000000001</v>
      </c>
      <c r="G135" s="88">
        <v>-26218</v>
      </c>
      <c r="H135" s="89">
        <v>-34140.999000000003</v>
      </c>
      <c r="I135" s="87">
        <v>-9955</v>
      </c>
      <c r="J135" s="88">
        <v>-10126</v>
      </c>
      <c r="K135" s="88">
        <v>-11826</v>
      </c>
      <c r="L135" s="88">
        <v>-13689</v>
      </c>
      <c r="M135" s="88"/>
      <c r="N135" s="88">
        <v>-13272</v>
      </c>
      <c r="O135" s="88">
        <v>-15072</v>
      </c>
      <c r="P135" s="40">
        <f>P137*P139</f>
        <v>-15072</v>
      </c>
      <c r="Q135" s="40">
        <f t="shared" ref="Q135:AA135" si="303">Q137*Q139</f>
        <v>-15072</v>
      </c>
      <c r="R135" s="40"/>
      <c r="S135" s="40">
        <f t="shared" si="303"/>
        <v>-15527.1744</v>
      </c>
      <c r="T135" s="40">
        <f t="shared" si="303"/>
        <v>-15996.095066880001</v>
      </c>
      <c r="U135" s="40">
        <f t="shared" si="303"/>
        <v>-16398.396857812029</v>
      </c>
      <c r="V135" s="40">
        <f t="shared" si="303"/>
        <v>-16810.816538786003</v>
      </c>
      <c r="W135" s="40"/>
      <c r="X135" s="40">
        <f t="shared" si="303"/>
        <v>-17148.713951215599</v>
      </c>
      <c r="Y135" s="40">
        <f t="shared" si="303"/>
        <v>-17493.403101635038</v>
      </c>
      <c r="Z135" s="40">
        <f t="shared" si="303"/>
        <v>-17756.678818314645</v>
      </c>
      <c r="AA135" s="40">
        <f t="shared" si="303"/>
        <v>-18023.916834530275</v>
      </c>
      <c r="AB135" s="30">
        <f>SUM(I135:L135)</f>
        <v>-45596</v>
      </c>
      <c r="AC135" s="40">
        <f>SUM(N135:Q135)</f>
        <v>-58488</v>
      </c>
      <c r="AD135" s="40">
        <f>SUM(S135:V135)</f>
        <v>-64732.482863478042</v>
      </c>
      <c r="AE135" s="40">
        <f>SUM(X135:AA135)</f>
        <v>-70422.712705695551</v>
      </c>
      <c r="AF135" s="40">
        <f>AF137*AF139</f>
        <v>-76089.46728236627</v>
      </c>
      <c r="AG135" s="40">
        <f t="shared" ref="AG135:AH135" si="304">AG137*AG139</f>
        <v>-81507.037352870742</v>
      </c>
      <c r="AH135" s="72">
        <f t="shared" si="304"/>
        <v>-87310.338412395155</v>
      </c>
      <c r="AI135" s="28"/>
      <c r="AJ135" s="26"/>
      <c r="AL135" s="26"/>
      <c r="AN135" s="28"/>
    </row>
    <row r="136" spans="2:40" x14ac:dyDescent="0.25">
      <c r="B136" s="43" t="s">
        <v>140</v>
      </c>
      <c r="C136" s="87"/>
      <c r="D136" s="309">
        <f>(D135/C135)-1</f>
        <v>5.0772011603198886E-2</v>
      </c>
      <c r="E136" s="309">
        <f t="shared" ref="E136:H136" si="305">(E135/D135)-1</f>
        <v>4.0032045113772119E-2</v>
      </c>
      <c r="F136" s="309">
        <f t="shared" si="305"/>
        <v>4.6833015712292259E-2</v>
      </c>
      <c r="G136" s="309">
        <f t="shared" si="305"/>
        <v>0.302897279186914</v>
      </c>
      <c r="H136" s="309">
        <f t="shared" si="305"/>
        <v>0.30219692577618451</v>
      </c>
      <c r="I136" s="87"/>
      <c r="J136" s="309">
        <f>(J135/I135)-1</f>
        <v>1.7177297840281325E-2</v>
      </c>
      <c r="K136" s="309">
        <f t="shared" ref="K136:AA136" si="306">(K135/J135)-1</f>
        <v>0.16788465336756864</v>
      </c>
      <c r="L136" s="309">
        <f t="shared" si="306"/>
        <v>0.15753424657534243</v>
      </c>
      <c r="M136" s="309"/>
      <c r="N136" s="309">
        <f>(N135/L135)-1</f>
        <v>-3.0462415077799676E-2</v>
      </c>
      <c r="O136" s="309">
        <f t="shared" si="306"/>
        <v>0.13562386980108498</v>
      </c>
      <c r="P136" s="309">
        <f t="shared" si="306"/>
        <v>0</v>
      </c>
      <c r="Q136" s="309">
        <f t="shared" si="306"/>
        <v>0</v>
      </c>
      <c r="R136" s="309"/>
      <c r="S136" s="309">
        <f>(S135/Q135)-1</f>
        <v>3.0200000000000005E-2</v>
      </c>
      <c r="T136" s="309">
        <f t="shared" si="306"/>
        <v>3.0200000000000005E-2</v>
      </c>
      <c r="U136" s="309">
        <f t="shared" si="306"/>
        <v>2.5149999999999784E-2</v>
      </c>
      <c r="V136" s="309">
        <f t="shared" si="306"/>
        <v>2.5150000000000006E-2</v>
      </c>
      <c r="W136" s="309"/>
      <c r="X136" s="309">
        <f>(X135/V135)-1</f>
        <v>2.0099999999999785E-2</v>
      </c>
      <c r="Y136" s="309">
        <f t="shared" si="306"/>
        <v>2.0100000000000229E-2</v>
      </c>
      <c r="Z136" s="309">
        <f t="shared" si="306"/>
        <v>1.5050000000000008E-2</v>
      </c>
      <c r="AA136" s="309">
        <f t="shared" si="306"/>
        <v>1.5049999999999564E-2</v>
      </c>
      <c r="AB136" s="77">
        <f>(AB135/H135)-1</f>
        <v>0.33552038122844596</v>
      </c>
      <c r="AC136" s="76">
        <f>(AC135/AB135)-1</f>
        <v>0.28274410035968067</v>
      </c>
      <c r="AD136" s="76">
        <f t="shared" ref="AD136:AH136" si="307">(AD135/AC135)-1</f>
        <v>0.10676519736489598</v>
      </c>
      <c r="AE136" s="76">
        <f t="shared" si="307"/>
        <v>8.7903778605531002E-2</v>
      </c>
      <c r="AF136" s="76">
        <f>(AF135/AE135)-1</f>
        <v>8.0467712176222506E-2</v>
      </c>
      <c r="AG136" s="76">
        <f t="shared" si="307"/>
        <v>7.119999999999993E-2</v>
      </c>
      <c r="AH136" s="124">
        <f t="shared" si="307"/>
        <v>7.1200000000000152E-2</v>
      </c>
      <c r="AI136" s="28"/>
      <c r="AJ136" s="26"/>
      <c r="AL136" s="26"/>
      <c r="AN136" s="28"/>
    </row>
    <row r="137" spans="2:40" x14ac:dyDescent="0.25">
      <c r="B137" s="43" t="s">
        <v>201</v>
      </c>
      <c r="C137" s="310">
        <v>307</v>
      </c>
      <c r="D137" s="311">
        <v>318</v>
      </c>
      <c r="E137" s="311">
        <v>318</v>
      </c>
      <c r="F137" s="311">
        <v>323</v>
      </c>
      <c r="G137" s="311">
        <v>360</v>
      </c>
      <c r="H137" s="312">
        <v>369</v>
      </c>
      <c r="I137" s="310">
        <f>H137+28</f>
        <v>397</v>
      </c>
      <c r="J137" s="311">
        <f t="shared" ref="J137:L137" si="308">I137+28</f>
        <v>425</v>
      </c>
      <c r="K137" s="311">
        <f t="shared" si="308"/>
        <v>453</v>
      </c>
      <c r="L137" s="311">
        <f t="shared" si="308"/>
        <v>481</v>
      </c>
      <c r="M137" s="311"/>
      <c r="N137" s="311">
        <f>L137*(1+N138)</f>
        <v>481</v>
      </c>
      <c r="O137" s="311">
        <f t="shared" ref="O137:AA137" si="309">N137*(1+O138)</f>
        <v>481</v>
      </c>
      <c r="P137" s="311">
        <f>O137*(1+P138)</f>
        <v>481</v>
      </c>
      <c r="Q137" s="311">
        <f t="shared" si="309"/>
        <v>481</v>
      </c>
      <c r="R137" s="311"/>
      <c r="S137" s="311">
        <f>Q137*(1+S138)</f>
        <v>490.62</v>
      </c>
      <c r="T137" s="311">
        <f t="shared" si="309"/>
        <v>500.43240000000003</v>
      </c>
      <c r="U137" s="311">
        <f t="shared" si="309"/>
        <v>507.93888599999997</v>
      </c>
      <c r="V137" s="311">
        <f t="shared" si="309"/>
        <v>515.55796928999996</v>
      </c>
      <c r="W137" s="311"/>
      <c r="X137" s="311">
        <f>V137*(1+X138)</f>
        <v>520.71354898289997</v>
      </c>
      <c r="Y137" s="311">
        <f t="shared" si="309"/>
        <v>525.92068447272902</v>
      </c>
      <c r="Z137" s="311">
        <f t="shared" si="309"/>
        <v>528.55028789509265</v>
      </c>
      <c r="AA137" s="311">
        <f t="shared" si="309"/>
        <v>531.19303933456808</v>
      </c>
      <c r="AB137" s="142">
        <v>481</v>
      </c>
      <c r="AC137" s="135">
        <f>Q137</f>
        <v>481</v>
      </c>
      <c r="AD137" s="135">
        <f>V137</f>
        <v>515.55796928999996</v>
      </c>
      <c r="AE137" s="135">
        <f>AA137</f>
        <v>531.19303933456808</v>
      </c>
      <c r="AF137" s="135">
        <f>AE137*(1+AF138)</f>
        <v>547.12883051460517</v>
      </c>
      <c r="AG137" s="135">
        <f t="shared" ref="AG137:AH137" si="310">AF137*(1+AG138)</f>
        <v>563.5426954300433</v>
      </c>
      <c r="AH137" s="134">
        <f t="shared" si="310"/>
        <v>580.44897629294462</v>
      </c>
      <c r="AI137" s="28"/>
      <c r="AJ137" s="26"/>
      <c r="AL137" s="26"/>
      <c r="AN137" s="28"/>
    </row>
    <row r="138" spans="2:40" x14ac:dyDescent="0.25">
      <c r="B138" s="43" t="s">
        <v>202</v>
      </c>
      <c r="C138" s="310"/>
      <c r="D138" s="219">
        <f>(D137/C137)-1</f>
        <v>3.5830618892508159E-2</v>
      </c>
      <c r="E138" s="219">
        <f t="shared" ref="E138:H138" si="311">(E137/D137)-1</f>
        <v>0</v>
      </c>
      <c r="F138" s="219">
        <f t="shared" si="311"/>
        <v>1.572327044025168E-2</v>
      </c>
      <c r="G138" s="219">
        <f t="shared" si="311"/>
        <v>0.11455108359133126</v>
      </c>
      <c r="H138" s="219">
        <f t="shared" si="311"/>
        <v>2.4999999999999911E-2</v>
      </c>
      <c r="I138" s="310"/>
      <c r="J138" s="311"/>
      <c r="K138" s="311"/>
      <c r="L138" s="311"/>
      <c r="M138" s="311"/>
      <c r="N138" s="313">
        <v>0</v>
      </c>
      <c r="O138" s="313">
        <v>0</v>
      </c>
      <c r="P138" s="313">
        <v>0</v>
      </c>
      <c r="Q138" s="313">
        <f t="shared" ref="Q138:AA138" si="312">P138</f>
        <v>0</v>
      </c>
      <c r="R138" s="313"/>
      <c r="S138" s="313">
        <v>0.02</v>
      </c>
      <c r="T138" s="313">
        <f t="shared" si="312"/>
        <v>0.02</v>
      </c>
      <c r="U138" s="313">
        <v>1.4999999999999999E-2</v>
      </c>
      <c r="V138" s="313">
        <f t="shared" si="312"/>
        <v>1.4999999999999999E-2</v>
      </c>
      <c r="W138" s="313"/>
      <c r="X138" s="313">
        <v>0.01</v>
      </c>
      <c r="Y138" s="313">
        <f t="shared" si="312"/>
        <v>0.01</v>
      </c>
      <c r="Z138" s="313">
        <v>5.0000000000000001E-3</v>
      </c>
      <c r="AA138" s="313">
        <f t="shared" si="312"/>
        <v>5.0000000000000001E-3</v>
      </c>
      <c r="AB138" s="142"/>
      <c r="AC138" s="79">
        <f>(AC137/AB137)-1</f>
        <v>0</v>
      </c>
      <c r="AD138" s="79">
        <f>(AD137/AC137)-1</f>
        <v>7.1846089999999974E-2</v>
      </c>
      <c r="AE138" s="79">
        <f>(AE137/AD137)-1</f>
        <v>3.032650250000013E-2</v>
      </c>
      <c r="AF138" s="233">
        <v>0.03</v>
      </c>
      <c r="AG138" s="233">
        <v>0.03</v>
      </c>
      <c r="AH138" s="264">
        <v>0.03</v>
      </c>
      <c r="AI138" s="28"/>
      <c r="AJ138" s="26"/>
      <c r="AL138" s="26"/>
      <c r="AN138" s="28"/>
    </row>
    <row r="139" spans="2:40" x14ac:dyDescent="0.25">
      <c r="B139" s="43" t="s">
        <v>203</v>
      </c>
      <c r="C139" s="314">
        <f>C135/C137</f>
        <v>-57.295218241042349</v>
      </c>
      <c r="D139" s="315">
        <f t="shared" ref="D139:O139" si="313">D135/D137</f>
        <v>-58.121676100628932</v>
      </c>
      <c r="E139" s="315">
        <f t="shared" si="313"/>
        <v>-60.448405660377361</v>
      </c>
      <c r="F139" s="315">
        <f t="shared" si="313"/>
        <v>-62.299829721362229</v>
      </c>
      <c r="G139" s="315">
        <f t="shared" si="313"/>
        <v>-72.827777777777783</v>
      </c>
      <c r="H139" s="315">
        <f t="shared" si="313"/>
        <v>-92.523032520325216</v>
      </c>
      <c r="I139" s="314">
        <f t="shared" si="313"/>
        <v>-25.075566750629722</v>
      </c>
      <c r="J139" s="315">
        <f t="shared" si="313"/>
        <v>-23.825882352941175</v>
      </c>
      <c r="K139" s="315">
        <f t="shared" si="313"/>
        <v>-26.105960264900663</v>
      </c>
      <c r="L139" s="315">
        <f t="shared" si="313"/>
        <v>-28.45945945945946</v>
      </c>
      <c r="M139" s="315"/>
      <c r="N139" s="315">
        <f t="shared" si="313"/>
        <v>-27.592515592515593</v>
      </c>
      <c r="O139" s="315">
        <f t="shared" si="313"/>
        <v>-31.334719334719335</v>
      </c>
      <c r="P139" s="316">
        <f>O139*(1+P140)</f>
        <v>-31.334719334719335</v>
      </c>
      <c r="Q139" s="316">
        <f t="shared" ref="Q139:AA139" si="314">P139*(1+Q140)</f>
        <v>-31.334719334719335</v>
      </c>
      <c r="R139" s="316"/>
      <c r="S139" s="316">
        <f>Q139*(1+S140)</f>
        <v>-31.648066528066529</v>
      </c>
      <c r="T139" s="316">
        <f t="shared" si="314"/>
        <v>-31.964547193347194</v>
      </c>
      <c r="U139" s="316">
        <f t="shared" si="314"/>
        <v>-32.284192665280663</v>
      </c>
      <c r="V139" s="316">
        <f t="shared" si="314"/>
        <v>-32.60703459193347</v>
      </c>
      <c r="W139" s="316"/>
      <c r="X139" s="316">
        <f>V139*(1+X140)</f>
        <v>-32.933104937852804</v>
      </c>
      <c r="Y139" s="316">
        <f t="shared" si="314"/>
        <v>-33.262435987231335</v>
      </c>
      <c r="Z139" s="316">
        <f t="shared" si="314"/>
        <v>-33.595060347103647</v>
      </c>
      <c r="AA139" s="316">
        <f t="shared" si="314"/>
        <v>-33.931010950574681</v>
      </c>
      <c r="AB139" s="142"/>
      <c r="AC139" s="245"/>
      <c r="AD139" s="245"/>
      <c r="AE139" s="316">
        <f>SUM(X139:AA139)</f>
        <v>-133.72161222276247</v>
      </c>
      <c r="AF139" s="316">
        <f>AE139*(1+AF140)</f>
        <v>-139.07047671167297</v>
      </c>
      <c r="AG139" s="316">
        <f t="shared" ref="AG139:AH139" si="315">AF139*(1+AG140)</f>
        <v>-144.63329578013989</v>
      </c>
      <c r="AH139" s="317">
        <f t="shared" si="315"/>
        <v>-150.4186276113455</v>
      </c>
      <c r="AI139" s="28"/>
      <c r="AJ139" s="26"/>
      <c r="AL139" s="26"/>
      <c r="AN139" s="28"/>
    </row>
    <row r="140" spans="2:40" x14ac:dyDescent="0.25">
      <c r="B140" s="45" t="s">
        <v>204</v>
      </c>
      <c r="C140" s="314"/>
      <c r="D140" s="219">
        <f>(D139/C139)-1</f>
        <v>1.4424552082333619E-2</v>
      </c>
      <c r="E140" s="219">
        <f t="shared" ref="E140:H140" si="316">(E139/D139)-1</f>
        <v>4.0032045113772119E-2</v>
      </c>
      <c r="F140" s="219">
        <f t="shared" si="316"/>
        <v>3.0628170267829491E-2</v>
      </c>
      <c r="G140" s="219">
        <f t="shared" si="316"/>
        <v>0.16898839215937023</v>
      </c>
      <c r="H140" s="219">
        <f t="shared" si="316"/>
        <v>0.27043602514749687</v>
      </c>
      <c r="I140" s="314"/>
      <c r="J140" s="219">
        <f>(J139/I139)-1</f>
        <v>-4.9836735899784324E-2</v>
      </c>
      <c r="K140" s="219">
        <f t="shared" ref="K140:O140" si="317">(K139/J139)-1</f>
        <v>9.5697522475092001E-2</v>
      </c>
      <c r="L140" s="219">
        <f t="shared" si="317"/>
        <v>9.0151795631247644E-2</v>
      </c>
      <c r="M140" s="219"/>
      <c r="N140" s="219">
        <f>(N139/L139)-1</f>
        <v>-3.0462415077799676E-2</v>
      </c>
      <c r="O140" s="219">
        <f t="shared" si="317"/>
        <v>0.13562386980108498</v>
      </c>
      <c r="P140" s="233">
        <v>0</v>
      </c>
      <c r="Q140" s="233">
        <f>P140</f>
        <v>0</v>
      </c>
      <c r="R140" s="233"/>
      <c r="S140" s="233">
        <v>0.01</v>
      </c>
      <c r="T140" s="233">
        <f t="shared" ref="T140:AA140" si="318">S140</f>
        <v>0.01</v>
      </c>
      <c r="U140" s="233">
        <v>0.01</v>
      </c>
      <c r="V140" s="233">
        <f t="shared" si="318"/>
        <v>0.01</v>
      </c>
      <c r="W140" s="233"/>
      <c r="X140" s="233">
        <v>0.01</v>
      </c>
      <c r="Y140" s="233">
        <f t="shared" si="318"/>
        <v>0.01</v>
      </c>
      <c r="Z140" s="233">
        <f t="shared" si="318"/>
        <v>0.01</v>
      </c>
      <c r="AA140" s="233">
        <f t="shared" si="318"/>
        <v>0.01</v>
      </c>
      <c r="AB140" s="142"/>
      <c r="AC140" s="245"/>
      <c r="AD140" s="245"/>
      <c r="AE140" s="245"/>
      <c r="AF140" s="233">
        <v>0.04</v>
      </c>
      <c r="AG140" s="233">
        <v>0.04</v>
      </c>
      <c r="AH140" s="264">
        <v>0.04</v>
      </c>
      <c r="AI140" s="28"/>
      <c r="AJ140" s="26"/>
      <c r="AL140" s="26"/>
      <c r="AN140" s="28"/>
    </row>
    <row r="141" spans="2:40" x14ac:dyDescent="0.25">
      <c r="B141" s="6" t="s">
        <v>46</v>
      </c>
      <c r="C141" s="87">
        <v>-3989.3470000000002</v>
      </c>
      <c r="D141" s="88">
        <v>-3970.2440000000001</v>
      </c>
      <c r="E141" s="88">
        <v>-3947.9409999999998</v>
      </c>
      <c r="F141" s="88">
        <v>-4180.3959999999997</v>
      </c>
      <c r="G141" s="88">
        <v>-4850</v>
      </c>
      <c r="H141" s="89">
        <v>-5311</v>
      </c>
      <c r="I141" s="87">
        <v>-1326</v>
      </c>
      <c r="J141" s="88">
        <v>-1245</v>
      </c>
      <c r="K141" s="88">
        <v>-1599</v>
      </c>
      <c r="L141" s="88">
        <v>-1979</v>
      </c>
      <c r="M141" s="88"/>
      <c r="N141" s="88">
        <v>2</v>
      </c>
      <c r="O141" s="88">
        <v>-1608</v>
      </c>
      <c r="P141" s="40">
        <f>P142*P137</f>
        <v>-1608</v>
      </c>
      <c r="Q141" s="40">
        <f t="shared" ref="Q141:AA141" si="319">Q142*Q137</f>
        <v>-1608</v>
      </c>
      <c r="R141" s="40"/>
      <c r="S141" s="40">
        <f t="shared" si="319"/>
        <v>-1640.16</v>
      </c>
      <c r="T141" s="40">
        <f t="shared" si="319"/>
        <v>-1672.9632000000001</v>
      </c>
      <c r="U141" s="40">
        <f t="shared" si="319"/>
        <v>-1698.057648</v>
      </c>
      <c r="V141" s="40">
        <f t="shared" si="319"/>
        <v>-1723.52851272</v>
      </c>
      <c r="W141" s="40"/>
      <c r="X141" s="40">
        <f t="shared" si="319"/>
        <v>-1740.7637978472001</v>
      </c>
      <c r="Y141" s="40">
        <f t="shared" si="319"/>
        <v>-1758.1714358256722</v>
      </c>
      <c r="Z141" s="40">
        <f t="shared" si="319"/>
        <v>-1766.9622930048006</v>
      </c>
      <c r="AA141" s="40">
        <f t="shared" si="319"/>
        <v>-1775.7971044698245</v>
      </c>
      <c r="AB141" s="30">
        <f>SUM(I141:L141)</f>
        <v>-6149</v>
      </c>
      <c r="AC141" s="40">
        <f>SUM(N141:Q141)</f>
        <v>-4822</v>
      </c>
      <c r="AD141" s="40">
        <f>SUM(S141:V141)</f>
        <v>-6734.7093607200004</v>
      </c>
      <c r="AE141" s="40">
        <f>SUM(X141:AA141)</f>
        <v>-7041.6946311474976</v>
      </c>
      <c r="AF141" s="40">
        <f>AF142*AF137</f>
        <v>-7252.9454700819233</v>
      </c>
      <c r="AG141" s="40">
        <f>AG142*AG137</f>
        <v>-7470.5338341843808</v>
      </c>
      <c r="AH141" s="72">
        <f t="shared" ref="AH141" si="320">AH142*AH137</f>
        <v>-7694.6498492099117</v>
      </c>
      <c r="AI141" s="28"/>
      <c r="AJ141" s="26"/>
      <c r="AL141" s="26"/>
      <c r="AN141" s="28"/>
    </row>
    <row r="142" spans="2:40" x14ac:dyDescent="0.25">
      <c r="B142" s="43" t="s">
        <v>205</v>
      </c>
      <c r="C142" s="318">
        <f>C141/C137</f>
        <v>-12.994615635179153</v>
      </c>
      <c r="D142" s="308">
        <f t="shared" ref="D142:H142" si="321">D141/D137</f>
        <v>-12.485044025157233</v>
      </c>
      <c r="E142" s="308">
        <f t="shared" si="321"/>
        <v>-12.414908805031446</v>
      </c>
      <c r="F142" s="308">
        <f t="shared" si="321"/>
        <v>-12.942402476780185</v>
      </c>
      <c r="G142" s="308">
        <f t="shared" si="321"/>
        <v>-13.472222222222221</v>
      </c>
      <c r="H142" s="308">
        <f t="shared" si="321"/>
        <v>-14.392953929539296</v>
      </c>
      <c r="I142" s="307">
        <f t="shared" ref="I142" si="322">I141/I137</f>
        <v>-3.3400503778337534</v>
      </c>
      <c r="J142" s="306">
        <f t="shared" ref="J142" si="323">J141/J137</f>
        <v>-2.9294117647058822</v>
      </c>
      <c r="K142" s="306">
        <f t="shared" ref="K142" si="324">K141/K137</f>
        <v>-3.5298013245033113</v>
      </c>
      <c r="L142" s="306">
        <f t="shared" ref="L142" si="325">L141/L137</f>
        <v>-4.114345114345114</v>
      </c>
      <c r="M142" s="306"/>
      <c r="N142" s="306">
        <f t="shared" ref="N142" si="326">N141/N137</f>
        <v>4.1580041580041582E-3</v>
      </c>
      <c r="O142" s="306">
        <f t="shared" ref="O142" si="327">O141/O137</f>
        <v>-3.3430353430353432</v>
      </c>
      <c r="P142" s="128">
        <f>O142</f>
        <v>-3.3430353430353432</v>
      </c>
      <c r="Q142" s="128">
        <f>P142</f>
        <v>-3.3430353430353432</v>
      </c>
      <c r="R142" s="128"/>
      <c r="S142" s="128">
        <f>Q142</f>
        <v>-3.3430353430353432</v>
      </c>
      <c r="T142" s="128">
        <f t="shared" ref="T142:AA142" si="328">S142</f>
        <v>-3.3430353430353432</v>
      </c>
      <c r="U142" s="128">
        <f t="shared" si="328"/>
        <v>-3.3430353430353432</v>
      </c>
      <c r="V142" s="128">
        <f t="shared" si="328"/>
        <v>-3.3430353430353432</v>
      </c>
      <c r="W142" s="128"/>
      <c r="X142" s="128">
        <f>V142</f>
        <v>-3.3430353430353432</v>
      </c>
      <c r="Y142" s="128">
        <f t="shared" si="328"/>
        <v>-3.3430353430353432</v>
      </c>
      <c r="Z142" s="128">
        <f t="shared" si="328"/>
        <v>-3.3430353430353432</v>
      </c>
      <c r="AA142" s="128">
        <f t="shared" si="328"/>
        <v>-3.3430353430353432</v>
      </c>
      <c r="AB142" s="327">
        <f>AB141/AB137</f>
        <v>-12.783783783783784</v>
      </c>
      <c r="AC142" s="201">
        <f t="shared" ref="AC142:AE142" si="329">AC141/AC137</f>
        <v>-10.024948024948024</v>
      </c>
      <c r="AD142" s="201">
        <f t="shared" si="329"/>
        <v>-13.062952687928959</v>
      </c>
      <c r="AE142" s="201">
        <f t="shared" si="329"/>
        <v>-13.256375949445259</v>
      </c>
      <c r="AF142" s="239">
        <f>AE142</f>
        <v>-13.256375949445259</v>
      </c>
      <c r="AG142" s="239">
        <f>AF142</f>
        <v>-13.256375949445259</v>
      </c>
      <c r="AH142" s="274">
        <f>AG142</f>
        <v>-13.256375949445259</v>
      </c>
      <c r="AI142" s="28"/>
      <c r="AJ142" s="26"/>
      <c r="AL142" s="26"/>
      <c r="AN142" s="28"/>
    </row>
    <row r="143" spans="2:40" x14ac:dyDescent="0.25">
      <c r="B143" s="6" t="s">
        <v>47</v>
      </c>
      <c r="C143" s="87">
        <v>0</v>
      </c>
      <c r="D143" s="88">
        <v>0</v>
      </c>
      <c r="E143" s="88">
        <v>0</v>
      </c>
      <c r="F143" s="88">
        <v>0</v>
      </c>
      <c r="G143" s="88">
        <v>0</v>
      </c>
      <c r="H143" s="89">
        <v>0</v>
      </c>
      <c r="I143" s="87">
        <v>-176</v>
      </c>
      <c r="J143" s="88">
        <v>-865</v>
      </c>
      <c r="K143" s="88">
        <v>-1994</v>
      </c>
      <c r="L143" s="88">
        <v>-1592</v>
      </c>
      <c r="M143" s="88"/>
      <c r="N143" s="88">
        <v>-624</v>
      </c>
      <c r="O143" s="88">
        <v>-1</v>
      </c>
      <c r="P143" s="185">
        <v>0</v>
      </c>
      <c r="Q143" s="185">
        <v>0</v>
      </c>
      <c r="R143" s="185"/>
      <c r="S143" s="185">
        <v>0</v>
      </c>
      <c r="T143" s="185">
        <v>0</v>
      </c>
      <c r="U143" s="185">
        <v>0</v>
      </c>
      <c r="V143" s="185">
        <v>0</v>
      </c>
      <c r="W143" s="185"/>
      <c r="X143" s="185">
        <v>0</v>
      </c>
      <c r="Y143" s="185">
        <v>0</v>
      </c>
      <c r="Z143" s="185">
        <v>0</v>
      </c>
      <c r="AA143" s="185">
        <v>0</v>
      </c>
      <c r="AB143" s="30">
        <f t="shared" ref="AB143:AB150" si="330">SUM(I143:L143)</f>
        <v>-4627</v>
      </c>
      <c r="AC143" s="40">
        <f>SUM(N143:Q143)</f>
        <v>-625</v>
      </c>
      <c r="AD143" s="185">
        <v>0</v>
      </c>
      <c r="AE143" s="185">
        <v>0</v>
      </c>
      <c r="AF143" s="185">
        <v>0</v>
      </c>
      <c r="AG143" s="185">
        <v>0</v>
      </c>
      <c r="AH143" s="186">
        <v>0</v>
      </c>
      <c r="AI143" s="28"/>
      <c r="AJ143" s="26"/>
      <c r="AL143" s="26"/>
      <c r="AN143" s="28"/>
    </row>
    <row r="144" spans="2:40" x14ac:dyDescent="0.25">
      <c r="B144" s="6" t="s">
        <v>48</v>
      </c>
      <c r="C144" s="87">
        <v>0</v>
      </c>
      <c r="D144" s="88">
        <v>0</v>
      </c>
      <c r="E144" s="88">
        <v>0</v>
      </c>
      <c r="F144" s="88">
        <v>0</v>
      </c>
      <c r="G144" s="88">
        <v>0</v>
      </c>
      <c r="H144" s="89">
        <v>-5746</v>
      </c>
      <c r="I144" s="87">
        <v>-1592</v>
      </c>
      <c r="J144" s="88">
        <v>-1856</v>
      </c>
      <c r="K144" s="88">
        <v>-2045</v>
      </c>
      <c r="L144" s="88">
        <v>-2180</v>
      </c>
      <c r="M144" s="88"/>
      <c r="N144" s="88">
        <v>-2354</v>
      </c>
      <c r="O144" s="88">
        <v>-2549</v>
      </c>
      <c r="P144" s="128">
        <v>-2500</v>
      </c>
      <c r="Q144" s="128">
        <f>P144</f>
        <v>-2500</v>
      </c>
      <c r="R144" s="128"/>
      <c r="S144" s="128">
        <v>-2500</v>
      </c>
      <c r="T144" s="128">
        <f>S144</f>
        <v>-2500</v>
      </c>
      <c r="U144" s="128">
        <f>T144</f>
        <v>-2500</v>
      </c>
      <c r="V144" s="128">
        <f>U144</f>
        <v>-2500</v>
      </c>
      <c r="W144" s="128"/>
      <c r="X144" s="128">
        <v>-2500</v>
      </c>
      <c r="Y144" s="128">
        <f>X144</f>
        <v>-2500</v>
      </c>
      <c r="Z144" s="128">
        <f t="shared" ref="Z144:AA144" si="331">Y144</f>
        <v>-2500</v>
      </c>
      <c r="AA144" s="128">
        <f t="shared" si="331"/>
        <v>-2500</v>
      </c>
      <c r="AB144" s="30">
        <f t="shared" si="330"/>
        <v>-7673</v>
      </c>
      <c r="AC144" s="40">
        <f>SUM(N144:Q144)</f>
        <v>-9903</v>
      </c>
      <c r="AD144" s="40">
        <f>SUM(S144:V144)</f>
        <v>-10000</v>
      </c>
      <c r="AE144" s="40">
        <f>SUM(X144:AA144)</f>
        <v>-10000</v>
      </c>
      <c r="AF144" s="128">
        <f>AE144</f>
        <v>-10000</v>
      </c>
      <c r="AG144" s="128">
        <f>AF144</f>
        <v>-10000</v>
      </c>
      <c r="AH144" s="225">
        <f>AG144</f>
        <v>-10000</v>
      </c>
      <c r="AI144" s="28"/>
      <c r="AJ144" s="26"/>
      <c r="AL144" s="26"/>
      <c r="AN144" s="28"/>
    </row>
    <row r="145" spans="2:40" x14ac:dyDescent="0.25">
      <c r="B145" s="6" t="s">
        <v>49</v>
      </c>
      <c r="C145" s="87">
        <v>-737.73099999999999</v>
      </c>
      <c r="D145" s="88">
        <v>-791.56299999999999</v>
      </c>
      <c r="E145" s="88">
        <v>-893.93799999999999</v>
      </c>
      <c r="F145" s="88">
        <v>-1320.653</v>
      </c>
      <c r="G145" s="88">
        <v>0</v>
      </c>
      <c r="H145" s="89">
        <v>-2250</v>
      </c>
      <c r="I145" s="87">
        <v>-486</v>
      </c>
      <c r="J145" s="88">
        <v>-690</v>
      </c>
      <c r="K145" s="88">
        <v>-804</v>
      </c>
      <c r="L145" s="88">
        <v>-976</v>
      </c>
      <c r="M145" s="88"/>
      <c r="N145" s="88">
        <v>-869</v>
      </c>
      <c r="O145" s="88">
        <v>-1073</v>
      </c>
      <c r="P145" s="128">
        <f>AVERAGE(I145:O145)</f>
        <v>-816.33333333333337</v>
      </c>
      <c r="Q145" s="128">
        <f>P145</f>
        <v>-816.33333333333337</v>
      </c>
      <c r="R145" s="128"/>
      <c r="S145" s="128">
        <f>Q145</f>
        <v>-816.33333333333337</v>
      </c>
      <c r="T145" s="128">
        <f t="shared" ref="T145:AA145" si="332">S145</f>
        <v>-816.33333333333337</v>
      </c>
      <c r="U145" s="128">
        <f t="shared" si="332"/>
        <v>-816.33333333333337</v>
      </c>
      <c r="V145" s="128">
        <f t="shared" si="332"/>
        <v>-816.33333333333337</v>
      </c>
      <c r="W145" s="128"/>
      <c r="X145" s="128">
        <f>V145</f>
        <v>-816.33333333333337</v>
      </c>
      <c r="Y145" s="128">
        <f t="shared" si="332"/>
        <v>-816.33333333333337</v>
      </c>
      <c r="Z145" s="128">
        <f t="shared" si="332"/>
        <v>-816.33333333333337</v>
      </c>
      <c r="AA145" s="128">
        <f t="shared" si="332"/>
        <v>-816.33333333333337</v>
      </c>
      <c r="AB145" s="30">
        <f t="shared" si="330"/>
        <v>-2956</v>
      </c>
      <c r="AC145" s="40">
        <f>SUM(N145:Q145)</f>
        <v>-3574.666666666667</v>
      </c>
      <c r="AD145" s="40">
        <f>SUM(S145:V145)</f>
        <v>-3265.3333333333335</v>
      </c>
      <c r="AE145" s="40">
        <f>SUM(X145:AA145)</f>
        <v>-3265.3333333333335</v>
      </c>
      <c r="AF145" s="128">
        <f>AE145</f>
        <v>-3265.3333333333335</v>
      </c>
      <c r="AG145" s="128">
        <f t="shared" ref="AG145:AH147" si="333">AF145</f>
        <v>-3265.3333333333335</v>
      </c>
      <c r="AH145" s="225">
        <f t="shared" si="333"/>
        <v>-3265.3333333333335</v>
      </c>
      <c r="AI145" s="28"/>
      <c r="AJ145" s="26"/>
      <c r="AL145" s="26"/>
      <c r="AN145" s="28"/>
    </row>
    <row r="146" spans="2:40" x14ac:dyDescent="0.25">
      <c r="B146" s="6" t="s">
        <v>93</v>
      </c>
      <c r="C146" s="87">
        <v>-624.84400000000005</v>
      </c>
      <c r="D146" s="88">
        <v>-609.89200000000005</v>
      </c>
      <c r="E146" s="88">
        <v>-349.72199999999998</v>
      </c>
      <c r="F146" s="88">
        <v>-337.52699999999999</v>
      </c>
      <c r="G146" s="88">
        <v>0</v>
      </c>
      <c r="H146" s="89">
        <v>-2111</v>
      </c>
      <c r="I146" s="87">
        <v>-580</v>
      </c>
      <c r="J146" s="88">
        <v>-566</v>
      </c>
      <c r="K146" s="88">
        <v>-674</v>
      </c>
      <c r="L146" s="88">
        <v>-840</v>
      </c>
      <c r="M146" s="88"/>
      <c r="N146" s="88">
        <v>-766</v>
      </c>
      <c r="O146" s="88">
        <v>-695</v>
      </c>
      <c r="P146" s="128">
        <f>AVERAGE(L146:O146)</f>
        <v>-767</v>
      </c>
      <c r="Q146" s="128">
        <f>P146</f>
        <v>-767</v>
      </c>
      <c r="R146" s="128"/>
      <c r="S146" s="128">
        <f>Q146</f>
        <v>-767</v>
      </c>
      <c r="T146" s="128">
        <f t="shared" ref="T146:AA147" si="334">S146</f>
        <v>-767</v>
      </c>
      <c r="U146" s="128">
        <f t="shared" si="334"/>
        <v>-767</v>
      </c>
      <c r="V146" s="128">
        <f t="shared" si="334"/>
        <v>-767</v>
      </c>
      <c r="W146" s="128"/>
      <c r="X146" s="128">
        <f>V146</f>
        <v>-767</v>
      </c>
      <c r="Y146" s="128">
        <f t="shared" si="334"/>
        <v>-767</v>
      </c>
      <c r="Z146" s="128">
        <f t="shared" si="334"/>
        <v>-767</v>
      </c>
      <c r="AA146" s="128">
        <f t="shared" si="334"/>
        <v>-767</v>
      </c>
      <c r="AB146" s="30">
        <f t="shared" si="330"/>
        <v>-2660</v>
      </c>
      <c r="AC146" s="40">
        <f>SUM(N146:Q146)</f>
        <v>-2995</v>
      </c>
      <c r="AD146" s="40">
        <f>SUM(S146:V146)</f>
        <v>-3068</v>
      </c>
      <c r="AE146" s="40">
        <f>SUM(X146:AA146)</f>
        <v>-3068</v>
      </c>
      <c r="AF146" s="128">
        <f>AE146</f>
        <v>-3068</v>
      </c>
      <c r="AG146" s="128">
        <f t="shared" si="333"/>
        <v>-3068</v>
      </c>
      <c r="AH146" s="225">
        <f t="shared" si="333"/>
        <v>-3068</v>
      </c>
      <c r="AI146" s="28"/>
      <c r="AJ146" s="26"/>
      <c r="AL146" s="26"/>
      <c r="AN146" s="28"/>
    </row>
    <row r="147" spans="2:40" x14ac:dyDescent="0.25">
      <c r="B147" s="6" t="s">
        <v>50</v>
      </c>
      <c r="C147" s="87">
        <v>0</v>
      </c>
      <c r="D147" s="88">
        <v>0</v>
      </c>
      <c r="E147" s="88">
        <v>0</v>
      </c>
      <c r="F147" s="88">
        <v>0</v>
      </c>
      <c r="G147" s="88">
        <v>0</v>
      </c>
      <c r="H147" s="89">
        <v>-835</v>
      </c>
      <c r="I147" s="87">
        <v>-218</v>
      </c>
      <c r="J147" s="88">
        <v>-308</v>
      </c>
      <c r="K147" s="88">
        <v>-310</v>
      </c>
      <c r="L147" s="88">
        <v>-536</v>
      </c>
      <c r="M147" s="88"/>
      <c r="N147" s="88">
        <v>-437</v>
      </c>
      <c r="O147" s="88">
        <v>-417</v>
      </c>
      <c r="P147" s="128">
        <f>AVERAGE(L147:O147)</f>
        <v>-463.33333333333331</v>
      </c>
      <c r="Q147" s="128">
        <f>P147</f>
        <v>-463.33333333333331</v>
      </c>
      <c r="R147" s="128"/>
      <c r="S147" s="128">
        <f>Q147</f>
        <v>-463.33333333333331</v>
      </c>
      <c r="T147" s="128">
        <f t="shared" si="334"/>
        <v>-463.33333333333331</v>
      </c>
      <c r="U147" s="128">
        <f t="shared" si="334"/>
        <v>-463.33333333333331</v>
      </c>
      <c r="V147" s="128">
        <f t="shared" si="334"/>
        <v>-463.33333333333331</v>
      </c>
      <c r="W147" s="128"/>
      <c r="X147" s="128">
        <f>V147</f>
        <v>-463.33333333333331</v>
      </c>
      <c r="Y147" s="128">
        <f t="shared" si="334"/>
        <v>-463.33333333333331</v>
      </c>
      <c r="Z147" s="128">
        <f t="shared" si="334"/>
        <v>-463.33333333333331</v>
      </c>
      <c r="AA147" s="128">
        <f t="shared" si="334"/>
        <v>-463.33333333333331</v>
      </c>
      <c r="AB147" s="30">
        <f t="shared" si="330"/>
        <v>-1372</v>
      </c>
      <c r="AC147" s="40">
        <f>SUM(N147:Q147)</f>
        <v>-1780.6666666666665</v>
      </c>
      <c r="AD147" s="40">
        <f>SUM(S147:V147)</f>
        <v>-1853.3333333333333</v>
      </c>
      <c r="AE147" s="40">
        <f>SUM(X147:AA147)</f>
        <v>-1853.3333333333333</v>
      </c>
      <c r="AF147" s="128">
        <f>AE147</f>
        <v>-1853.3333333333333</v>
      </c>
      <c r="AG147" s="128">
        <f t="shared" si="333"/>
        <v>-1853.3333333333333</v>
      </c>
      <c r="AH147" s="225">
        <f t="shared" si="333"/>
        <v>-1853.3333333333333</v>
      </c>
      <c r="AI147" s="28"/>
      <c r="AJ147" s="26"/>
      <c r="AL147" s="26"/>
      <c r="AN147" s="28"/>
    </row>
    <row r="148" spans="2:40" x14ac:dyDescent="0.25">
      <c r="B148" s="6" t="s">
        <v>51</v>
      </c>
      <c r="C148" s="87">
        <v>0</v>
      </c>
      <c r="D148" s="88">
        <v>0</v>
      </c>
      <c r="E148" s="88">
        <v>0</v>
      </c>
      <c r="F148" s="88">
        <v>0</v>
      </c>
      <c r="G148" s="88">
        <v>0</v>
      </c>
      <c r="H148" s="89">
        <v>-582</v>
      </c>
      <c r="I148" s="87">
        <v>0</v>
      </c>
      <c r="J148" s="88">
        <v>0</v>
      </c>
      <c r="K148" s="88">
        <v>0</v>
      </c>
      <c r="L148" s="88">
        <v>-90</v>
      </c>
      <c r="M148" s="88"/>
      <c r="N148" s="88">
        <v>0</v>
      </c>
      <c r="O148" s="88">
        <v>0</v>
      </c>
      <c r="P148" s="185">
        <v>0</v>
      </c>
      <c r="Q148" s="185">
        <v>0</v>
      </c>
      <c r="R148" s="185"/>
      <c r="S148" s="185">
        <v>0</v>
      </c>
      <c r="T148" s="185">
        <v>0</v>
      </c>
      <c r="U148" s="185">
        <v>0</v>
      </c>
      <c r="V148" s="185">
        <v>0</v>
      </c>
      <c r="W148" s="185"/>
      <c r="X148" s="185">
        <v>0</v>
      </c>
      <c r="Y148" s="185">
        <v>0</v>
      </c>
      <c r="Z148" s="185">
        <v>0</v>
      </c>
      <c r="AA148" s="185">
        <v>0</v>
      </c>
      <c r="AB148" s="30">
        <f t="shared" si="330"/>
        <v>-90</v>
      </c>
      <c r="AC148" s="185">
        <v>0</v>
      </c>
      <c r="AD148" s="185">
        <v>0</v>
      </c>
      <c r="AE148" s="185">
        <v>0</v>
      </c>
      <c r="AF148" s="185">
        <v>0</v>
      </c>
      <c r="AG148" s="185">
        <v>0</v>
      </c>
      <c r="AH148" s="186">
        <v>0</v>
      </c>
      <c r="AI148" s="28"/>
      <c r="AJ148" s="26"/>
      <c r="AL148" s="26"/>
      <c r="AN148" s="28"/>
    </row>
    <row r="149" spans="2:40" x14ac:dyDescent="0.25">
      <c r="B149" s="6" t="s">
        <v>52</v>
      </c>
      <c r="C149" s="87">
        <v>0</v>
      </c>
      <c r="D149" s="88">
        <v>0</v>
      </c>
      <c r="E149" s="88">
        <v>0</v>
      </c>
      <c r="F149" s="88">
        <v>0</v>
      </c>
      <c r="G149" s="88">
        <v>0</v>
      </c>
      <c r="H149" s="89">
        <v>-925</v>
      </c>
      <c r="I149" s="87">
        <v>0</v>
      </c>
      <c r="J149" s="88">
        <v>0</v>
      </c>
      <c r="K149" s="88">
        <v>0</v>
      </c>
      <c r="L149" s="88">
        <v>0</v>
      </c>
      <c r="M149" s="88"/>
      <c r="N149" s="88">
        <v>0</v>
      </c>
      <c r="O149" s="88">
        <v>0</v>
      </c>
      <c r="P149" s="185">
        <v>0</v>
      </c>
      <c r="Q149" s="185">
        <v>0</v>
      </c>
      <c r="R149" s="185"/>
      <c r="S149" s="185">
        <v>0</v>
      </c>
      <c r="T149" s="185">
        <v>0</v>
      </c>
      <c r="U149" s="185">
        <v>0</v>
      </c>
      <c r="V149" s="185">
        <v>0</v>
      </c>
      <c r="W149" s="185"/>
      <c r="X149" s="185">
        <v>0</v>
      </c>
      <c r="Y149" s="185">
        <v>0</v>
      </c>
      <c r="Z149" s="185">
        <v>0</v>
      </c>
      <c r="AA149" s="185">
        <v>0</v>
      </c>
      <c r="AB149" s="30">
        <f t="shared" si="330"/>
        <v>0</v>
      </c>
      <c r="AC149" s="185">
        <v>0</v>
      </c>
      <c r="AD149" s="185">
        <v>0</v>
      </c>
      <c r="AE149" s="185">
        <v>0</v>
      </c>
      <c r="AF149" s="185">
        <v>0</v>
      </c>
      <c r="AG149" s="185">
        <v>0</v>
      </c>
      <c r="AH149" s="186">
        <v>0</v>
      </c>
      <c r="AI149" s="28"/>
      <c r="AJ149" s="26"/>
      <c r="AL149" s="26"/>
      <c r="AN149" s="28"/>
    </row>
    <row r="150" spans="2:40" x14ac:dyDescent="0.25">
      <c r="B150" s="6" t="s">
        <v>43</v>
      </c>
      <c r="C150" s="87">
        <v>-10783.201000000001</v>
      </c>
      <c r="D150" s="88">
        <v>-10218.576999999999</v>
      </c>
      <c r="E150" s="88">
        <v>-9445.6330000000016</v>
      </c>
      <c r="F150" s="88">
        <v>-9338.3679999999986</v>
      </c>
      <c r="G150" s="88">
        <v>-15093</v>
      </c>
      <c r="H150" s="89">
        <v>-5538</v>
      </c>
      <c r="I150" s="87">
        <v>-1449</v>
      </c>
      <c r="J150" s="88">
        <v>-1809</v>
      </c>
      <c r="K150" s="88">
        <v>-1959</v>
      </c>
      <c r="L150" s="88">
        <v>-2630</v>
      </c>
      <c r="M150" s="88"/>
      <c r="N150" s="88">
        <v>-1864</v>
      </c>
      <c r="O150" s="88">
        <v>-3061</v>
      </c>
      <c r="P150" s="128">
        <f>AVERAGE(I150:O150)</f>
        <v>-2128.6666666666665</v>
      </c>
      <c r="Q150" s="128">
        <f>P150</f>
        <v>-2128.6666666666665</v>
      </c>
      <c r="R150" s="128"/>
      <c r="S150" s="128">
        <f>Q150</f>
        <v>-2128.6666666666665</v>
      </c>
      <c r="T150" s="128">
        <f t="shared" ref="T150:AA150" si="335">S150</f>
        <v>-2128.6666666666665</v>
      </c>
      <c r="U150" s="128">
        <f t="shared" si="335"/>
        <v>-2128.6666666666665</v>
      </c>
      <c r="V150" s="128">
        <f t="shared" si="335"/>
        <v>-2128.6666666666665</v>
      </c>
      <c r="W150" s="128"/>
      <c r="X150" s="128">
        <f>V150</f>
        <v>-2128.6666666666665</v>
      </c>
      <c r="Y150" s="128">
        <f t="shared" si="335"/>
        <v>-2128.6666666666665</v>
      </c>
      <c r="Z150" s="128">
        <f t="shared" si="335"/>
        <v>-2128.6666666666665</v>
      </c>
      <c r="AA150" s="128">
        <f t="shared" si="335"/>
        <v>-2128.6666666666665</v>
      </c>
      <c r="AB150" s="30">
        <f t="shared" si="330"/>
        <v>-7847</v>
      </c>
      <c r="AC150" s="40">
        <f>SUM(N150:Q150)</f>
        <v>-9182.3333333333321</v>
      </c>
      <c r="AD150" s="40">
        <f>SUM(S150:V150)</f>
        <v>-8514.6666666666661</v>
      </c>
      <c r="AE150" s="40">
        <f>SUM(X150:AA150)</f>
        <v>-8514.6666666666661</v>
      </c>
      <c r="AF150" s="128">
        <f>AE150</f>
        <v>-8514.6666666666661</v>
      </c>
      <c r="AG150" s="128">
        <f t="shared" ref="AG150:AH150" si="336">AF150</f>
        <v>-8514.6666666666661</v>
      </c>
      <c r="AH150" s="225">
        <f t="shared" si="336"/>
        <v>-8514.6666666666661</v>
      </c>
      <c r="AI150" s="28"/>
      <c r="AJ150" s="26"/>
      <c r="AL150" s="26"/>
      <c r="AN150" s="28"/>
    </row>
    <row r="151" spans="2:40" x14ac:dyDescent="0.25">
      <c r="B151" s="1"/>
      <c r="C151" s="111"/>
      <c r="D151" s="100"/>
      <c r="E151" s="100"/>
      <c r="F151" s="100"/>
      <c r="G151" s="100"/>
      <c r="H151" s="101"/>
      <c r="I151" s="256"/>
      <c r="J151" s="100"/>
      <c r="K151" s="100"/>
      <c r="L151" s="100"/>
      <c r="M151" s="100"/>
      <c r="N151" s="100"/>
      <c r="O151" s="100"/>
      <c r="AB151" s="30"/>
      <c r="AH151" s="28"/>
      <c r="AI151" s="28"/>
      <c r="AJ151" s="26"/>
      <c r="AL151" s="26"/>
      <c r="AN151" s="28"/>
    </row>
    <row r="152" spans="2:40" x14ac:dyDescent="0.25">
      <c r="B152" s="8" t="s">
        <v>53</v>
      </c>
      <c r="C152" s="115">
        <v>12160.5</v>
      </c>
      <c r="D152" s="98">
        <v>12524.543</v>
      </c>
      <c r="E152" s="98">
        <v>14528.431</v>
      </c>
      <c r="F152" s="98">
        <v>14917.67</v>
      </c>
      <c r="G152" s="98">
        <v>12609</v>
      </c>
      <c r="H152" s="99">
        <v>14630</v>
      </c>
      <c r="I152" s="112">
        <v>6577</v>
      </c>
      <c r="J152" s="102">
        <v>5355</v>
      </c>
      <c r="K152" s="102">
        <v>5945</v>
      </c>
      <c r="L152" s="102">
        <v>5274.9989999999998</v>
      </c>
      <c r="M152" s="102"/>
      <c r="N152" s="102">
        <v>6485</v>
      </c>
      <c r="O152" s="102">
        <f>O116+O118+O133</f>
        <v>3676.0010000000002</v>
      </c>
      <c r="P152" s="16">
        <f>P116+P118+P133</f>
        <v>7429.676554496531</v>
      </c>
      <c r="Q152" s="16">
        <f t="shared" ref="Q152:AA152" si="337">Q116+Q118+Q133</f>
        <v>11157.264639539721</v>
      </c>
      <c r="R152" s="16"/>
      <c r="S152" s="16">
        <f t="shared" si="337"/>
        <v>10236.377013500165</v>
      </c>
      <c r="T152" s="16">
        <f t="shared" si="337"/>
        <v>9244.3964647099274</v>
      </c>
      <c r="U152" s="16">
        <f t="shared" si="337"/>
        <v>9842.1083618730227</v>
      </c>
      <c r="V152" s="16">
        <f t="shared" si="337"/>
        <v>10203.872216905733</v>
      </c>
      <c r="W152" s="16"/>
      <c r="X152" s="16">
        <f t="shared" si="337"/>
        <v>9841.7434529686143</v>
      </c>
      <c r="Y152" s="16">
        <f t="shared" si="337"/>
        <v>10256.018393594502</v>
      </c>
      <c r="Z152" s="16">
        <f t="shared" si="337"/>
        <v>10846.021580926128</v>
      </c>
      <c r="AA152" s="16">
        <f t="shared" si="337"/>
        <v>11452.958380686207</v>
      </c>
      <c r="AB152" s="35">
        <f>SUM(I152:L152)</f>
        <v>23151.999</v>
      </c>
      <c r="AC152" s="16">
        <f t="shared" ref="AC152:AH152" si="338">AC116+AC118+AC133</f>
        <v>28747.942194036266</v>
      </c>
      <c r="AD152" s="16">
        <f>AD116+AD118+AD133</f>
        <v>39726.754056988866</v>
      </c>
      <c r="AE152" s="16">
        <f t="shared" si="338"/>
        <v>42396.741808175429</v>
      </c>
      <c r="AF152" s="16">
        <f t="shared" si="338"/>
        <v>45440.679997357831</v>
      </c>
      <c r="AG152" s="16">
        <f t="shared" si="338"/>
        <v>50757.611637853799</v>
      </c>
      <c r="AH152" s="235">
        <f t="shared" si="338"/>
        <v>57119.231310479008</v>
      </c>
      <c r="AI152" s="28"/>
      <c r="AJ152" s="26"/>
      <c r="AL152" s="26"/>
      <c r="AN152" s="28"/>
    </row>
    <row r="153" spans="2:40" x14ac:dyDescent="0.25">
      <c r="B153" s="1" t="s">
        <v>54</v>
      </c>
      <c r="C153" s="87">
        <v>-3787.8029999999999</v>
      </c>
      <c r="D153" s="88">
        <v>-3851.3330000000001</v>
      </c>
      <c r="E153" s="88">
        <v>-6777.4530000000004</v>
      </c>
      <c r="F153" s="88">
        <v>-3000.27</v>
      </c>
      <c r="G153" s="88">
        <v>-2398</v>
      </c>
      <c r="H153" s="89">
        <v>-2815</v>
      </c>
      <c r="I153" s="87">
        <v>-1658</v>
      </c>
      <c r="J153" s="88">
        <v>-1358</v>
      </c>
      <c r="K153" s="88">
        <v>-362</v>
      </c>
      <c r="L153" s="88">
        <v>-1116</v>
      </c>
      <c r="M153" s="88"/>
      <c r="N153" s="88">
        <v>-1161</v>
      </c>
      <c r="O153" s="88">
        <v>-234</v>
      </c>
      <c r="P153" s="40">
        <f>P152*P154</f>
        <v>-1560.2320764442716</v>
      </c>
      <c r="Q153" s="40">
        <f t="shared" ref="Q153:AA153" si="339">Q152*Q154</f>
        <v>-2343.0255743033413</v>
      </c>
      <c r="R153" s="40"/>
      <c r="S153" s="40">
        <f t="shared" si="339"/>
        <v>-2149.6391728350345</v>
      </c>
      <c r="T153" s="40">
        <f t="shared" si="339"/>
        <v>-1941.3232575890847</v>
      </c>
      <c r="U153" s="40">
        <f t="shared" si="339"/>
        <v>-2066.8427559933348</v>
      </c>
      <c r="V153" s="40">
        <f t="shared" si="339"/>
        <v>-2142.8131655502038</v>
      </c>
      <c r="W153" s="40"/>
      <c r="X153" s="40">
        <f t="shared" si="339"/>
        <v>-2066.766125123409</v>
      </c>
      <c r="Y153" s="40">
        <f t="shared" si="339"/>
        <v>-2153.7638626548455</v>
      </c>
      <c r="Z153" s="40">
        <f t="shared" si="339"/>
        <v>-2277.6645319944869</v>
      </c>
      <c r="AA153" s="40">
        <f t="shared" si="339"/>
        <v>-2405.1212599441033</v>
      </c>
      <c r="AB153" s="30">
        <f>SUM(I153:L153)</f>
        <v>-4494</v>
      </c>
      <c r="AC153" s="40">
        <f>SUM(N153:Q153)</f>
        <v>-5298.2576507476133</v>
      </c>
      <c r="AD153" s="40">
        <f>SUM(S153:V153)</f>
        <v>-8300.6183519676579</v>
      </c>
      <c r="AE153" s="40">
        <f>SUM(X153:AA153)</f>
        <v>-8903.315779716846</v>
      </c>
      <c r="AF153" s="40">
        <f>AF152*AF154</f>
        <v>-9542.5427994451438</v>
      </c>
      <c r="AG153" s="40">
        <f t="shared" ref="AG153:AH153" si="340">AG152*AG154</f>
        <v>-10659.098443949297</v>
      </c>
      <c r="AH153" s="72">
        <f t="shared" si="340"/>
        <v>-11995.038575200591</v>
      </c>
      <c r="AI153" s="28"/>
      <c r="AJ153" s="26"/>
      <c r="AL153" s="26"/>
      <c r="AN153" s="28"/>
    </row>
    <row r="154" spans="2:40" x14ac:dyDescent="0.25">
      <c r="B154" s="44" t="s">
        <v>206</v>
      </c>
      <c r="C154" s="217">
        <f>C153/C152</f>
        <v>-0.31148414950043174</v>
      </c>
      <c r="D154" s="309">
        <f t="shared" ref="D154:H154" si="341">D153/D152</f>
        <v>-0.30750287655206265</v>
      </c>
      <c r="E154" s="309">
        <f t="shared" si="341"/>
        <v>-0.46649586593349274</v>
      </c>
      <c r="F154" s="309">
        <f t="shared" si="341"/>
        <v>-0.20112189101917391</v>
      </c>
      <c r="G154" s="309">
        <f t="shared" si="341"/>
        <v>-0.19018161630581332</v>
      </c>
      <c r="H154" s="319">
        <f t="shared" si="341"/>
        <v>-0.19241285030758715</v>
      </c>
      <c r="I154" s="217">
        <f>I153/I152</f>
        <v>-0.25209061882317169</v>
      </c>
      <c r="J154" s="309">
        <f t="shared" ref="J154:O154" si="342">J153/J152</f>
        <v>-0.25359477124183005</v>
      </c>
      <c r="K154" s="309">
        <f t="shared" si="342"/>
        <v>-6.0891505466778809E-2</v>
      </c>
      <c r="L154" s="309">
        <f t="shared" si="342"/>
        <v>-0.21156402114957748</v>
      </c>
      <c r="M154" s="309"/>
      <c r="N154" s="309">
        <f t="shared" si="342"/>
        <v>-0.17902852737085581</v>
      </c>
      <c r="O154" s="309">
        <f t="shared" si="342"/>
        <v>-6.3656130670258243E-2</v>
      </c>
      <c r="P154" s="147">
        <v>-0.21</v>
      </c>
      <c r="Q154" s="147">
        <v>-0.21</v>
      </c>
      <c r="R154" s="147"/>
      <c r="S154" s="147">
        <v>-0.21</v>
      </c>
      <c r="T154" s="147">
        <v>-0.21</v>
      </c>
      <c r="U154" s="147">
        <v>-0.21</v>
      </c>
      <c r="V154" s="147">
        <v>-0.21</v>
      </c>
      <c r="W154" s="147"/>
      <c r="X154" s="147">
        <v>-0.21</v>
      </c>
      <c r="Y154" s="147">
        <v>-0.21</v>
      </c>
      <c r="Z154" s="147">
        <v>-0.21</v>
      </c>
      <c r="AA154" s="147">
        <v>-0.21</v>
      </c>
      <c r="AB154" s="30"/>
      <c r="AF154" s="147">
        <v>-0.21</v>
      </c>
      <c r="AG154" s="147">
        <v>-0.21</v>
      </c>
      <c r="AH154" s="150">
        <v>-0.21</v>
      </c>
      <c r="AI154" s="28"/>
      <c r="AJ154" s="26"/>
      <c r="AL154" s="26"/>
      <c r="AN154" s="28"/>
    </row>
    <row r="155" spans="2:40" x14ac:dyDescent="0.25">
      <c r="B155" s="2" t="s">
        <v>55</v>
      </c>
      <c r="C155" s="116">
        <v>5997.6869999999999</v>
      </c>
      <c r="D155" s="96">
        <v>7179.9</v>
      </c>
      <c r="E155" s="96">
        <v>7540.3779999999997</v>
      </c>
      <c r="F155" s="96">
        <v>11917.4</v>
      </c>
      <c r="G155" s="96">
        <v>10211</v>
      </c>
      <c r="H155" s="97">
        <v>11815</v>
      </c>
      <c r="I155" s="109">
        <v>4919</v>
      </c>
      <c r="J155" s="257">
        <v>3997</v>
      </c>
      <c r="K155" s="257">
        <v>5583</v>
      </c>
      <c r="L155" s="257">
        <v>4158.9989999999998</v>
      </c>
      <c r="M155" s="257"/>
      <c r="N155" s="257">
        <v>5324</v>
      </c>
      <c r="O155" s="257">
        <f>O152+O153</f>
        <v>3442.0010000000002</v>
      </c>
      <c r="P155" s="81">
        <f>P152+P153</f>
        <v>5869.444478052259</v>
      </c>
      <c r="Q155" s="81">
        <f t="shared" ref="Q155:AA155" si="343">Q152+Q153</f>
        <v>8814.2390652363792</v>
      </c>
      <c r="R155" s="81"/>
      <c r="S155" s="81">
        <f t="shared" si="343"/>
        <v>8086.7378406651305</v>
      </c>
      <c r="T155" s="81">
        <f t="shared" si="343"/>
        <v>7303.0732071208422</v>
      </c>
      <c r="U155" s="81">
        <f t="shared" si="343"/>
        <v>7775.2656058796874</v>
      </c>
      <c r="V155" s="81">
        <f t="shared" si="343"/>
        <v>8061.0590513555289</v>
      </c>
      <c r="W155" s="81"/>
      <c r="X155" s="81">
        <f t="shared" si="343"/>
        <v>7774.9773278452049</v>
      </c>
      <c r="Y155" s="81">
        <f t="shared" si="343"/>
        <v>8102.2545309396573</v>
      </c>
      <c r="Z155" s="81">
        <f t="shared" si="343"/>
        <v>8568.3570489316407</v>
      </c>
      <c r="AA155" s="81">
        <f t="shared" si="343"/>
        <v>9047.8371207421042</v>
      </c>
      <c r="AB155" s="31">
        <f>SUM(I155:L155)</f>
        <v>18657.999</v>
      </c>
      <c r="AC155" s="81">
        <f>AC152+AC153</f>
        <v>23449.684543288655</v>
      </c>
      <c r="AD155" s="81">
        <f>AD152+AD153</f>
        <v>31426.13570502121</v>
      </c>
      <c r="AE155" s="81">
        <f t="shared" ref="AD155:AH155" si="344">AE152+AE153</f>
        <v>33493.426028458583</v>
      </c>
      <c r="AF155" s="81">
        <f t="shared" si="344"/>
        <v>35898.137197912685</v>
      </c>
      <c r="AG155" s="81">
        <f t="shared" si="344"/>
        <v>40098.513193904502</v>
      </c>
      <c r="AH155" s="82">
        <f t="shared" si="344"/>
        <v>45124.192735278419</v>
      </c>
      <c r="AI155" s="28"/>
      <c r="AJ155" s="326">
        <f>(AB155/D155)^(1/5)-1</f>
        <v>0.21045691001160982</v>
      </c>
      <c r="AK155" s="335">
        <f>(AH155/AC155)^(1/5)-1</f>
        <v>0.1398678069832231</v>
      </c>
      <c r="AL155" s="26"/>
      <c r="AN155" s="28"/>
    </row>
    <row r="156" spans="2:40" x14ac:dyDescent="0.25">
      <c r="B156" s="43" t="s">
        <v>140</v>
      </c>
      <c r="C156" s="86"/>
      <c r="D156" s="160">
        <f>(D155/C155)-1</f>
        <v>0.19711148647803722</v>
      </c>
      <c r="E156" s="160">
        <f t="shared" ref="E156:H156" si="345">(E155/D155)-1</f>
        <v>5.020654883772746E-2</v>
      </c>
      <c r="F156" s="160">
        <f t="shared" si="345"/>
        <v>0.5804777956754954</v>
      </c>
      <c r="G156" s="160">
        <f t="shared" si="345"/>
        <v>-0.14318559417322563</v>
      </c>
      <c r="H156" s="160">
        <f t="shared" si="345"/>
        <v>0.15708549603368915</v>
      </c>
      <c r="I156" s="328"/>
      <c r="J156" s="160">
        <f>(J155/I155)-1</f>
        <v>-0.18743647082740389</v>
      </c>
      <c r="K156" s="160">
        <f t="shared" ref="K156:AA156" si="346">(K155/J155)-1</f>
        <v>0.3967975981986489</v>
      </c>
      <c r="L156" s="160">
        <f t="shared" si="346"/>
        <v>-0.25506018269747455</v>
      </c>
      <c r="M156" s="160"/>
      <c r="N156" s="160">
        <f>(N155/L155)-1</f>
        <v>0.28011572015285413</v>
      </c>
      <c r="O156" s="160">
        <f t="shared" si="346"/>
        <v>-0.35349342599549205</v>
      </c>
      <c r="P156" s="160">
        <f t="shared" si="346"/>
        <v>0.70524194445389732</v>
      </c>
      <c r="Q156" s="160">
        <f t="shared" si="346"/>
        <v>0.50171606498632948</v>
      </c>
      <c r="R156" s="160"/>
      <c r="S156" s="160">
        <f>(S155/Q155)-1</f>
        <v>-8.2537042527078164E-2</v>
      </c>
      <c r="T156" s="160">
        <f t="shared" si="346"/>
        <v>-9.6907387006357149E-2</v>
      </c>
      <c r="U156" s="160">
        <f t="shared" si="346"/>
        <v>6.4656670605250932E-2</v>
      </c>
      <c r="V156" s="160">
        <f t="shared" si="346"/>
        <v>3.6756743751586329E-2</v>
      </c>
      <c r="W156" s="160"/>
      <c r="X156" s="160">
        <f>(X155/V155)-1</f>
        <v>-3.5489347204598065E-2</v>
      </c>
      <c r="Y156" s="160">
        <f t="shared" si="346"/>
        <v>4.2093653691097632E-2</v>
      </c>
      <c r="Z156" s="160">
        <f t="shared" si="346"/>
        <v>5.75275086967586E-2</v>
      </c>
      <c r="AA156" s="160">
        <f t="shared" si="346"/>
        <v>5.5959394440763699E-2</v>
      </c>
      <c r="AB156" s="80">
        <f>(AB155/H155)-1</f>
        <v>0.57917892509521796</v>
      </c>
      <c r="AC156" s="79">
        <f>(AC155/AB155)-1</f>
        <v>0.2568166898973816</v>
      </c>
      <c r="AD156" s="79">
        <f t="shared" ref="AD156:AH156" si="347">(AD155/AC155)-1</f>
        <v>0.34015174690336858</v>
      </c>
      <c r="AE156" s="79">
        <f t="shared" si="347"/>
        <v>6.5782517546599362E-2</v>
      </c>
      <c r="AF156" s="79">
        <f t="shared" si="347"/>
        <v>7.1796512169608251E-2</v>
      </c>
      <c r="AG156" s="79">
        <f t="shared" si="347"/>
        <v>0.11700818827546433</v>
      </c>
      <c r="AH156" s="129">
        <f t="shared" si="347"/>
        <v>0.1253333139079551</v>
      </c>
      <c r="AI156" s="28"/>
      <c r="AJ156" s="26"/>
      <c r="AL156" s="26"/>
      <c r="AN156" s="28"/>
    </row>
    <row r="157" spans="2:40" x14ac:dyDescent="0.25">
      <c r="B157" s="8" t="s">
        <v>96</v>
      </c>
      <c r="C157" s="117">
        <v>0.71</v>
      </c>
      <c r="D157" s="103">
        <v>0.84</v>
      </c>
      <c r="E157" s="103">
        <v>0.87</v>
      </c>
      <c r="F157" s="103">
        <v>1.4</v>
      </c>
      <c r="G157" s="103">
        <v>1.1200000000000001</v>
      </c>
      <c r="H157" s="104">
        <v>1.24</v>
      </c>
      <c r="I157" s="258">
        <v>0.51785581373950751</v>
      </c>
      <c r="J157" s="105">
        <v>0.42079074761472079</v>
      </c>
      <c r="K157" s="105">
        <v>0.45225058457215539</v>
      </c>
      <c r="L157" s="105">
        <v>0.30415606434975601</v>
      </c>
      <c r="M157" s="105"/>
      <c r="N157" s="105">
        <v>0.33531315471168832</v>
      </c>
      <c r="O157" s="105">
        <f>O155/(O158*1000)</f>
        <v>0.19572086755154233</v>
      </c>
      <c r="P157" s="320">
        <f>P155/(P158*1000)</f>
        <v>0.33385159046151242</v>
      </c>
      <c r="Q157" s="320">
        <f t="shared" ref="Q157:AA157" si="348">Q155/(Q158*1000)</f>
        <v>0.50135029671729003</v>
      </c>
      <c r="R157" s="320"/>
      <c r="S157" s="320">
        <f t="shared" si="348"/>
        <v>0.45997032595617182</v>
      </c>
      <c r="T157" s="320">
        <f t="shared" si="348"/>
        <v>0.41539580356729683</v>
      </c>
      <c r="U157" s="320">
        <f t="shared" si="348"/>
        <v>0.44225391320935104</v>
      </c>
      <c r="V157" s="320">
        <f t="shared" si="348"/>
        <v>0.45850972697032344</v>
      </c>
      <c r="W157" s="320"/>
      <c r="X157" s="320">
        <f t="shared" si="348"/>
        <v>0.44223751607318817</v>
      </c>
      <c r="Y157" s="320">
        <f t="shared" si="348"/>
        <v>0.46085290892398423</v>
      </c>
      <c r="Z157" s="320">
        <f t="shared" si="348"/>
        <v>0.48736462865003521</v>
      </c>
      <c r="AA157" s="320">
        <f t="shared" si="348"/>
        <v>0.51463725814113892</v>
      </c>
      <c r="AB157" s="242">
        <f>SUM(I157:L157)</f>
        <v>1.6950532102761398</v>
      </c>
      <c r="AC157" s="320">
        <f>SUM(N157:Q157)</f>
        <v>1.3662359094420331</v>
      </c>
      <c r="AD157" s="320">
        <f>SUM(S157:V157)</f>
        <v>1.7761297697031431</v>
      </c>
      <c r="AE157" s="320">
        <f>SUM(X157:AA157)</f>
        <v>1.9050923117883465</v>
      </c>
      <c r="AF157" s="320">
        <f>AF155/(AF158*1000)</f>
        <v>2.0418712951358842</v>
      </c>
      <c r="AG157" s="320">
        <f t="shared" ref="AG157:AH157" si="349">AG155/(AG158*1000)</f>
        <v>2.28078695607141</v>
      </c>
      <c r="AH157" s="321">
        <f t="shared" si="349"/>
        <v>2.5666455435938778</v>
      </c>
      <c r="AI157" s="28"/>
      <c r="AJ157" s="26"/>
      <c r="AL157" s="26"/>
      <c r="AN157" s="28"/>
    </row>
    <row r="158" spans="2:40" x14ac:dyDescent="0.25">
      <c r="B158" s="6" t="s">
        <v>97</v>
      </c>
      <c r="C158" s="83">
        <v>8.4584609999999998</v>
      </c>
      <c r="D158" s="84">
        <v>8.5132949999999994</v>
      </c>
      <c r="E158" s="84">
        <v>8.6335809999999995</v>
      </c>
      <c r="F158" s="84">
        <v>8.538608</v>
      </c>
      <c r="G158" s="84">
        <v>9.1297049999999995</v>
      </c>
      <c r="H158" s="85">
        <v>9.4987829999999995</v>
      </c>
      <c r="I158" s="259">
        <v>9.4987829999999995</v>
      </c>
      <c r="J158" s="260">
        <v>9.4987829999999995</v>
      </c>
      <c r="K158" s="260">
        <v>12.344925999999999</v>
      </c>
      <c r="L158" s="260">
        <v>13.673897999999999</v>
      </c>
      <c r="M158" s="260"/>
      <c r="N158" s="260">
        <v>15.877694999999999</v>
      </c>
      <c r="O158" s="260">
        <v>17.586275000000001</v>
      </c>
      <c r="P158" s="238">
        <f>P204</f>
        <v>17.580998999999998</v>
      </c>
      <c r="Q158" s="238">
        <f t="shared" ref="Q158:AA158" si="350">Q204</f>
        <v>17.580998999999998</v>
      </c>
      <c r="R158" s="238"/>
      <c r="S158" s="238">
        <f t="shared" si="350"/>
        <v>17.580998999999998</v>
      </c>
      <c r="T158" s="238">
        <f t="shared" si="350"/>
        <v>17.580998999999998</v>
      </c>
      <c r="U158" s="238">
        <f t="shared" si="350"/>
        <v>17.580998999999998</v>
      </c>
      <c r="V158" s="238">
        <f t="shared" si="350"/>
        <v>17.580998999999998</v>
      </c>
      <c r="W158" s="238"/>
      <c r="X158" s="238">
        <f t="shared" si="350"/>
        <v>17.580998999999998</v>
      </c>
      <c r="Y158" s="238">
        <f t="shared" si="350"/>
        <v>17.580998999999998</v>
      </c>
      <c r="Z158" s="238">
        <f t="shared" si="350"/>
        <v>17.580998999999998</v>
      </c>
      <c r="AA158" s="238">
        <f t="shared" si="350"/>
        <v>17.580998999999998</v>
      </c>
      <c r="AB158" s="30">
        <f>AVERAGE(I158:L158)</f>
        <v>11.2540975</v>
      </c>
      <c r="AC158" s="288">
        <f>AVERAGE(N158:Q158)</f>
        <v>17.156492</v>
      </c>
      <c r="AD158" s="201">
        <f>V158</f>
        <v>17.580998999999998</v>
      </c>
      <c r="AE158" s="201">
        <f>AA158</f>
        <v>17.580998999999998</v>
      </c>
      <c r="AF158" s="201">
        <f>AE158</f>
        <v>17.580998999999998</v>
      </c>
      <c r="AG158" s="201">
        <f t="shared" ref="AG158:AH158" si="351">AF158</f>
        <v>17.580998999999998</v>
      </c>
      <c r="AH158" s="207">
        <f t="shared" si="351"/>
        <v>17.580998999999998</v>
      </c>
      <c r="AI158" s="28"/>
      <c r="AJ158" s="26"/>
      <c r="AL158" s="26"/>
      <c r="AN158" s="28"/>
    </row>
    <row r="159" spans="2:40" x14ac:dyDescent="0.25">
      <c r="B159" s="1"/>
      <c r="C159" s="26"/>
      <c r="H159" s="28"/>
      <c r="I159" s="26"/>
      <c r="P159" s="222"/>
      <c r="U159" s="222"/>
      <c r="AB159" s="30"/>
      <c r="AF159" s="541"/>
      <c r="AH159" s="28"/>
      <c r="AI159" s="28"/>
      <c r="AJ159" s="26"/>
      <c r="AL159" s="26"/>
      <c r="AN159" s="28"/>
    </row>
    <row r="160" spans="2:40" x14ac:dyDescent="0.25">
      <c r="B160" s="7" t="s">
        <v>114</v>
      </c>
      <c r="C160" s="69"/>
      <c r="D160" s="70"/>
      <c r="E160" s="70"/>
      <c r="F160" s="70"/>
      <c r="G160" s="70"/>
      <c r="H160" s="71"/>
      <c r="I160" s="23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166"/>
      <c r="AC160" s="24"/>
      <c r="AD160" s="24"/>
      <c r="AE160" s="24"/>
      <c r="AF160" s="24"/>
      <c r="AG160" s="24"/>
      <c r="AH160" s="25"/>
      <c r="AI160" s="25"/>
      <c r="AJ160" s="23"/>
      <c r="AK160" s="24"/>
      <c r="AL160" s="23"/>
      <c r="AM160" s="24"/>
      <c r="AN160" s="25"/>
    </row>
    <row r="161" spans="2:40" x14ac:dyDescent="0.25">
      <c r="B161" s="2" t="s">
        <v>56</v>
      </c>
      <c r="C161" s="31">
        <v>1174.149414</v>
      </c>
      <c r="D161" s="81">
        <v>1210.44165</v>
      </c>
      <c r="E161" s="81">
        <v>1232.755371</v>
      </c>
      <c r="F161" s="81">
        <v>1251.8785399999999</v>
      </c>
      <c r="G161" s="81">
        <v>1515.3129879999999</v>
      </c>
      <c r="H161" s="82">
        <v>1763.973999</v>
      </c>
      <c r="I161" s="31">
        <f>I162+I169+I179+I171+I172+SUM(I182:I188)</f>
        <v>1799.046034</v>
      </c>
      <c r="J161" s="81">
        <f>J162+J169+J179+J171+J172+SUM(J182:J188)</f>
        <v>1755.5180000000003</v>
      </c>
      <c r="K161" s="81">
        <f>K162+K169+K179+K171+K172+SUM(K182:K188)</f>
        <v>2512.581036</v>
      </c>
      <c r="L161" s="81">
        <f>L162+L169+L179+L171+L172+SUM(L182:L188)</f>
        <v>2691.7150219999999</v>
      </c>
      <c r="M161" s="81"/>
      <c r="N161" s="81">
        <f>N162+N169+N179+N171+N172+SUM(N182:N188)</f>
        <v>2686.7880570000002</v>
      </c>
      <c r="O161" s="81">
        <f>O162+O169+O179+O171+O172+SUM(O182:O188)</f>
        <v>2728.7020970000003</v>
      </c>
      <c r="P161" s="81">
        <f>P162+P169+P179+P171+P172+SUM(P182:P188)</f>
        <v>2787.257274525</v>
      </c>
      <c r="Q161" s="81">
        <f>Q162+Q169+Q179+Q171+Q172+SUM(Q182:Q188)</f>
        <v>2862.7487394648006</v>
      </c>
      <c r="R161" s="81"/>
      <c r="S161" s="261">
        <f>S162+S169+S179+S171+S172+SUM(S182:S188)</f>
        <v>2861.6164844648001</v>
      </c>
      <c r="T161" s="261">
        <f>T162+T169+T179+T171+T172+SUM(T182:T188)</f>
        <v>2891.6164844648001</v>
      </c>
      <c r="U161" s="261">
        <f>U162+U169+U179+U171+U172+SUM(U182:U188)</f>
        <v>2921.6164844648001</v>
      </c>
      <c r="V161" s="261">
        <f>V162+V169+V179+V171+V172+SUM(V182:V188)</f>
        <v>2962.7702330131515</v>
      </c>
      <c r="W161" s="261"/>
      <c r="X161" s="261">
        <f>X162+X169+X179+X171+X172+SUM(X182:X188)</f>
        <v>3019.1073525131515</v>
      </c>
      <c r="Y161" s="261">
        <f>Y162+Y169+Y179+Y171+Y172+SUM(Y182:Y188)</f>
        <v>3072.1073525131515</v>
      </c>
      <c r="Z161" s="261">
        <f>Z162+Z169+Z179+Z171+Z172+SUM(Z182:Z188)</f>
        <v>3125.1073525131515</v>
      </c>
      <c r="AA161" s="261">
        <f>AA162+AA169+AA179+AA171+AA172+SUM(AA182:AA188)</f>
        <v>3138.4367688696543</v>
      </c>
      <c r="AB161" s="31">
        <f>L161</f>
        <v>2691.7150219999999</v>
      </c>
      <c r="AC161" s="81">
        <f t="shared" ref="AC161:AH161" si="352">SUM(AC162,AC169,AC171,AC172,AC179,AC182:AC188)</f>
        <v>2862.8937404648004</v>
      </c>
      <c r="AD161" s="81">
        <f t="shared" si="352"/>
        <v>2963.0812340131515</v>
      </c>
      <c r="AE161" s="81">
        <f t="shared" si="352"/>
        <v>3133.7477698696543</v>
      </c>
      <c r="AF161" s="81">
        <f t="shared" si="352"/>
        <v>3251.8012129726076</v>
      </c>
      <c r="AG161" s="81">
        <f t="shared" si="352"/>
        <v>3435.1074217546843</v>
      </c>
      <c r="AH161" s="82">
        <f t="shared" si="352"/>
        <v>3565.4513009561565</v>
      </c>
      <c r="AI161" s="28"/>
      <c r="AJ161" s="26"/>
      <c r="AL161" s="26"/>
      <c r="AN161" s="28"/>
    </row>
    <row r="162" spans="2:40" x14ac:dyDescent="0.25">
      <c r="B162" s="6" t="s">
        <v>59</v>
      </c>
      <c r="C162" s="87">
        <v>60.871943999999999</v>
      </c>
      <c r="D162" s="88">
        <v>75.166961999999998</v>
      </c>
      <c r="E162" s="88">
        <v>57.812851000000002</v>
      </c>
      <c r="F162" s="88">
        <v>60.155453000000001</v>
      </c>
      <c r="G162" s="88">
        <v>104.09200300000001</v>
      </c>
      <c r="H162" s="89">
        <v>183.50599700000001</v>
      </c>
      <c r="I162" s="73">
        <v>181.587998</v>
      </c>
      <c r="J162" s="74">
        <v>146.26600299999998</v>
      </c>
      <c r="K162" s="74">
        <v>176.99700200000001</v>
      </c>
      <c r="L162" s="74">
        <v>197.23200399999999</v>
      </c>
      <c r="M162" s="74"/>
      <c r="N162" s="74">
        <v>156.41699800000001</v>
      </c>
      <c r="O162" s="74">
        <v>76.481998000000004</v>
      </c>
      <c r="P162" s="436">
        <f>P163+P166</f>
        <v>125</v>
      </c>
      <c r="Q162" s="27">
        <f>Q163+Q166</f>
        <v>125</v>
      </c>
      <c r="S162" s="27">
        <f>S163+S166</f>
        <v>170</v>
      </c>
      <c r="T162" s="27">
        <f t="shared" ref="T162:AA162" si="353">T163+T166</f>
        <v>170</v>
      </c>
      <c r="U162" s="27">
        <f t="shared" si="353"/>
        <v>170</v>
      </c>
      <c r="V162" s="27">
        <f t="shared" si="353"/>
        <v>170</v>
      </c>
      <c r="X162" s="27">
        <f t="shared" si="353"/>
        <v>170</v>
      </c>
      <c r="Y162" s="27">
        <f t="shared" si="353"/>
        <v>170</v>
      </c>
      <c r="Z162" s="27">
        <f t="shared" si="353"/>
        <v>170</v>
      </c>
      <c r="AA162" s="27">
        <f t="shared" si="353"/>
        <v>170</v>
      </c>
      <c r="AB162" s="30">
        <f>L162</f>
        <v>197.23200399999999</v>
      </c>
      <c r="AC162" s="27">
        <f>Q162</f>
        <v>125</v>
      </c>
      <c r="AD162" s="27">
        <f>V162</f>
        <v>170</v>
      </c>
      <c r="AE162" s="27">
        <f>AA162</f>
        <v>170</v>
      </c>
      <c r="AF162" s="27">
        <f>AF163+AF166</f>
        <v>125</v>
      </c>
      <c r="AG162" s="27">
        <f t="shared" ref="AG162:AH162" si="354">AG163+AG166</f>
        <v>125</v>
      </c>
      <c r="AH162" s="28">
        <f t="shared" si="354"/>
        <v>125</v>
      </c>
      <c r="AI162" s="28"/>
      <c r="AJ162" s="26"/>
      <c r="AL162" s="26"/>
      <c r="AN162" s="28"/>
    </row>
    <row r="163" spans="2:40" s="27" customFormat="1" x14ac:dyDescent="0.25">
      <c r="B163" s="10" t="s">
        <v>57</v>
      </c>
      <c r="C163" s="87">
        <v>22.256644999999999</v>
      </c>
      <c r="D163" s="88">
        <v>28.822104</v>
      </c>
      <c r="E163" s="88">
        <v>23.145136000000001</v>
      </c>
      <c r="F163" s="88">
        <v>10.376875999999999</v>
      </c>
      <c r="G163" s="88">
        <v>15.57</v>
      </c>
      <c r="H163" s="89">
        <v>17.218</v>
      </c>
      <c r="I163" s="73">
        <v>18.402999999999999</v>
      </c>
      <c r="J163" s="74">
        <v>21.105</v>
      </c>
      <c r="K163" s="74">
        <v>52.912002999999999</v>
      </c>
      <c r="L163" s="74">
        <v>18.975000000000001</v>
      </c>
      <c r="M163" s="74"/>
      <c r="N163" s="74">
        <v>23.594000000000001</v>
      </c>
      <c r="O163" s="74">
        <v>23.132999000000002</v>
      </c>
      <c r="P163" s="185">
        <v>25</v>
      </c>
      <c r="Q163" s="185">
        <v>25</v>
      </c>
      <c r="R163" s="185"/>
      <c r="S163" s="185">
        <v>30</v>
      </c>
      <c r="T163" s="185">
        <v>30</v>
      </c>
      <c r="U163" s="185">
        <v>30</v>
      </c>
      <c r="V163" s="185">
        <v>30</v>
      </c>
      <c r="W163" s="185"/>
      <c r="X163" s="185">
        <v>30</v>
      </c>
      <c r="Y163" s="185">
        <v>30</v>
      </c>
      <c r="Z163" s="185">
        <v>30</v>
      </c>
      <c r="AA163" s="185">
        <v>30</v>
      </c>
      <c r="AB163" s="30">
        <f>L163</f>
        <v>18.975000000000001</v>
      </c>
      <c r="AC163" s="27">
        <f>Q163</f>
        <v>25</v>
      </c>
      <c r="AD163" s="27">
        <f>V163</f>
        <v>30</v>
      </c>
      <c r="AE163" s="27">
        <f>AA163</f>
        <v>30</v>
      </c>
      <c r="AF163" s="27">
        <v>25</v>
      </c>
      <c r="AG163" s="27">
        <v>25</v>
      </c>
      <c r="AH163" s="28">
        <v>25</v>
      </c>
      <c r="AI163" s="28"/>
      <c r="AJ163" s="26"/>
      <c r="AL163" s="26"/>
      <c r="AN163" s="28"/>
    </row>
    <row r="164" spans="2:40" s="27" customFormat="1" x14ac:dyDescent="0.25">
      <c r="B164" s="45" t="s">
        <v>193</v>
      </c>
      <c r="C164" s="218">
        <f>C163/C161</f>
        <v>1.8955547509220152E-2</v>
      </c>
      <c r="D164" s="219">
        <f t="shared" ref="D164:Q164" si="355">D163/D161</f>
        <v>2.3811229562366761E-2</v>
      </c>
      <c r="E164" s="219">
        <f t="shared" si="355"/>
        <v>1.8775124849973176E-2</v>
      </c>
      <c r="F164" s="219">
        <f t="shared" si="355"/>
        <v>8.2890437597883896E-3</v>
      </c>
      <c r="G164" s="219">
        <f t="shared" si="355"/>
        <v>1.0275104960692122E-2</v>
      </c>
      <c r="H164" s="220">
        <f t="shared" si="355"/>
        <v>9.7609148489495399E-3</v>
      </c>
      <c r="I164" s="262">
        <f t="shared" si="355"/>
        <v>1.0229310230090532E-2</v>
      </c>
      <c r="J164" s="252">
        <f t="shared" si="355"/>
        <v>1.2022092624513106E-2</v>
      </c>
      <c r="K164" s="252">
        <f t="shared" si="355"/>
        <v>2.1058824468497658E-2</v>
      </c>
      <c r="L164" s="252">
        <f t="shared" si="355"/>
        <v>7.0494089622835272E-3</v>
      </c>
      <c r="M164" s="252"/>
      <c r="N164" s="252">
        <f t="shared" si="355"/>
        <v>8.7814890863942823E-3</v>
      </c>
      <c r="O164" s="252">
        <f t="shared" si="355"/>
        <v>8.4776564746415397E-3</v>
      </c>
      <c r="P164" s="252">
        <f t="shared" si="355"/>
        <v>8.9693908877717301E-3</v>
      </c>
      <c r="Q164" s="252">
        <f t="shared" si="355"/>
        <v>8.7328656040815602E-3</v>
      </c>
      <c r="R164" s="252"/>
      <c r="S164" s="76">
        <f t="shared" ref="S164" si="356">S163/S161</f>
        <v>1.0483585121508977E-2</v>
      </c>
      <c r="T164" s="76">
        <f t="shared" ref="T164" si="357">T163/T161</f>
        <v>1.0374819814859578E-2</v>
      </c>
      <c r="U164" s="76">
        <f t="shared" ref="U164" si="358">U163/U161</f>
        <v>1.0268288175234466E-2</v>
      </c>
      <c r="V164" s="76">
        <f t="shared" ref="V164" si="359">V163/V161</f>
        <v>1.0125658637217323E-2</v>
      </c>
      <c r="W164" s="76"/>
      <c r="X164" s="76">
        <f t="shared" ref="X164" si="360">X163/X161</f>
        <v>9.9367119142111781E-3</v>
      </c>
      <c r="Y164" s="76">
        <f t="shared" ref="Y164" si="361">Y163/Y161</f>
        <v>9.7652837474765854E-3</v>
      </c>
      <c r="Z164" s="76">
        <f t="shared" ref="Z164" si="362">Z163/Z161</f>
        <v>9.5996702244083142E-3</v>
      </c>
      <c r="AA164" s="76">
        <f t="shared" ref="AA164" si="363">AA163/AA161</f>
        <v>9.5588989708417348E-3</v>
      </c>
      <c r="AB164" s="77">
        <f t="shared" ref="AB164" si="364">AB163/AB161</f>
        <v>7.0494089622835272E-3</v>
      </c>
      <c r="AC164" s="76">
        <f t="shared" ref="AC164" si="365">AC163/AC161</f>
        <v>8.7324232983726335E-3</v>
      </c>
      <c r="AD164" s="76">
        <f t="shared" ref="AD164" si="366">AD163/AD161</f>
        <v>1.0124595861777459E-2</v>
      </c>
      <c r="AE164" s="76">
        <f t="shared" ref="AE164" si="367">AE163/AE161</f>
        <v>9.5732018666096486E-3</v>
      </c>
      <c r="AF164" s="76">
        <f t="shared" ref="AF164" si="368">AF163/AF161</f>
        <v>7.6880468277906984E-3</v>
      </c>
      <c r="AG164" s="76">
        <f t="shared" ref="AG164" si="369">AG163/AG161</f>
        <v>7.2777927821627685E-3</v>
      </c>
      <c r="AH164" s="124">
        <f t="shared" ref="AH164" si="370">AH163/AH161</f>
        <v>7.0117350903925353E-3</v>
      </c>
      <c r="AI164" s="28"/>
      <c r="AJ164" s="26"/>
      <c r="AL164" s="26"/>
      <c r="AN164" s="28"/>
    </row>
    <row r="165" spans="2:40" s="27" customFormat="1" x14ac:dyDescent="0.25">
      <c r="B165" s="45" t="s">
        <v>168</v>
      </c>
      <c r="C165" s="87"/>
      <c r="D165" s="172">
        <f>-D178</f>
        <v>1.0620000000000001</v>
      </c>
      <c r="E165" s="172">
        <f>-E178</f>
        <v>0.39</v>
      </c>
      <c r="F165" s="172">
        <f>-F178</f>
        <v>0.20050000000000001</v>
      </c>
      <c r="G165" s="172">
        <f>-G178</f>
        <v>1.1040000000000001</v>
      </c>
      <c r="H165" s="173">
        <f>-H178</f>
        <v>6.5579999999999998</v>
      </c>
      <c r="I165" s="73"/>
      <c r="J165" s="74"/>
      <c r="K165" s="74"/>
      <c r="L165" s="74"/>
      <c r="M165" s="74"/>
      <c r="N165" s="74"/>
      <c r="O165" s="74"/>
      <c r="AB165" s="174">
        <f>-AB178</f>
        <v>0.7</v>
      </c>
      <c r="AH165" s="28"/>
      <c r="AI165" s="28"/>
      <c r="AJ165" s="26"/>
      <c r="AL165" s="26"/>
      <c r="AN165" s="28"/>
    </row>
    <row r="166" spans="2:40" s="27" customFormat="1" x14ac:dyDescent="0.25">
      <c r="B166" s="10" t="s">
        <v>58</v>
      </c>
      <c r="C166" s="87">
        <v>38.615299</v>
      </c>
      <c r="D166" s="88">
        <v>46.344859999999997</v>
      </c>
      <c r="E166" s="88">
        <v>34.667717000000003</v>
      </c>
      <c r="F166" s="88">
        <v>49.778576000000001</v>
      </c>
      <c r="G166" s="88">
        <v>88.522002999999998</v>
      </c>
      <c r="H166" s="89">
        <v>166.287994</v>
      </c>
      <c r="I166" s="73">
        <v>163.18499800000001</v>
      </c>
      <c r="J166" s="74">
        <v>125.16100299999999</v>
      </c>
      <c r="K166" s="74">
        <v>124.084999</v>
      </c>
      <c r="L166" s="74">
        <v>178.25700399999999</v>
      </c>
      <c r="M166" s="74"/>
      <c r="N166" s="74">
        <v>132.82299800000001</v>
      </c>
      <c r="O166" s="74">
        <v>53.348998999999999</v>
      </c>
      <c r="P166" s="185">
        <v>100</v>
      </c>
      <c r="Q166" s="185">
        <v>100</v>
      </c>
      <c r="R166" s="185"/>
      <c r="S166" s="185">
        <v>140</v>
      </c>
      <c r="T166" s="185">
        <f>S166</f>
        <v>140</v>
      </c>
      <c r="U166" s="185">
        <f t="shared" ref="U166:V166" si="371">T166</f>
        <v>140</v>
      </c>
      <c r="V166" s="185">
        <f t="shared" si="371"/>
        <v>140</v>
      </c>
      <c r="W166" s="185"/>
      <c r="X166" s="185">
        <f>V166</f>
        <v>140</v>
      </c>
      <c r="Y166" s="185">
        <f>X166</f>
        <v>140</v>
      </c>
      <c r="Z166" s="185">
        <f t="shared" ref="Z166:AA166" si="372">Y166</f>
        <v>140</v>
      </c>
      <c r="AA166" s="185">
        <f t="shared" si="372"/>
        <v>140</v>
      </c>
      <c r="AB166" s="30">
        <f>L166</f>
        <v>178.25700399999999</v>
      </c>
      <c r="AC166" s="27">
        <f>Q166</f>
        <v>100</v>
      </c>
      <c r="AD166" s="27">
        <f>V166</f>
        <v>140</v>
      </c>
      <c r="AE166" s="27">
        <f>AA166</f>
        <v>140</v>
      </c>
      <c r="AF166" s="27">
        <v>100</v>
      </c>
      <c r="AG166" s="27">
        <v>100</v>
      </c>
      <c r="AH166" s="28">
        <v>100</v>
      </c>
      <c r="AI166" s="28"/>
      <c r="AJ166" s="26"/>
      <c r="AL166" s="26"/>
      <c r="AN166" s="28"/>
    </row>
    <row r="167" spans="2:40" s="27" customFormat="1" x14ac:dyDescent="0.25">
      <c r="B167" s="45" t="s">
        <v>193</v>
      </c>
      <c r="C167" s="218">
        <f>C166/C161</f>
        <v>3.288789189822821E-2</v>
      </c>
      <c r="D167" s="219">
        <f t="shared" ref="D167:O167" si="373">D166/D161</f>
        <v>3.8287562229868739E-2</v>
      </c>
      <c r="E167" s="219">
        <f t="shared" si="373"/>
        <v>2.8122138272963164E-2</v>
      </c>
      <c r="F167" s="219">
        <f t="shared" si="373"/>
        <v>3.9763103535587409E-2</v>
      </c>
      <c r="G167" s="219">
        <f t="shared" si="373"/>
        <v>5.8418296220661713E-2</v>
      </c>
      <c r="H167" s="220">
        <f t="shared" si="373"/>
        <v>9.4268959800013472E-2</v>
      </c>
      <c r="I167" s="262">
        <f t="shared" si="373"/>
        <v>9.0706404903477866E-2</v>
      </c>
      <c r="J167" s="252">
        <f t="shared" si="373"/>
        <v>7.1295767403125446E-2</v>
      </c>
      <c r="K167" s="252">
        <f t="shared" si="373"/>
        <v>4.9385471442362661E-2</v>
      </c>
      <c r="L167" s="252">
        <f t="shared" si="373"/>
        <v>6.6224322613302258E-2</v>
      </c>
      <c r="M167" s="252"/>
      <c r="N167" s="252">
        <f t="shared" si="373"/>
        <v>4.9435606822038215E-2</v>
      </c>
      <c r="O167" s="252">
        <f t="shared" si="373"/>
        <v>1.9551052882853408E-2</v>
      </c>
      <c r="P167" s="252">
        <f>P166/P161</f>
        <v>3.587756355108692E-2</v>
      </c>
      <c r="Q167" s="252">
        <f t="shared" ref="Q167" si="374">Q166/Q161</f>
        <v>3.4931462416326241E-2</v>
      </c>
      <c r="R167" s="252"/>
      <c r="S167" s="252">
        <f t="shared" ref="S167" si="375">S166/S161</f>
        <v>4.8923397233708553E-2</v>
      </c>
      <c r="T167" s="252">
        <f t="shared" ref="T167" si="376">T166/T161</f>
        <v>4.8415825802678031E-2</v>
      </c>
      <c r="U167" s="252">
        <f t="shared" ref="U167" si="377">U166/U161</f>
        <v>4.7918678151094178E-2</v>
      </c>
      <c r="V167" s="252">
        <f t="shared" ref="V167" si="378">V166/V161</f>
        <v>4.7253073640347511E-2</v>
      </c>
      <c r="W167" s="252"/>
      <c r="X167" s="252">
        <f t="shared" ref="X167" si="379">X166/X161</f>
        <v>4.6371322266318835E-2</v>
      </c>
      <c r="Y167" s="252">
        <f t="shared" ref="Y167" si="380">Y166/Y161</f>
        <v>4.5571324154890736E-2</v>
      </c>
      <c r="Z167" s="252">
        <f t="shared" ref="Z167" si="381">Z166/Z161</f>
        <v>4.4798461047238801E-2</v>
      </c>
      <c r="AA167" s="252">
        <f t="shared" ref="AA167:AD167" si="382">AA166/AA161</f>
        <v>4.4608195197261433E-2</v>
      </c>
      <c r="AB167" s="262">
        <f t="shared" si="382"/>
        <v>6.6224322613302258E-2</v>
      </c>
      <c r="AC167" s="252">
        <f t="shared" si="382"/>
        <v>3.4929693193490534E-2</v>
      </c>
      <c r="AD167" s="252">
        <f t="shared" si="382"/>
        <v>4.7248114021628144E-2</v>
      </c>
      <c r="AE167" s="252">
        <f t="shared" ref="AE167" si="383">AE166/AE161</f>
        <v>4.4674942044178365E-2</v>
      </c>
      <c r="AF167" s="252">
        <f t="shared" ref="AF167" si="384">AF166/AF161</f>
        <v>3.0752187311162794E-2</v>
      </c>
      <c r="AG167" s="252">
        <f t="shared" ref="AG167" si="385">AG166/AG161</f>
        <v>2.9111171128651074E-2</v>
      </c>
      <c r="AH167" s="263">
        <f t="shared" ref="AH167" si="386">AH166/AH161</f>
        <v>2.8046940361570141E-2</v>
      </c>
      <c r="AI167" s="28"/>
      <c r="AJ167" s="26"/>
      <c r="AL167" s="26"/>
      <c r="AN167" s="28"/>
    </row>
    <row r="168" spans="2:40" s="27" customFormat="1" x14ac:dyDescent="0.25">
      <c r="B168" s="6"/>
      <c r="C168" s="87"/>
      <c r="D168" s="88"/>
      <c r="E168" s="88"/>
      <c r="F168" s="88"/>
      <c r="G168" s="88"/>
      <c r="H168" s="89"/>
      <c r="I168" s="30"/>
      <c r="J168" s="40"/>
      <c r="K168" s="40"/>
      <c r="L168" s="40"/>
      <c r="M168" s="40"/>
      <c r="N168" s="40"/>
      <c r="O168" s="40"/>
      <c r="AB168" s="30"/>
      <c r="AH168" s="28"/>
      <c r="AI168" s="28"/>
      <c r="AJ168" s="26"/>
      <c r="AL168" s="26"/>
      <c r="AN168" s="28"/>
    </row>
    <row r="169" spans="2:40" s="27" customFormat="1" x14ac:dyDescent="0.25">
      <c r="B169" s="6" t="s">
        <v>60</v>
      </c>
      <c r="C169" s="87">
        <v>296.14932299999998</v>
      </c>
      <c r="D169" s="88">
        <v>323.65786700000001</v>
      </c>
      <c r="E169" s="88">
        <v>354.24691799999999</v>
      </c>
      <c r="F169" s="88">
        <v>353.06616200000002</v>
      </c>
      <c r="G169" s="88">
        <v>347.33200099999999</v>
      </c>
      <c r="H169" s="89">
        <v>380.81399499999998</v>
      </c>
      <c r="I169" s="73">
        <v>433.72900399999997</v>
      </c>
      <c r="J169" s="74">
        <v>469.71398900000003</v>
      </c>
      <c r="K169" s="74">
        <v>820.625</v>
      </c>
      <c r="L169" s="74">
        <v>938.16400099999998</v>
      </c>
      <c r="M169" s="74"/>
      <c r="N169" s="74">
        <v>960.30102499999998</v>
      </c>
      <c r="O169" s="74">
        <v>961.56005900000002</v>
      </c>
      <c r="P169" s="185">
        <v>950</v>
      </c>
      <c r="Q169" s="185">
        <v>955</v>
      </c>
      <c r="R169" s="185"/>
      <c r="S169" s="185">
        <v>920</v>
      </c>
      <c r="T169" s="185">
        <f t="shared" ref="T169:AA169" si="387">S169</f>
        <v>920</v>
      </c>
      <c r="U169" s="185">
        <f t="shared" si="387"/>
        <v>920</v>
      </c>
      <c r="V169" s="185">
        <f t="shared" si="387"/>
        <v>920</v>
      </c>
      <c r="W169" s="185"/>
      <c r="X169" s="185">
        <v>920</v>
      </c>
      <c r="Y169" s="185">
        <f t="shared" si="387"/>
        <v>920</v>
      </c>
      <c r="Z169" s="185">
        <f t="shared" si="387"/>
        <v>920</v>
      </c>
      <c r="AA169" s="185">
        <f t="shared" si="387"/>
        <v>920</v>
      </c>
      <c r="AB169" s="30">
        <f>L169</f>
        <v>938.16400099999998</v>
      </c>
      <c r="AC169" s="27">
        <f>Q169</f>
        <v>955</v>
      </c>
      <c r="AD169" s="185">
        <v>920</v>
      </c>
      <c r="AE169" s="185">
        <v>915</v>
      </c>
      <c r="AF169" s="128">
        <f>AE169*(1.09)</f>
        <v>997.35</v>
      </c>
      <c r="AG169" s="128">
        <f>AF169*(1.09)</f>
        <v>1087.1115000000002</v>
      </c>
      <c r="AH169" s="225">
        <f>AG169*1.03</f>
        <v>1119.7248450000002</v>
      </c>
      <c r="AI169" s="28"/>
      <c r="AJ169" s="326">
        <f>(AB169/D169)^(1/5)-1</f>
        <v>0.23719603451133686</v>
      </c>
      <c r="AK169" s="335">
        <f>(AH169/AC169)^(1/5)-1</f>
        <v>3.2337226869184832E-2</v>
      </c>
      <c r="AL169" s="26"/>
      <c r="AN169" s="28"/>
    </row>
    <row r="170" spans="2:40" s="27" customFormat="1" x14ac:dyDescent="0.25">
      <c r="B170" s="43" t="s">
        <v>153</v>
      </c>
      <c r="C170" s="87"/>
      <c r="D170" s="219">
        <f>(D169/C169)-1</f>
        <v>9.2887411395500719E-2</v>
      </c>
      <c r="E170" s="219">
        <f t="shared" ref="E170:H170" si="388">(E169/D169)-1</f>
        <v>9.4510451062201462E-2</v>
      </c>
      <c r="F170" s="219">
        <f t="shared" si="388"/>
        <v>-3.3331440303454585E-3</v>
      </c>
      <c r="G170" s="219">
        <f t="shared" si="388"/>
        <v>-1.6241038131544427E-2</v>
      </c>
      <c r="H170" s="220">
        <f t="shared" si="388"/>
        <v>9.6397665356495521E-2</v>
      </c>
      <c r="I170" s="251"/>
      <c r="J170" s="252">
        <f>(J169/I169)-1</f>
        <v>8.296651749856232E-2</v>
      </c>
      <c r="K170" s="252">
        <f t="shared" ref="K170:Q170" si="389">(K169/J169)-1</f>
        <v>0.74707379217526348</v>
      </c>
      <c r="L170" s="252">
        <f t="shared" si="389"/>
        <v>0.14323107509520172</v>
      </c>
      <c r="M170" s="252"/>
      <c r="N170" s="252">
        <f>(N169/L169)-1</f>
        <v>2.3596113234364058E-2</v>
      </c>
      <c r="O170" s="252">
        <f t="shared" si="389"/>
        <v>1.311082636822114E-3</v>
      </c>
      <c r="P170" s="252">
        <f t="shared" si="389"/>
        <v>-1.2022191325232634E-2</v>
      </c>
      <c r="Q170" s="252">
        <f t="shared" si="389"/>
        <v>5.2631578947368585E-3</v>
      </c>
      <c r="R170" s="252"/>
      <c r="S170" s="233">
        <f>(S169/Q169)-1</f>
        <v>-3.6649214659685847E-2</v>
      </c>
      <c r="T170" s="233">
        <f t="shared" ref="T170" si="390">(T169/S169)-1</f>
        <v>0</v>
      </c>
      <c r="U170" s="233">
        <f t="shared" ref="U170" si="391">(U169/T169)-1</f>
        <v>0</v>
      </c>
      <c r="V170" s="233">
        <f t="shared" ref="V170" si="392">(V169/U169)-1</f>
        <v>0</v>
      </c>
      <c r="W170" s="233"/>
      <c r="X170" s="233">
        <f>(X169/V169)-1</f>
        <v>0</v>
      </c>
      <c r="Y170" s="233">
        <f t="shared" ref="Y170" si="393">(Y169/X169)-1</f>
        <v>0</v>
      </c>
      <c r="Z170" s="233">
        <f t="shared" ref="Z170" si="394">(Z169/Y169)-1</f>
        <v>0</v>
      </c>
      <c r="AA170" s="233">
        <f t="shared" ref="AA170" si="395">(AA169/Z169)-1</f>
        <v>0</v>
      </c>
      <c r="AB170" s="30"/>
      <c r="AC170" s="76">
        <f>(AC169/AB169)-1</f>
        <v>1.7945688581158858E-2</v>
      </c>
      <c r="AD170" s="76">
        <f t="shared" ref="AD170:AH170" si="396">(AD169/AC169)-1</f>
        <v>-3.6649214659685847E-2</v>
      </c>
      <c r="AE170" s="76">
        <f t="shared" si="396"/>
        <v>-5.4347826086956763E-3</v>
      </c>
      <c r="AF170" s="76">
        <f t="shared" si="396"/>
        <v>9.000000000000008E-2</v>
      </c>
      <c r="AG170" s="76">
        <f t="shared" si="396"/>
        <v>9.000000000000008E-2</v>
      </c>
      <c r="AH170" s="124">
        <f t="shared" si="396"/>
        <v>3.0000000000000027E-2</v>
      </c>
      <c r="AI170" s="28"/>
      <c r="AJ170" s="26"/>
      <c r="AL170" s="26"/>
      <c r="AN170" s="28"/>
    </row>
    <row r="171" spans="2:40" s="27" customFormat="1" x14ac:dyDescent="0.25">
      <c r="B171" s="6" t="s">
        <v>61</v>
      </c>
      <c r="C171" s="87">
        <v>2.7305000000000001</v>
      </c>
      <c r="D171" s="88">
        <v>3.01</v>
      </c>
      <c r="E171" s="88">
        <v>3.0428999999999999</v>
      </c>
      <c r="F171" s="88">
        <v>2.9779</v>
      </c>
      <c r="G171" s="88">
        <v>4.2880000000000003</v>
      </c>
      <c r="H171" s="89">
        <v>3.2959999999999998</v>
      </c>
      <c r="I171" s="73">
        <v>2.7029999999999998</v>
      </c>
      <c r="J171" s="74">
        <v>2.7029999999999998</v>
      </c>
      <c r="K171" s="74">
        <v>13.977</v>
      </c>
      <c r="L171" s="74">
        <v>14.012</v>
      </c>
      <c r="M171" s="74"/>
      <c r="N171" s="74">
        <v>13.827</v>
      </c>
      <c r="O171" s="74">
        <v>12.968</v>
      </c>
      <c r="P171" s="185">
        <v>13</v>
      </c>
      <c r="Q171" s="185">
        <v>13</v>
      </c>
      <c r="R171" s="185"/>
      <c r="S171" s="185">
        <v>15</v>
      </c>
      <c r="T171" s="185">
        <v>15</v>
      </c>
      <c r="U171" s="185">
        <v>15</v>
      </c>
      <c r="V171" s="185">
        <v>15</v>
      </c>
      <c r="W171" s="185"/>
      <c r="X171" s="185">
        <v>15</v>
      </c>
      <c r="Y171" s="185">
        <v>15</v>
      </c>
      <c r="Z171" s="185">
        <v>15</v>
      </c>
      <c r="AA171" s="185">
        <v>15</v>
      </c>
      <c r="AB171" s="30">
        <f>L171</f>
        <v>14.012</v>
      </c>
      <c r="AC171" s="27">
        <f>Q171</f>
        <v>13</v>
      </c>
      <c r="AD171" s="185">
        <v>15</v>
      </c>
      <c r="AE171" s="185">
        <v>15</v>
      </c>
      <c r="AF171" s="185">
        <v>15</v>
      </c>
      <c r="AG171" s="185">
        <v>15</v>
      </c>
      <c r="AH171" s="186">
        <v>15</v>
      </c>
      <c r="AI171" s="28"/>
      <c r="AJ171" s="26"/>
      <c r="AL171" s="26"/>
      <c r="AN171" s="28"/>
    </row>
    <row r="172" spans="2:40" s="27" customFormat="1" x14ac:dyDescent="0.25">
      <c r="B172" s="6" t="s">
        <v>62</v>
      </c>
      <c r="C172" s="87">
        <v>0</v>
      </c>
      <c r="D172" s="88">
        <v>0</v>
      </c>
      <c r="E172" s="88">
        <v>0</v>
      </c>
      <c r="F172" s="88">
        <v>0</v>
      </c>
      <c r="G172" s="88">
        <v>10.076000000000001</v>
      </c>
      <c r="H172" s="89">
        <v>52.386001999999998</v>
      </c>
      <c r="I172" s="73">
        <v>28.429001</v>
      </c>
      <c r="J172" s="74">
        <v>30.91</v>
      </c>
      <c r="K172" s="74">
        <v>26.697001</v>
      </c>
      <c r="L172" s="74">
        <v>38.150002000000001</v>
      </c>
      <c r="M172" s="74"/>
      <c r="N172" s="74">
        <v>24.228000999999999</v>
      </c>
      <c r="O172" s="74">
        <v>38.526001000000001</v>
      </c>
      <c r="P172" s="185">
        <v>35</v>
      </c>
      <c r="Q172" s="185">
        <v>35</v>
      </c>
      <c r="R172" s="185"/>
      <c r="S172" s="40">
        <v>10</v>
      </c>
      <c r="T172" s="40">
        <v>10</v>
      </c>
      <c r="U172" s="40">
        <v>10</v>
      </c>
      <c r="V172" s="40">
        <v>10</v>
      </c>
      <c r="W172" s="40"/>
      <c r="X172" s="40">
        <v>10</v>
      </c>
      <c r="Y172" s="40">
        <v>10</v>
      </c>
      <c r="Z172" s="40">
        <v>10</v>
      </c>
      <c r="AA172" s="40">
        <v>10</v>
      </c>
      <c r="AB172" s="30">
        <f>L172</f>
        <v>38.150002000000001</v>
      </c>
      <c r="AC172" s="27">
        <f>Q172</f>
        <v>35</v>
      </c>
      <c r="AD172" s="40">
        <f>V172</f>
        <v>10</v>
      </c>
      <c r="AE172" s="40">
        <f>AA172</f>
        <v>10</v>
      </c>
      <c r="AF172" s="40">
        <f>AF173*AF179</f>
        <v>10.388520167262369</v>
      </c>
      <c r="AG172" s="40">
        <f>AG173*AG179</f>
        <v>10.842729649737901</v>
      </c>
      <c r="AH172" s="72">
        <f>AH173*AH179</f>
        <v>11.314742042669742</v>
      </c>
      <c r="AI172" s="28"/>
      <c r="AJ172" s="26"/>
      <c r="AL172" s="26"/>
      <c r="AN172" s="28"/>
    </row>
    <row r="173" spans="2:40" s="27" customFormat="1" x14ac:dyDescent="0.25">
      <c r="B173" s="43" t="s">
        <v>194</v>
      </c>
      <c r="C173" s="217">
        <f t="shared" ref="C173:L173" si="397">C172/C179</f>
        <v>0</v>
      </c>
      <c r="D173" s="219">
        <f t="shared" si="397"/>
        <v>0</v>
      </c>
      <c r="E173" s="219">
        <f t="shared" si="397"/>
        <v>0</v>
      </c>
      <c r="F173" s="219">
        <f t="shared" si="397"/>
        <v>0</v>
      </c>
      <c r="G173" s="219">
        <f t="shared" si="397"/>
        <v>1.0474546120561243E-2</v>
      </c>
      <c r="H173" s="220">
        <f t="shared" si="397"/>
        <v>5.0016424999596874E-2</v>
      </c>
      <c r="I173" s="262">
        <f t="shared" si="397"/>
        <v>2.7073123966255167E-2</v>
      </c>
      <c r="J173" s="252">
        <f t="shared" si="397"/>
        <v>3.0611628184580242E-2</v>
      </c>
      <c r="K173" s="252">
        <f t="shared" si="397"/>
        <v>2.0583924647674185E-2</v>
      </c>
      <c r="L173" s="252">
        <f t="shared" si="397"/>
        <v>2.8790998123531135E-2</v>
      </c>
      <c r="M173" s="252"/>
      <c r="N173" s="252">
        <f>N172/N179</f>
        <v>1.8065592035550391E-2</v>
      </c>
      <c r="O173" s="252">
        <f>O172/O179</f>
        <v>2.6775698723137321E-2</v>
      </c>
      <c r="P173" s="252">
        <f>P172/P179</f>
        <v>2.403846153846154E-2</v>
      </c>
      <c r="Q173" s="252">
        <f>Q172/Q179</f>
        <v>2.3001419939072936E-2</v>
      </c>
      <c r="R173" s="252"/>
      <c r="S173" s="233">
        <f>AVERAGE(I173:O173)</f>
        <v>2.5316827613454735E-2</v>
      </c>
      <c r="T173" s="233">
        <f>AVERAGE(J173:P173)</f>
        <v>2.4811050542155797E-2</v>
      </c>
      <c r="U173" s="233">
        <f>AVERAGE(K173:Q173)</f>
        <v>2.3542682501237918E-2</v>
      </c>
      <c r="V173" s="233">
        <f>AVERAGE(L173:S173)</f>
        <v>2.4331499662201342E-2</v>
      </c>
      <c r="W173" s="233"/>
      <c r="X173" s="233">
        <f>AVERAGE(N173:T173)</f>
        <v>2.3668175065305455E-2</v>
      </c>
      <c r="Y173" s="233">
        <f>AVERAGE(O173:U173)</f>
        <v>2.4581023476253374E-2</v>
      </c>
      <c r="Z173" s="233">
        <f>AVERAGE(P173:V173)</f>
        <v>2.4173656966097374E-2</v>
      </c>
      <c r="AA173" s="233">
        <f>AVERAGE(Q173:X173)</f>
        <v>2.4111942553904697E-2</v>
      </c>
      <c r="AB173" s="80">
        <f>AB172/AB179</f>
        <v>2.8790998123531135E-2</v>
      </c>
      <c r="AC173" s="79">
        <f>AC172/AC179</f>
        <v>2.3001419939072936E-2</v>
      </c>
      <c r="AD173" s="79">
        <f>AD172/AD179</f>
        <v>6.0697807718446345E-3</v>
      </c>
      <c r="AE173" s="79">
        <f>AE172/AE179</f>
        <v>5.5122960876177384E-3</v>
      </c>
      <c r="AF173" s="233">
        <f>AE173</f>
        <v>5.5122960876177384E-3</v>
      </c>
      <c r="AG173" s="233">
        <f t="shared" ref="AG173:AH173" si="398">AF173</f>
        <v>5.5122960876177384E-3</v>
      </c>
      <c r="AH173" s="264">
        <f t="shared" si="398"/>
        <v>5.5122960876177384E-3</v>
      </c>
      <c r="AI173" s="28"/>
      <c r="AJ173" s="26"/>
      <c r="AL173" s="26"/>
      <c r="AN173" s="28"/>
    </row>
    <row r="174" spans="2:40" s="27" customFormat="1" x14ac:dyDescent="0.25">
      <c r="B174" s="6"/>
      <c r="C174" s="87"/>
      <c r="D174" s="88"/>
      <c r="E174" s="88"/>
      <c r="F174" s="88"/>
      <c r="G174" s="88"/>
      <c r="H174" s="89"/>
      <c r="I174" s="30"/>
      <c r="J174" s="40"/>
      <c r="K174" s="40"/>
      <c r="L174" s="40"/>
      <c r="M174" s="40"/>
      <c r="N174" s="40"/>
      <c r="O174" s="40"/>
      <c r="AB174" s="30"/>
      <c r="AH174" s="28"/>
      <c r="AI174" s="28"/>
      <c r="AJ174" s="26"/>
      <c r="AL174" s="26"/>
      <c r="AN174" s="28"/>
    </row>
    <row r="175" spans="2:40" s="27" customFormat="1" x14ac:dyDescent="0.25">
      <c r="B175" s="6" t="s">
        <v>63</v>
      </c>
      <c r="C175" s="87">
        <v>758.27874799999995</v>
      </c>
      <c r="D175" s="88">
        <v>753.92254600000001</v>
      </c>
      <c r="E175" s="88">
        <v>764.78832999999997</v>
      </c>
      <c r="F175" s="88">
        <v>781.52612299999998</v>
      </c>
      <c r="G175" s="88">
        <v>968.81402600000001</v>
      </c>
      <c r="H175" s="89">
        <v>1059.503052</v>
      </c>
      <c r="I175" s="73">
        <v>1062.775024</v>
      </c>
      <c r="J175" s="74">
        <v>1022.617981</v>
      </c>
      <c r="K175" s="74">
        <v>1309.8599850000001</v>
      </c>
      <c r="L175" s="74">
        <v>1337.9770510000001</v>
      </c>
      <c r="M175" s="74"/>
      <c r="N175" s="74">
        <v>1354.031982</v>
      </c>
      <c r="O175" s="74">
        <v>1452.8050539999999</v>
      </c>
      <c r="P175" s="128">
        <v>1470</v>
      </c>
      <c r="Q175" s="170">
        <f>AC175</f>
        <v>1535.6451894148001</v>
      </c>
      <c r="R175" s="170"/>
      <c r="S175" s="128">
        <f>Q175+29</f>
        <v>1564.6451894148001</v>
      </c>
      <c r="T175" s="128">
        <f t="shared" ref="T175:U175" si="399">S175+29</f>
        <v>1593.6451894148001</v>
      </c>
      <c r="U175" s="128">
        <f t="shared" si="399"/>
        <v>1622.6451894148001</v>
      </c>
      <c r="V175" s="170">
        <f>AD175</f>
        <v>1661.5059604106514</v>
      </c>
      <c r="W175" s="170"/>
      <c r="X175" s="128">
        <f>V175+52</f>
        <v>1713.5059604106514</v>
      </c>
      <c r="Y175" s="128">
        <f t="shared" ref="Y175:Z175" si="400">X175+52</f>
        <v>1765.5059604106514</v>
      </c>
      <c r="Z175" s="128">
        <f t="shared" si="400"/>
        <v>1817.5059604106514</v>
      </c>
      <c r="AA175" s="170">
        <f>AE175</f>
        <v>1828.126063087029</v>
      </c>
      <c r="AB175" s="30">
        <f>L175</f>
        <v>1337.9770510000001</v>
      </c>
      <c r="AC175" s="170">
        <f t="shared" ref="AC175:AH175" si="401">AC31/1000</f>
        <v>1535.6451894148001</v>
      </c>
      <c r="AD175" s="170">
        <f t="shared" si="401"/>
        <v>1661.5059604106514</v>
      </c>
      <c r="AE175" s="170">
        <f t="shared" si="401"/>
        <v>1828.126063087029</v>
      </c>
      <c r="AF175" s="170">
        <f t="shared" si="401"/>
        <v>1897.2085192335885</v>
      </c>
      <c r="AG175" s="170">
        <f t="shared" si="401"/>
        <v>1978.3478452596019</v>
      </c>
      <c r="AH175" s="171">
        <f t="shared" si="401"/>
        <v>2062.8428436713748</v>
      </c>
      <c r="AI175" s="28"/>
      <c r="AJ175" s="326">
        <f>(AB175/D175)^(1/5)-1</f>
        <v>0.12156484147268642</v>
      </c>
      <c r="AK175" s="335">
        <f>(AH175/AC175)^(1/5)-1</f>
        <v>6.0803763477450978E-2</v>
      </c>
      <c r="AL175" s="26"/>
      <c r="AN175" s="28"/>
    </row>
    <row r="176" spans="2:40" s="27" customFormat="1" x14ac:dyDescent="0.25">
      <c r="B176" s="6" t="s">
        <v>64</v>
      </c>
      <c r="C176" s="83">
        <v>-8.6039049999999992</v>
      </c>
      <c r="D176" s="84">
        <v>-8.9232929999999993</v>
      </c>
      <c r="E176" s="84">
        <v>-7.5075079999999996</v>
      </c>
      <c r="F176" s="84">
        <v>-7.2768059999999997</v>
      </c>
      <c r="G176" s="84">
        <v>-6.8630000000000004</v>
      </c>
      <c r="H176" s="85">
        <v>-12.127000000000001</v>
      </c>
      <c r="I176" s="121">
        <v>-12.693</v>
      </c>
      <c r="J176" s="122">
        <v>-12.871</v>
      </c>
      <c r="K176" s="122">
        <v>-12.877000000000001</v>
      </c>
      <c r="L176" s="122">
        <v>-12.91</v>
      </c>
      <c r="M176" s="122"/>
      <c r="N176" s="122">
        <v>-12.919</v>
      </c>
      <c r="O176" s="122">
        <v>-13.962999999999999</v>
      </c>
      <c r="P176" s="265">
        <v>-14</v>
      </c>
      <c r="Q176" s="265">
        <v>-14</v>
      </c>
      <c r="R176" s="265"/>
      <c r="S176" s="266">
        <v>-14</v>
      </c>
      <c r="T176" s="266">
        <v>-14</v>
      </c>
      <c r="U176" s="266">
        <v>-14</v>
      </c>
      <c r="V176" s="266">
        <v>-14</v>
      </c>
      <c r="W176" s="266"/>
      <c r="X176" s="266">
        <v>-14</v>
      </c>
      <c r="Y176" s="266">
        <v>-14</v>
      </c>
      <c r="Z176" s="266">
        <v>-14</v>
      </c>
      <c r="AA176" s="266">
        <v>-14</v>
      </c>
      <c r="AB176" s="34">
        <f>L176</f>
        <v>-12.91</v>
      </c>
      <c r="AC176" s="222">
        <f>Q176</f>
        <v>-14</v>
      </c>
      <c r="AD176" s="222">
        <f>V176</f>
        <v>-14</v>
      </c>
      <c r="AE176" s="222">
        <f>AA176</f>
        <v>-14</v>
      </c>
      <c r="AF176" s="201">
        <f>AE176*0.9</f>
        <v>-12.6</v>
      </c>
      <c r="AG176" s="201">
        <f t="shared" ref="AG176:AH176" si="402">AF176*0.9</f>
        <v>-11.34</v>
      </c>
      <c r="AH176" s="207">
        <f t="shared" si="402"/>
        <v>-10.206</v>
      </c>
      <c r="AI176" s="28"/>
      <c r="AJ176" s="26"/>
      <c r="AL176" s="26"/>
      <c r="AN176" s="28"/>
    </row>
    <row r="177" spans="2:40" s="27" customFormat="1" x14ac:dyDescent="0.25">
      <c r="B177" s="6"/>
      <c r="C177" s="217">
        <f>C176/C175</f>
        <v>-1.1346625528795645E-2</v>
      </c>
      <c r="D177" s="506">
        <f t="shared" ref="D177:AH177" si="403">D176/D175</f>
        <v>-1.1835821925399746E-2</v>
      </c>
      <c r="E177" s="506">
        <f t="shared" si="403"/>
        <v>-9.8164520894297638E-3</v>
      </c>
      <c r="F177" s="506">
        <f t="shared" si="403"/>
        <v>-9.3110208166387806E-3</v>
      </c>
      <c r="G177" s="506">
        <f t="shared" si="403"/>
        <v>-7.0839189109757998E-3</v>
      </c>
      <c r="H177" s="507">
        <f t="shared" si="403"/>
        <v>-1.1445932106668439E-2</v>
      </c>
      <c r="I177" s="234">
        <f t="shared" si="403"/>
        <v>-1.19432614743118E-2</v>
      </c>
      <c r="J177" s="226">
        <f t="shared" si="403"/>
        <v>-1.2586322790269812E-2</v>
      </c>
      <c r="K177" s="226">
        <f t="shared" si="403"/>
        <v>-9.8308217271023818E-3</v>
      </c>
      <c r="L177" s="226">
        <f t="shared" si="403"/>
        <v>-9.6488949420702724E-3</v>
      </c>
      <c r="M177" s="226" t="e">
        <f t="shared" si="403"/>
        <v>#DIV/0!</v>
      </c>
      <c r="N177" s="226">
        <f t="shared" si="403"/>
        <v>-9.5411335712452926E-3</v>
      </c>
      <c r="O177" s="226">
        <f t="shared" si="403"/>
        <v>-9.6110623800184005E-3</v>
      </c>
      <c r="P177" s="147">
        <f t="shared" si="403"/>
        <v>-9.5238095238095247E-3</v>
      </c>
      <c r="Q177" s="147">
        <f t="shared" si="403"/>
        <v>-9.1166892564128604E-3</v>
      </c>
      <c r="R177" s="147" t="e">
        <f t="shared" si="403"/>
        <v>#DIV/0!</v>
      </c>
      <c r="S177" s="508">
        <f t="shared" si="403"/>
        <v>-8.9477154914822579E-3</v>
      </c>
      <c r="T177" s="508">
        <f t="shared" si="403"/>
        <v>-8.7848914507381148E-3</v>
      </c>
      <c r="U177" s="508">
        <f t="shared" si="403"/>
        <v>-8.6278874096000231E-3</v>
      </c>
      <c r="V177" s="508">
        <f t="shared" si="403"/>
        <v>-8.4260907475407522E-3</v>
      </c>
      <c r="W177" s="508" t="e">
        <f t="shared" si="403"/>
        <v>#DIV/0!</v>
      </c>
      <c r="X177" s="508">
        <f t="shared" si="403"/>
        <v>-8.1703830178943889E-3</v>
      </c>
      <c r="Y177" s="508">
        <f t="shared" si="403"/>
        <v>-7.9297381679434495E-3</v>
      </c>
      <c r="Z177" s="508">
        <f t="shared" si="403"/>
        <v>-7.7028633220200329E-3</v>
      </c>
      <c r="AA177" s="508">
        <f t="shared" si="403"/>
        <v>-7.6581152047901857E-3</v>
      </c>
      <c r="AB177" s="77">
        <f t="shared" si="403"/>
        <v>-9.6488949420702724E-3</v>
      </c>
      <c r="AC177" s="76">
        <f t="shared" si="403"/>
        <v>-9.1166892564128604E-3</v>
      </c>
      <c r="AD177" s="76">
        <f>AD176/AD175</f>
        <v>-8.4260907475407522E-3</v>
      </c>
      <c r="AE177" s="76">
        <f t="shared" si="403"/>
        <v>-7.6581152047901857E-3</v>
      </c>
      <c r="AF177" s="76">
        <f t="shared" si="403"/>
        <v>-6.6413364014884331E-3</v>
      </c>
      <c r="AG177" s="76">
        <f t="shared" si="403"/>
        <v>-5.7320556782631659E-3</v>
      </c>
      <c r="AH177" s="124">
        <f t="shared" si="403"/>
        <v>-4.9475412202684916E-3</v>
      </c>
      <c r="AI177" s="28"/>
      <c r="AJ177" s="26"/>
      <c r="AL177" s="26"/>
      <c r="AN177" s="28"/>
    </row>
    <row r="178" spans="2:40" s="27" customFormat="1" x14ac:dyDescent="0.25">
      <c r="B178" s="43" t="s">
        <v>168</v>
      </c>
      <c r="C178" s="87"/>
      <c r="D178" s="172">
        <f t="shared" ref="D178:AB178" si="404">D114/1000</f>
        <v>-1.0620000000000001</v>
      </c>
      <c r="E178" s="172">
        <f t="shared" si="404"/>
        <v>-0.39</v>
      </c>
      <c r="F178" s="172">
        <f t="shared" si="404"/>
        <v>-0.20050000000000001</v>
      </c>
      <c r="G178" s="172">
        <f t="shared" si="404"/>
        <v>-1.1040000000000001</v>
      </c>
      <c r="H178" s="173">
        <f t="shared" si="404"/>
        <v>-6.5579999999999998</v>
      </c>
      <c r="I178" s="174">
        <f t="shared" si="404"/>
        <v>-0.5</v>
      </c>
      <c r="J178" s="244">
        <f t="shared" si="404"/>
        <v>0</v>
      </c>
      <c r="K178" s="244">
        <f t="shared" si="404"/>
        <v>-0.15</v>
      </c>
      <c r="L178" s="244">
        <f t="shared" si="404"/>
        <v>-0.05</v>
      </c>
      <c r="M178" s="244"/>
      <c r="N178" s="244">
        <f t="shared" si="404"/>
        <v>-0.05</v>
      </c>
      <c r="O178" s="244">
        <f t="shared" si="404"/>
        <v>-1.1000000000000001</v>
      </c>
      <c r="P178" s="244">
        <f t="shared" si="404"/>
        <v>-0.8</v>
      </c>
      <c r="Q178" s="244">
        <f t="shared" si="404"/>
        <v>-0.8</v>
      </c>
      <c r="R178" s="244"/>
      <c r="S178" s="244">
        <f t="shared" si="404"/>
        <v>-0.9</v>
      </c>
      <c r="T178" s="244">
        <f t="shared" si="404"/>
        <v>-0.9</v>
      </c>
      <c r="U178" s="244">
        <f t="shared" si="404"/>
        <v>-0.9</v>
      </c>
      <c r="V178" s="244">
        <f t="shared" si="404"/>
        <v>-0.9</v>
      </c>
      <c r="W178" s="244"/>
      <c r="X178" s="244">
        <f t="shared" si="404"/>
        <v>-1.5</v>
      </c>
      <c r="Y178" s="244">
        <f t="shared" si="404"/>
        <v>-1.5</v>
      </c>
      <c r="Z178" s="244">
        <f t="shared" si="404"/>
        <v>-1.5</v>
      </c>
      <c r="AA178" s="244">
        <f t="shared" si="404"/>
        <v>-1.5</v>
      </c>
      <c r="AB178" s="174">
        <f t="shared" si="404"/>
        <v>-0.7</v>
      </c>
      <c r="AC178" s="222"/>
      <c r="AD178" s="76">
        <f>(AD179/1606)-1</f>
        <v>2.5844309097541318E-2</v>
      </c>
      <c r="AE178" s="76">
        <f>(AE179/1728)-1</f>
        <v>4.9841471693882644E-2</v>
      </c>
      <c r="AH178" s="28"/>
      <c r="AI178" s="28"/>
      <c r="AJ178" s="26"/>
      <c r="AL178" s="26"/>
      <c r="AN178" s="28"/>
    </row>
    <row r="179" spans="2:40" s="27" customFormat="1" x14ac:dyDescent="0.25">
      <c r="B179" s="10" t="s">
        <v>65</v>
      </c>
      <c r="C179" s="87">
        <v>749.67486599999995</v>
      </c>
      <c r="D179" s="88">
        <v>744.99920699999996</v>
      </c>
      <c r="E179" s="88">
        <v>757.28082300000005</v>
      </c>
      <c r="F179" s="88">
        <v>774.24926800000003</v>
      </c>
      <c r="G179" s="88">
        <v>961.95098900000005</v>
      </c>
      <c r="H179" s="89">
        <v>1047.3759769999999</v>
      </c>
      <c r="I179" s="73">
        <v>1050.0820309999999</v>
      </c>
      <c r="J179" s="74">
        <v>1009.747009</v>
      </c>
      <c r="K179" s="74">
        <v>1296.9830320000001</v>
      </c>
      <c r="L179" s="74">
        <v>1325.0670170000001</v>
      </c>
      <c r="M179" s="74"/>
      <c r="N179" s="74">
        <v>1341.1130370000001</v>
      </c>
      <c r="O179" s="74">
        <v>1438.8420410000001</v>
      </c>
      <c r="P179" s="40">
        <f>P175+P176</f>
        <v>1456</v>
      </c>
      <c r="Q179" s="40">
        <f>Q175+Q176</f>
        <v>1521.6451894148001</v>
      </c>
      <c r="R179" s="40"/>
      <c r="S179" s="40">
        <f>S175+S176</f>
        <v>1550.6451894148001</v>
      </c>
      <c r="T179" s="40">
        <f>T175+T176</f>
        <v>1579.6451894148001</v>
      </c>
      <c r="U179" s="40">
        <f>U175+U176</f>
        <v>1608.6451894148001</v>
      </c>
      <c r="V179" s="40">
        <f>V175+V176</f>
        <v>1647.5059604106514</v>
      </c>
      <c r="W179" s="40"/>
      <c r="X179" s="40">
        <f>X175+X176</f>
        <v>1699.5059604106514</v>
      </c>
      <c r="Y179" s="40">
        <f>Y175+Y176</f>
        <v>1751.5059604106514</v>
      </c>
      <c r="Z179" s="40">
        <f>Z175+Z176</f>
        <v>1803.5059604106514</v>
      </c>
      <c r="AA179" s="40">
        <f>AA175+AA176</f>
        <v>1814.126063087029</v>
      </c>
      <c r="AB179" s="30">
        <f>L179</f>
        <v>1325.0670170000001</v>
      </c>
      <c r="AC179" s="40">
        <f t="shared" ref="AC179:AH179" si="405">AC175+AC176</f>
        <v>1521.6451894148001</v>
      </c>
      <c r="AD179" s="40">
        <f t="shared" si="405"/>
        <v>1647.5059604106514</v>
      </c>
      <c r="AE179" s="40">
        <f t="shared" si="405"/>
        <v>1814.126063087029</v>
      </c>
      <c r="AF179" s="40">
        <f t="shared" si="405"/>
        <v>1884.6085192335886</v>
      </c>
      <c r="AG179" s="40">
        <f t="shared" si="405"/>
        <v>1967.0078452596019</v>
      </c>
      <c r="AH179" s="72">
        <f t="shared" si="405"/>
        <v>2052.6368436713747</v>
      </c>
      <c r="AI179" s="28"/>
      <c r="AJ179" s="326">
        <f>(AB179/D179)^(1/5)-1</f>
        <v>0.12206084244901971</v>
      </c>
      <c r="AK179" s="335">
        <f>(AH179/AC179)^(1/5)-1</f>
        <v>6.1694932656875201E-2</v>
      </c>
      <c r="AL179" s="26"/>
      <c r="AN179" s="28"/>
    </row>
    <row r="180" spans="2:40" s="27" customFormat="1" x14ac:dyDescent="0.25">
      <c r="B180" s="45" t="s">
        <v>153</v>
      </c>
      <c r="C180" s="87"/>
      <c r="D180" s="219">
        <f>(D179/C179)-1</f>
        <v>-6.2369157778326967E-3</v>
      </c>
      <c r="E180" s="219">
        <f t="shared" ref="E180:H180" si="406">(E179/D179)-1</f>
        <v>1.648540815158217E-2</v>
      </c>
      <c r="F180" s="219">
        <f t="shared" si="406"/>
        <v>2.2407070778286409E-2</v>
      </c>
      <c r="G180" s="219">
        <f t="shared" si="406"/>
        <v>0.24243060827795326</v>
      </c>
      <c r="H180" s="220">
        <f t="shared" si="406"/>
        <v>8.8803888115759122E-2</v>
      </c>
      <c r="I180" s="251"/>
      <c r="J180" s="252">
        <f>(J179/I179)-1</f>
        <v>-3.8411305792547035E-2</v>
      </c>
      <c r="K180" s="252">
        <f t="shared" ref="K180:AA180" si="407">(K179/J179)-1</f>
        <v>0.28446335610784668</v>
      </c>
      <c r="L180" s="252">
        <f t="shared" si="407"/>
        <v>2.1653317203921496E-2</v>
      </c>
      <c r="M180" s="252"/>
      <c r="N180" s="252">
        <f>(N179/L179)-1</f>
        <v>1.2109591284166665E-2</v>
      </c>
      <c r="O180" s="252">
        <f t="shared" si="407"/>
        <v>7.2871563621970781E-2</v>
      </c>
      <c r="P180" s="79">
        <f t="shared" si="407"/>
        <v>1.1924838523674985E-2</v>
      </c>
      <c r="Q180" s="79">
        <f t="shared" si="407"/>
        <v>4.5085981740934145E-2</v>
      </c>
      <c r="R180" s="79"/>
      <c r="S180" s="79">
        <f>(S179/Q179)-1</f>
        <v>1.9058319378089106E-2</v>
      </c>
      <c r="T180" s="79">
        <f t="shared" si="407"/>
        <v>1.870189273340106E-2</v>
      </c>
      <c r="U180" s="79">
        <f t="shared" si="407"/>
        <v>1.8358553043638537E-2</v>
      </c>
      <c r="V180" s="79">
        <f t="shared" si="407"/>
        <v>2.4157453272830365E-2</v>
      </c>
      <c r="W180" s="79"/>
      <c r="X180" s="79">
        <f>(X179/V179)-1</f>
        <v>3.1562860013592209E-2</v>
      </c>
      <c r="Y180" s="79">
        <f t="shared" si="407"/>
        <v>3.0597127171849037E-2</v>
      </c>
      <c r="Z180" s="79">
        <f t="shared" si="407"/>
        <v>2.9688737107014029E-2</v>
      </c>
      <c r="AA180" s="79">
        <f t="shared" si="407"/>
        <v>5.8885875120475717E-3</v>
      </c>
      <c r="AB180" s="80">
        <f>(AB179/H179)-1</f>
        <v>0.26513023603557428</v>
      </c>
      <c r="AC180" s="79">
        <f>(AC179/AB179)-1</f>
        <v>0.14835338129527975</v>
      </c>
      <c r="AD180" s="79">
        <f t="shared" ref="AD180:AH180" si="408">(AD179/AC179)-1</f>
        <v>8.2713612786601942E-2</v>
      </c>
      <c r="AE180" s="79">
        <f t="shared" si="408"/>
        <v>0.10113474954278567</v>
      </c>
      <c r="AF180" s="79">
        <f t="shared" si="408"/>
        <v>3.8852016726236949E-2</v>
      </c>
      <c r="AG180" s="79">
        <f t="shared" si="408"/>
        <v>4.3722250634589344E-2</v>
      </c>
      <c r="AH180" s="129">
        <f t="shared" si="408"/>
        <v>4.3532616617739883E-2</v>
      </c>
      <c r="AI180" s="28"/>
      <c r="AJ180" s="326"/>
      <c r="AL180" s="26"/>
      <c r="AN180" s="28"/>
    </row>
    <row r="181" spans="2:40" s="27" customFormat="1" x14ac:dyDescent="0.25">
      <c r="B181" s="6"/>
      <c r="C181" s="87"/>
      <c r="D181" s="88"/>
      <c r="E181" s="88"/>
      <c r="F181" s="88"/>
      <c r="G181" s="88"/>
      <c r="H181" s="89"/>
      <c r="I181" s="73"/>
      <c r="J181" s="74"/>
      <c r="K181" s="74"/>
      <c r="L181" s="74"/>
      <c r="M181" s="74"/>
      <c r="N181" s="74"/>
      <c r="O181" s="74"/>
      <c r="AB181" s="30"/>
      <c r="AH181" s="28"/>
      <c r="AI181" s="28"/>
      <c r="AJ181" s="26"/>
      <c r="AL181" s="26"/>
      <c r="AN181" s="28"/>
    </row>
    <row r="182" spans="2:40" s="27" customFormat="1" x14ac:dyDescent="0.25">
      <c r="B182" s="6" t="s">
        <v>66</v>
      </c>
      <c r="C182" s="87">
        <v>26.453529</v>
      </c>
      <c r="D182" s="88">
        <v>27.969259000000001</v>
      </c>
      <c r="E182" s="88">
        <v>27.639429</v>
      </c>
      <c r="F182" s="88">
        <v>28.831271999999998</v>
      </c>
      <c r="G182" s="88">
        <v>32.481997999999997</v>
      </c>
      <c r="H182" s="89">
        <v>32.056998999999998</v>
      </c>
      <c r="I182" s="73">
        <v>32.790000999999997</v>
      </c>
      <c r="J182" s="74">
        <v>32.688999000000003</v>
      </c>
      <c r="K182" s="74">
        <v>41.762000999999998</v>
      </c>
      <c r="L182" s="74">
        <v>43.033000999999999</v>
      </c>
      <c r="M182" s="74"/>
      <c r="N182" s="74">
        <v>43.009998000000003</v>
      </c>
      <c r="O182" s="74">
        <v>41.321998999999998</v>
      </c>
      <c r="P182" s="183">
        <f>(Q182+O182)/2</f>
        <v>43.253325024999995</v>
      </c>
      <c r="Q182" s="267">
        <f>AC182</f>
        <v>45.184651049999999</v>
      </c>
      <c r="R182" s="267"/>
      <c r="S182" s="183">
        <f>Q182+1</f>
        <v>46.184651049999999</v>
      </c>
      <c r="T182" s="183">
        <f t="shared" ref="T182:U182" si="409">S182+1</f>
        <v>47.184651049999999</v>
      </c>
      <c r="U182" s="183">
        <f t="shared" si="409"/>
        <v>48.184651049999999</v>
      </c>
      <c r="V182" s="267">
        <f>AD182</f>
        <v>47.443883602500001</v>
      </c>
      <c r="W182" s="267"/>
      <c r="X182" s="183">
        <f>V182+1</f>
        <v>48.443883602500001</v>
      </c>
      <c r="Y182" s="183">
        <f t="shared" ref="Y182:Z182" si="410">X182+1</f>
        <v>49.443883602500001</v>
      </c>
      <c r="Z182" s="183">
        <f t="shared" si="410"/>
        <v>50.443883602500001</v>
      </c>
      <c r="AA182" s="267">
        <f>AE182</f>
        <v>49.816077782625001</v>
      </c>
      <c r="AB182" s="221">
        <f t="shared" ref="AB182:AB188" si="411">L182</f>
        <v>43.033000999999999</v>
      </c>
      <c r="AC182" s="175">
        <f>AB182*(1+$AI$182)</f>
        <v>45.184651049999999</v>
      </c>
      <c r="AD182" s="175">
        <f t="shared" ref="AD182:AH182" si="412">AC182*(1+$AI$182)</f>
        <v>47.443883602500001</v>
      </c>
      <c r="AE182" s="175">
        <f t="shared" si="412"/>
        <v>49.816077782625001</v>
      </c>
      <c r="AF182" s="175">
        <f t="shared" si="412"/>
        <v>52.306881671756251</v>
      </c>
      <c r="AG182" s="175">
        <f t="shared" si="412"/>
        <v>54.922225755344066</v>
      </c>
      <c r="AH182" s="176">
        <f t="shared" si="412"/>
        <v>57.668337043111272</v>
      </c>
      <c r="AI182" s="293">
        <v>0.05</v>
      </c>
      <c r="AJ182" s="326">
        <f>(AB182/D182)^(1/5)-1</f>
        <v>8.9994068467569521E-2</v>
      </c>
      <c r="AK182" s="335">
        <f>(AH182/AC182)^(1/5)-1</f>
        <v>5.0000000000000044E-2</v>
      </c>
      <c r="AL182" s="26"/>
      <c r="AN182" s="28"/>
    </row>
    <row r="183" spans="2:40" s="27" customFormat="1" x14ac:dyDescent="0.25">
      <c r="B183" s="6" t="s">
        <v>67</v>
      </c>
      <c r="C183" s="87">
        <v>8.8391029999999997</v>
      </c>
      <c r="D183" s="88">
        <v>6.4392259999999997</v>
      </c>
      <c r="E183" s="88">
        <v>4.2564690000000001</v>
      </c>
      <c r="F183" s="88">
        <v>1.840743</v>
      </c>
      <c r="G183" s="88">
        <v>1.32</v>
      </c>
      <c r="H183" s="89">
        <v>1.006</v>
      </c>
      <c r="I183" s="73">
        <v>0.51800000000000002</v>
      </c>
      <c r="J183" s="74">
        <v>0.27</v>
      </c>
      <c r="K183" s="74">
        <v>0.80700000000000005</v>
      </c>
      <c r="L183" s="74">
        <v>0.28100000000000003</v>
      </c>
      <c r="M183" s="74"/>
      <c r="N183" s="74">
        <v>0.246</v>
      </c>
      <c r="O183" s="74">
        <v>0.246</v>
      </c>
      <c r="P183" s="181">
        <v>0</v>
      </c>
      <c r="Q183" s="181">
        <v>0</v>
      </c>
      <c r="R183" s="181"/>
      <c r="S183" s="181">
        <v>0</v>
      </c>
      <c r="T183" s="181">
        <v>0</v>
      </c>
      <c r="U183" s="181">
        <v>0</v>
      </c>
      <c r="V183" s="181">
        <v>0</v>
      </c>
      <c r="W183" s="181"/>
      <c r="X183" s="181">
        <v>0</v>
      </c>
      <c r="Y183" s="181">
        <v>0</v>
      </c>
      <c r="Z183" s="181">
        <v>0</v>
      </c>
      <c r="AA183" s="181">
        <v>0</v>
      </c>
      <c r="AB183" s="221">
        <f t="shared" si="411"/>
        <v>0.28100000000000003</v>
      </c>
      <c r="AC183" s="181">
        <v>0</v>
      </c>
      <c r="AD183" s="181">
        <v>0</v>
      </c>
      <c r="AE183" s="181">
        <v>0</v>
      </c>
      <c r="AF183" s="181">
        <v>0</v>
      </c>
      <c r="AG183" s="181">
        <v>0</v>
      </c>
      <c r="AH183" s="182">
        <v>0</v>
      </c>
      <c r="AI183" s="28"/>
      <c r="AJ183" s="26"/>
      <c r="AL183" s="26"/>
      <c r="AN183" s="28"/>
    </row>
    <row r="184" spans="2:40" s="27" customFormat="1" x14ac:dyDescent="0.25">
      <c r="B184" s="6" t="s">
        <v>68</v>
      </c>
      <c r="C184" s="87">
        <v>0</v>
      </c>
      <c r="D184" s="88">
        <v>0</v>
      </c>
      <c r="E184" s="88">
        <v>0</v>
      </c>
      <c r="F184" s="88">
        <v>0.20224400000000001</v>
      </c>
      <c r="G184" s="88">
        <v>16.476998999999999</v>
      </c>
      <c r="H184" s="89">
        <v>15.992000000000001</v>
      </c>
      <c r="I184" s="73">
        <v>15.992000000000001</v>
      </c>
      <c r="J184" s="74">
        <v>15.992000000000001</v>
      </c>
      <c r="K184" s="74">
        <v>52.706001000000001</v>
      </c>
      <c r="L184" s="74">
        <v>52.905997999999997</v>
      </c>
      <c r="M184" s="74"/>
      <c r="N184" s="74">
        <v>52.902000000000001</v>
      </c>
      <c r="O184" s="74">
        <v>54.077998999999998</v>
      </c>
      <c r="P184" s="183">
        <f>O184</f>
        <v>54.077998999999998</v>
      </c>
      <c r="Q184" s="183">
        <f t="shared" ref="Q184:AA184" si="413">P184</f>
        <v>54.077998999999998</v>
      </c>
      <c r="R184" s="183"/>
      <c r="S184" s="183">
        <f>Q184</f>
        <v>54.077998999999998</v>
      </c>
      <c r="T184" s="183">
        <f t="shared" si="413"/>
        <v>54.077998999999998</v>
      </c>
      <c r="U184" s="183">
        <f t="shared" si="413"/>
        <v>54.077998999999998</v>
      </c>
      <c r="V184" s="183">
        <f t="shared" si="413"/>
        <v>54.077998999999998</v>
      </c>
      <c r="W184" s="183"/>
      <c r="X184" s="183">
        <f>V184</f>
        <v>54.077998999999998</v>
      </c>
      <c r="Y184" s="183">
        <f t="shared" si="413"/>
        <v>54.077998999999998</v>
      </c>
      <c r="Z184" s="183">
        <f t="shared" si="413"/>
        <v>54.077998999999998</v>
      </c>
      <c r="AA184" s="183">
        <f t="shared" si="413"/>
        <v>54.077998999999998</v>
      </c>
      <c r="AB184" s="221">
        <f t="shared" si="411"/>
        <v>52.905997999999997</v>
      </c>
      <c r="AC184" s="183">
        <v>54</v>
      </c>
      <c r="AD184" s="183">
        <f t="shared" ref="AD184:AH184" si="414">AC184</f>
        <v>54</v>
      </c>
      <c r="AE184" s="183">
        <f t="shared" si="414"/>
        <v>54</v>
      </c>
      <c r="AF184" s="183">
        <f t="shared" si="414"/>
        <v>54</v>
      </c>
      <c r="AG184" s="183">
        <f t="shared" si="414"/>
        <v>54</v>
      </c>
      <c r="AH184" s="184">
        <f t="shared" si="414"/>
        <v>54</v>
      </c>
      <c r="AI184" s="28"/>
      <c r="AJ184" s="26"/>
      <c r="AL184" s="26"/>
      <c r="AN184" s="28"/>
    </row>
    <row r="185" spans="2:40" s="27" customFormat="1" x14ac:dyDescent="0.25">
      <c r="B185" s="6" t="s">
        <v>69</v>
      </c>
      <c r="C185" s="87">
        <v>0</v>
      </c>
      <c r="D185" s="88">
        <v>0</v>
      </c>
      <c r="E185" s="88">
        <v>0</v>
      </c>
      <c r="F185" s="88">
        <v>0.55657299999999998</v>
      </c>
      <c r="G185" s="88">
        <v>3.056</v>
      </c>
      <c r="H185" s="89">
        <v>2.2709999999999999</v>
      </c>
      <c r="I185" s="73">
        <v>2.0960000000000001</v>
      </c>
      <c r="J185" s="74">
        <v>1.929</v>
      </c>
      <c r="K185" s="74">
        <v>8.2530000000000001</v>
      </c>
      <c r="L185" s="74">
        <v>7.3890000000000002</v>
      </c>
      <c r="M185" s="74"/>
      <c r="N185" s="74">
        <v>6.9240000000000004</v>
      </c>
      <c r="O185" s="74">
        <v>6.4779999999999998</v>
      </c>
      <c r="P185" s="181">
        <v>7</v>
      </c>
      <c r="Q185" s="181">
        <v>7</v>
      </c>
      <c r="R185" s="181"/>
      <c r="S185" s="181">
        <v>7</v>
      </c>
      <c r="T185" s="181">
        <v>7</v>
      </c>
      <c r="U185" s="181">
        <v>7</v>
      </c>
      <c r="V185" s="181">
        <v>7</v>
      </c>
      <c r="W185" s="181"/>
      <c r="X185" s="181">
        <v>7</v>
      </c>
      <c r="Y185" s="181">
        <v>7</v>
      </c>
      <c r="Z185" s="181">
        <v>7</v>
      </c>
      <c r="AA185" s="181">
        <v>7</v>
      </c>
      <c r="AB185" s="221">
        <f t="shared" si="411"/>
        <v>7.3890000000000002</v>
      </c>
      <c r="AC185" s="179">
        <f>AB185+$AI$185</f>
        <v>7.3890000000000002</v>
      </c>
      <c r="AD185" s="179">
        <f t="shared" ref="AD185:AH185" si="415">AC185+$AI$185</f>
        <v>7.3890000000000002</v>
      </c>
      <c r="AE185" s="179">
        <f t="shared" si="415"/>
        <v>7.3890000000000002</v>
      </c>
      <c r="AF185" s="179">
        <f t="shared" si="415"/>
        <v>7.3890000000000002</v>
      </c>
      <c r="AG185" s="179">
        <f t="shared" si="415"/>
        <v>7.3890000000000002</v>
      </c>
      <c r="AH185" s="180">
        <f t="shared" si="415"/>
        <v>7.3890000000000002</v>
      </c>
      <c r="AI185" s="294">
        <v>0</v>
      </c>
      <c r="AJ185" s="26"/>
      <c r="AL185" s="26"/>
      <c r="AN185" s="28"/>
    </row>
    <row r="186" spans="2:40" s="27" customFormat="1" x14ac:dyDescent="0.25">
      <c r="B186" s="6" t="s">
        <v>70</v>
      </c>
      <c r="C186" s="87">
        <v>0</v>
      </c>
      <c r="D186" s="88">
        <v>0</v>
      </c>
      <c r="E186" s="88">
        <v>0</v>
      </c>
      <c r="F186" s="88">
        <v>0</v>
      </c>
      <c r="G186" s="88">
        <v>21.629000000000001</v>
      </c>
      <c r="H186" s="89">
        <v>31.547001000000002</v>
      </c>
      <c r="I186" s="73">
        <v>31.580998999999998</v>
      </c>
      <c r="J186" s="74">
        <v>31.805</v>
      </c>
      <c r="K186" s="74">
        <v>54.821998999999998</v>
      </c>
      <c r="L186" s="74">
        <v>55.158999999999999</v>
      </c>
      <c r="M186" s="74"/>
      <c r="N186" s="74">
        <v>55.487999000000002</v>
      </c>
      <c r="O186" s="74">
        <v>54.845001000000003</v>
      </c>
      <c r="P186" s="183">
        <f>AVERAGE(O186,Q186)</f>
        <v>57.759950500000002</v>
      </c>
      <c r="Q186" s="267">
        <f>AC186</f>
        <v>60.674900000000001</v>
      </c>
      <c r="R186" s="267"/>
      <c r="S186" s="183">
        <f>AVERAGE(Q186,V186)</f>
        <v>63.708645000000004</v>
      </c>
      <c r="T186" s="183">
        <f>S186</f>
        <v>63.708645000000004</v>
      </c>
      <c r="U186" s="183">
        <f>T186</f>
        <v>63.708645000000004</v>
      </c>
      <c r="V186" s="267">
        <f>AD186</f>
        <v>66.74239</v>
      </c>
      <c r="W186" s="267"/>
      <c r="X186" s="183">
        <f>AVERAGE(V186,AA186)</f>
        <v>70.0795095</v>
      </c>
      <c r="Y186" s="183">
        <f>X186</f>
        <v>70.0795095</v>
      </c>
      <c r="Z186" s="183">
        <f>Y186</f>
        <v>70.0795095</v>
      </c>
      <c r="AA186" s="267">
        <f>AE186</f>
        <v>73.416629</v>
      </c>
      <c r="AB186" s="221">
        <f t="shared" si="411"/>
        <v>55.158999999999999</v>
      </c>
      <c r="AC186" s="179">
        <f>AB186*(1+$AI$186)</f>
        <v>60.674900000000001</v>
      </c>
      <c r="AD186" s="179">
        <f t="shared" ref="AD186:AH186" si="416">AC186*(1+$AI$186)</f>
        <v>66.74239</v>
      </c>
      <c r="AE186" s="179">
        <f t="shared" si="416"/>
        <v>73.416629</v>
      </c>
      <c r="AF186" s="179">
        <f t="shared" si="416"/>
        <v>80.758291900000003</v>
      </c>
      <c r="AG186" s="179">
        <f t="shared" si="416"/>
        <v>88.834121090000011</v>
      </c>
      <c r="AH186" s="180">
        <f t="shared" si="416"/>
        <v>97.717533199000016</v>
      </c>
      <c r="AI186" s="293">
        <v>0.1</v>
      </c>
      <c r="AJ186" s="326"/>
      <c r="AK186" s="335">
        <f>(AH186/AC186)^(1/5)-1</f>
        <v>0.10000000000000009</v>
      </c>
      <c r="AL186" s="26"/>
      <c r="AN186" s="28"/>
    </row>
    <row r="187" spans="2:40" x14ac:dyDescent="0.25">
      <c r="B187" s="6" t="s">
        <v>71</v>
      </c>
      <c r="C187" s="87">
        <v>0</v>
      </c>
      <c r="D187" s="88">
        <v>0</v>
      </c>
      <c r="E187" s="88">
        <v>0</v>
      </c>
      <c r="F187" s="88">
        <v>0</v>
      </c>
      <c r="G187" s="88">
        <v>1.5049999999999999</v>
      </c>
      <c r="H187" s="89">
        <v>0.13400000000000001</v>
      </c>
      <c r="I187" s="73">
        <v>0</v>
      </c>
      <c r="J187" s="74">
        <v>0</v>
      </c>
      <c r="K187" s="74">
        <v>0</v>
      </c>
      <c r="L187" s="74">
        <v>3.6440000000000001</v>
      </c>
      <c r="M187" s="74"/>
      <c r="N187" s="74">
        <v>14.545999999999999</v>
      </c>
      <c r="O187" s="74">
        <v>21.166</v>
      </c>
      <c r="P187" s="183">
        <f>O187</f>
        <v>21.166</v>
      </c>
      <c r="Q187" s="183">
        <f>P187</f>
        <v>21.166</v>
      </c>
      <c r="R187" s="183"/>
      <c r="S187" s="181">
        <v>0</v>
      </c>
      <c r="T187" s="181">
        <v>0</v>
      </c>
      <c r="U187" s="181">
        <v>0</v>
      </c>
      <c r="V187" s="181">
        <v>0</v>
      </c>
      <c r="W187" s="181"/>
      <c r="X187" s="181">
        <v>0</v>
      </c>
      <c r="Y187" s="181">
        <v>0</v>
      </c>
      <c r="Z187" s="181">
        <v>0</v>
      </c>
      <c r="AA187" s="181">
        <v>0</v>
      </c>
      <c r="AB187" s="221">
        <f t="shared" si="411"/>
        <v>3.6440000000000001</v>
      </c>
      <c r="AC187" s="177">
        <v>21</v>
      </c>
      <c r="AD187" s="177">
        <v>0</v>
      </c>
      <c r="AE187" s="177">
        <v>0</v>
      </c>
      <c r="AF187" s="177">
        <v>0</v>
      </c>
      <c r="AG187" s="177">
        <v>0</v>
      </c>
      <c r="AH187" s="178">
        <v>0</v>
      </c>
      <c r="AI187" s="28"/>
      <c r="AJ187" s="26"/>
      <c r="AL187" s="26"/>
      <c r="AN187" s="28"/>
    </row>
    <row r="188" spans="2:40" x14ac:dyDescent="0.25">
      <c r="B188" s="6" t="s">
        <v>72</v>
      </c>
      <c r="C188" s="87">
        <v>29.313894000000001</v>
      </c>
      <c r="D188" s="88">
        <v>29.118555000000001</v>
      </c>
      <c r="E188" s="88">
        <v>28.431149999999999</v>
      </c>
      <c r="F188" s="88">
        <v>29.998856</v>
      </c>
      <c r="G188" s="88">
        <v>11.105</v>
      </c>
      <c r="H188" s="89">
        <v>13.589</v>
      </c>
      <c r="I188" s="73">
        <v>19.538</v>
      </c>
      <c r="J188" s="74">
        <v>13.493</v>
      </c>
      <c r="K188" s="74">
        <v>18.952000000000002</v>
      </c>
      <c r="L188" s="74">
        <v>16.677999</v>
      </c>
      <c r="M188" s="74"/>
      <c r="N188" s="74">
        <v>17.785999</v>
      </c>
      <c r="O188" s="74">
        <v>22.188998999999999</v>
      </c>
      <c r="P188" s="181">
        <v>25</v>
      </c>
      <c r="Q188" s="181">
        <v>25</v>
      </c>
      <c r="R188" s="181"/>
      <c r="S188" s="181">
        <v>25</v>
      </c>
      <c r="T188" s="181">
        <v>25</v>
      </c>
      <c r="U188" s="181">
        <v>25</v>
      </c>
      <c r="V188" s="181">
        <v>25</v>
      </c>
      <c r="W188" s="181"/>
      <c r="X188" s="181">
        <v>25</v>
      </c>
      <c r="Y188" s="181">
        <v>25</v>
      </c>
      <c r="Z188" s="181">
        <v>25</v>
      </c>
      <c r="AA188" s="181">
        <v>25</v>
      </c>
      <c r="AB188" s="221">
        <f t="shared" si="411"/>
        <v>16.677999</v>
      </c>
      <c r="AC188" s="181">
        <v>25</v>
      </c>
      <c r="AD188" s="181">
        <v>25</v>
      </c>
      <c r="AE188" s="181">
        <v>25</v>
      </c>
      <c r="AF188" s="181">
        <v>25</v>
      </c>
      <c r="AG188" s="181">
        <v>25</v>
      </c>
      <c r="AH188" s="182">
        <v>25</v>
      </c>
      <c r="AI188" s="28"/>
      <c r="AJ188" s="26"/>
      <c r="AL188" s="26"/>
      <c r="AN188" s="28"/>
    </row>
    <row r="189" spans="2:40" x14ac:dyDescent="0.25">
      <c r="B189" s="6"/>
      <c r="C189" s="53"/>
      <c r="D189" s="54"/>
      <c r="E189" s="54"/>
      <c r="F189" s="54"/>
      <c r="G189" s="54"/>
      <c r="H189" s="55"/>
      <c r="I189" s="26"/>
      <c r="AB189" s="30"/>
      <c r="AH189" s="28"/>
      <c r="AI189" s="28"/>
      <c r="AJ189" s="26"/>
      <c r="AL189" s="26"/>
      <c r="AN189" s="28"/>
    </row>
    <row r="190" spans="2:40" x14ac:dyDescent="0.25">
      <c r="B190" s="8" t="s">
        <v>86</v>
      </c>
      <c r="C190" s="106">
        <v>1174.149414</v>
      </c>
      <c r="D190" s="92">
        <v>1210.44165</v>
      </c>
      <c r="E190" s="92">
        <v>1232.755371</v>
      </c>
      <c r="F190" s="92">
        <v>1251.8785399999999</v>
      </c>
      <c r="G190" s="92">
        <v>1515.3129879999999</v>
      </c>
      <c r="H190" s="93">
        <v>1763.973999</v>
      </c>
      <c r="I190" s="35">
        <v>1799.0459450000001</v>
      </c>
      <c r="J190" s="16">
        <v>1755.5179839999996</v>
      </c>
      <c r="K190" s="16">
        <v>2512.5809479999998</v>
      </c>
      <c r="L190" s="16">
        <v>2691.7149760000002</v>
      </c>
      <c r="M190" s="16"/>
      <c r="N190" s="16">
        <v>2686.7880099999998</v>
      </c>
      <c r="O190" s="16">
        <v>2728.7019889999997</v>
      </c>
      <c r="P190" s="16">
        <f>P191+P202</f>
        <v>2787.257274525</v>
      </c>
      <c r="Q190" s="16">
        <f>Q191+Q202</f>
        <v>2862.7487394648006</v>
      </c>
      <c r="R190" s="16"/>
      <c r="S190" s="16">
        <f>S191+S202</f>
        <v>2861.6164844648001</v>
      </c>
      <c r="T190" s="16">
        <f>T191+T202</f>
        <v>2891.6164844648001</v>
      </c>
      <c r="U190" s="16">
        <f>U191+U202</f>
        <v>2921.6164844648001</v>
      </c>
      <c r="V190" s="16">
        <f>V191+V202</f>
        <v>2962.7702330131515</v>
      </c>
      <c r="W190" s="16"/>
      <c r="X190" s="16">
        <f t="shared" ref="X190:AH190" si="417">X191+X202</f>
        <v>3019.1073525131515</v>
      </c>
      <c r="Y190" s="16">
        <f t="shared" si="417"/>
        <v>3072.1073525131515</v>
      </c>
      <c r="Z190" s="16">
        <f t="shared" si="417"/>
        <v>3125.1073525131515</v>
      </c>
      <c r="AA190" s="16">
        <f t="shared" si="417"/>
        <v>3138.4367688696543</v>
      </c>
      <c r="AB190" s="35">
        <f t="shared" si="417"/>
        <v>2691.7149760000002</v>
      </c>
      <c r="AC190" s="16">
        <f t="shared" si="417"/>
        <v>2862.7487394648006</v>
      </c>
      <c r="AD190" s="16">
        <f t="shared" si="417"/>
        <v>2962.7702330131515</v>
      </c>
      <c r="AE190" s="16">
        <f t="shared" si="417"/>
        <v>3138.4367688696543</v>
      </c>
      <c r="AF190" s="16">
        <f t="shared" si="417"/>
        <v>3251.8012129726076</v>
      </c>
      <c r="AG190" s="16">
        <f t="shared" si="417"/>
        <v>3435.1074217546843</v>
      </c>
      <c r="AH190" s="235">
        <f t="shared" si="417"/>
        <v>3565.4513009561565</v>
      </c>
      <c r="AI190" s="28"/>
      <c r="AJ190" s="26"/>
      <c r="AL190" s="26"/>
      <c r="AN190" s="28"/>
    </row>
    <row r="191" spans="2:40" x14ac:dyDescent="0.25">
      <c r="B191" s="12" t="s">
        <v>73</v>
      </c>
      <c r="C191" s="108">
        <v>1078.692749</v>
      </c>
      <c r="D191" s="90">
        <v>1117.0539550000001</v>
      </c>
      <c r="E191" s="90">
        <v>1142.4326169999999</v>
      </c>
      <c r="F191" s="90">
        <v>1156.1861570000001</v>
      </c>
      <c r="G191" s="90">
        <v>1384.8070070000001</v>
      </c>
      <c r="H191" s="91">
        <v>1619.485962</v>
      </c>
      <c r="I191" s="31">
        <v>1655.558943</v>
      </c>
      <c r="J191" s="81">
        <v>1608.6239889999997</v>
      </c>
      <c r="K191" s="81">
        <v>2295.4509509999998</v>
      </c>
      <c r="L191" s="81">
        <v>2474.0079690000002</v>
      </c>
      <c r="M191" s="81"/>
      <c r="N191" s="81">
        <v>2436.5110119999999</v>
      </c>
      <c r="O191" s="81">
        <v>2494.1069859999998</v>
      </c>
      <c r="P191" s="81">
        <f>P192+P196+P197+P198+P199+P200</f>
        <v>2505.1685409299994</v>
      </c>
      <c r="Q191" s="81">
        <f>Q192+Q196+Q197+Q198+Q199+Q200</f>
        <v>2536.8843836346491</v>
      </c>
      <c r="R191" s="81"/>
      <c r="S191" s="81">
        <f>S192+S196+S197+S198+S199+S200</f>
        <v>2544.6588055528223</v>
      </c>
      <c r="T191" s="81">
        <f>T192+T196+T197+T198+T199+T200</f>
        <v>2562.4087465944685</v>
      </c>
      <c r="U191" s="81">
        <f>U192+U196+U197+U198+U199+U200</f>
        <v>2584.2958938205038</v>
      </c>
      <c r="V191" s="81">
        <f>V192+V196+V197+V198+V199+V200</f>
        <v>2613.3608841282903</v>
      </c>
      <c r="W191" s="81"/>
      <c r="X191" s="81">
        <f t="shared" ref="X191:AH191" si="418">X192+X196+X197+X198+X199+X200</f>
        <v>2661.7943614624496</v>
      </c>
      <c r="Y191" s="81">
        <f t="shared" si="418"/>
        <v>2704.5874505227089</v>
      </c>
      <c r="Z191" s="81">
        <f t="shared" si="418"/>
        <v>2746.9777770364444</v>
      </c>
      <c r="AA191" s="81">
        <f t="shared" si="418"/>
        <v>2759.6301148812495</v>
      </c>
      <c r="AB191" s="31">
        <f t="shared" si="418"/>
        <v>2474.0079690000002</v>
      </c>
      <c r="AC191" s="81">
        <f t="shared" si="418"/>
        <v>2536.8843836346491</v>
      </c>
      <c r="AD191" s="81">
        <f t="shared" si="418"/>
        <v>2613.3608841282903</v>
      </c>
      <c r="AE191" s="81">
        <f t="shared" si="418"/>
        <v>2759.6301148812495</v>
      </c>
      <c r="AF191" s="81">
        <f t="shared" si="418"/>
        <v>2875.9279217741246</v>
      </c>
      <c r="AG191" s="81">
        <f t="shared" si="418"/>
        <v>3017.224317862831</v>
      </c>
      <c r="AH191" s="82">
        <f t="shared" si="418"/>
        <v>3165.3355337559728</v>
      </c>
      <c r="AI191" s="28"/>
      <c r="AJ191" s="26"/>
      <c r="AL191" s="26"/>
      <c r="AN191" s="28"/>
    </row>
    <row r="192" spans="2:40" x14ac:dyDescent="0.25">
      <c r="B192" s="10" t="s">
        <v>76</v>
      </c>
      <c r="C192" s="107">
        <v>1011.55426</v>
      </c>
      <c r="D192" s="94">
        <v>1044.356567</v>
      </c>
      <c r="E192" s="94">
        <v>1067.9853519999999</v>
      </c>
      <c r="F192" s="94">
        <v>1085.1254879999999</v>
      </c>
      <c r="G192" s="94">
        <v>1293.741943</v>
      </c>
      <c r="H192" s="95">
        <v>1445.0269780000001</v>
      </c>
      <c r="I192" s="73">
        <v>1525.8839420000002</v>
      </c>
      <c r="J192" s="74">
        <v>1542.2139889999999</v>
      </c>
      <c r="K192" s="74">
        <v>2195.1219489999999</v>
      </c>
      <c r="L192" s="74">
        <v>2374.6079709999999</v>
      </c>
      <c r="M192" s="74"/>
      <c r="N192" s="74">
        <v>2350.7860099999998</v>
      </c>
      <c r="O192" s="74">
        <v>2331.5109859999998</v>
      </c>
      <c r="P192" s="40">
        <f>O192*(1+P193)</f>
        <v>2343.1685409299994</v>
      </c>
      <c r="Q192" s="40">
        <f t="shared" ref="Q192:AA192" si="419">P192*(1+Q193)</f>
        <v>2354.8843836346491</v>
      </c>
      <c r="R192" s="40"/>
      <c r="S192" s="40">
        <f>Q192*(1+S193)</f>
        <v>2366.6588055528223</v>
      </c>
      <c r="T192" s="40">
        <f t="shared" si="419"/>
        <v>2384.4087465944685</v>
      </c>
      <c r="U192" s="40">
        <f t="shared" si="419"/>
        <v>2406.2958938205038</v>
      </c>
      <c r="V192" s="40">
        <f t="shared" si="419"/>
        <v>2435.3608841282903</v>
      </c>
      <c r="W192" s="40"/>
      <c r="X192" s="40">
        <f>V192*(1+X193)</f>
        <v>2473.7943614624496</v>
      </c>
      <c r="Y192" s="40">
        <f t="shared" si="419"/>
        <v>2516.5874505227089</v>
      </c>
      <c r="Z192" s="40">
        <f t="shared" si="419"/>
        <v>2558.9777770364444</v>
      </c>
      <c r="AA192" s="40">
        <f t="shared" si="419"/>
        <v>2571.6301148812495</v>
      </c>
      <c r="AB192" s="30">
        <f>L192</f>
        <v>2374.6079709999999</v>
      </c>
      <c r="AC192" s="40">
        <f>Q192</f>
        <v>2354.8843836346491</v>
      </c>
      <c r="AD192" s="40">
        <f>V192</f>
        <v>2435.3608841282903</v>
      </c>
      <c r="AE192" s="40">
        <f>AA192</f>
        <v>2571.6301148812495</v>
      </c>
      <c r="AF192" s="40">
        <f>AE192*(1+AF193)</f>
        <v>2725.9279217741246</v>
      </c>
      <c r="AG192" s="40">
        <f t="shared" ref="AG192:AH192" si="420">AF192*(1+AG193)</f>
        <v>2862.224317862831</v>
      </c>
      <c r="AH192" s="72">
        <f t="shared" si="420"/>
        <v>3005.3355337559728</v>
      </c>
      <c r="AI192" s="28"/>
      <c r="AJ192" s="326">
        <f>(AB192/D192)^(1/5)-1</f>
        <v>0.17855165988502897</v>
      </c>
      <c r="AK192" s="335">
        <f>(AH192/AC192)^(1/5)-1</f>
        <v>4.9988821156662366E-2</v>
      </c>
      <c r="AL192" s="26"/>
      <c r="AN192" s="28"/>
    </row>
    <row r="193" spans="2:40" x14ac:dyDescent="0.25">
      <c r="B193" s="232">
        <f>CORREL(C179:O179,C192:O192)</f>
        <v>0.98094765027294495</v>
      </c>
      <c r="C193" s="107"/>
      <c r="D193" s="278">
        <f>(D192/C192)-1</f>
        <v>3.2427629734859797E-2</v>
      </c>
      <c r="E193" s="278">
        <f t="shared" ref="E193" si="421">(E192/D192)-1</f>
        <v>2.2625208426539034E-2</v>
      </c>
      <c r="F193" s="278">
        <f t="shared" ref="F193" si="422">(F192/E192)-1</f>
        <v>1.6049036597648003E-2</v>
      </c>
      <c r="G193" s="278">
        <f t="shared" ref="G193" si="423">(G192/F192)-1</f>
        <v>0.19225099521392885</v>
      </c>
      <c r="H193" s="279">
        <f t="shared" ref="H193" si="424">(H192/G192)-1</f>
        <v>0.11693602098822886</v>
      </c>
      <c r="I193" s="280"/>
      <c r="J193" s="252">
        <f>(J192/I192)-1</f>
        <v>1.0702024282787548E-2</v>
      </c>
      <c r="K193" s="252">
        <f t="shared" ref="K193" si="425">(K192/J192)-1</f>
        <v>0.42335756558877913</v>
      </c>
      <c r="L193" s="252">
        <f t="shared" ref="L193" si="426">(L192/K192)-1</f>
        <v>8.1765854549341155E-2</v>
      </c>
      <c r="M193" s="252"/>
      <c r="N193" s="252">
        <f>(N192/L192)-1</f>
        <v>-1.0031955291537331E-2</v>
      </c>
      <c r="O193" s="252">
        <f t="shared" ref="O193" si="427">(O192/N192)-1</f>
        <v>-8.1993954013704906E-3</v>
      </c>
      <c r="P193" s="233">
        <v>5.0000000000000001E-3</v>
      </c>
      <c r="Q193" s="233">
        <v>5.0000000000000001E-3</v>
      </c>
      <c r="R193" s="233"/>
      <c r="S193" s="233">
        <v>5.0000000000000001E-3</v>
      </c>
      <c r="T193" s="233">
        <v>7.4999999999999997E-3</v>
      </c>
      <c r="U193" s="281">
        <f>U180/2</f>
        <v>9.1792765218192685E-3</v>
      </c>
      <c r="V193" s="281">
        <f t="shared" ref="V193:X193" si="428">V180/2</f>
        <v>1.2078726636415182E-2</v>
      </c>
      <c r="W193" s="281"/>
      <c r="X193" s="281">
        <f t="shared" si="428"/>
        <v>1.5781430006796104E-2</v>
      </c>
      <c r="Y193" s="281">
        <f>(Y180/2)+0.002</f>
        <v>1.729856358592452E-2</v>
      </c>
      <c r="Z193" s="281">
        <f t="shared" ref="Z193:AA193" si="429">(Z180/2)+0.002</f>
        <v>1.6844368553507016E-2</v>
      </c>
      <c r="AA193" s="281">
        <f t="shared" si="429"/>
        <v>4.9442937560237859E-3</v>
      </c>
      <c r="AB193" s="283">
        <f>AB180</f>
        <v>0.26513023603557428</v>
      </c>
      <c r="AC193" s="233">
        <f>(AC192/AB192)-1</f>
        <v>-8.3060393994401904E-3</v>
      </c>
      <c r="AD193" s="233">
        <f t="shared" ref="AD193:AE193" si="430">(AD192/AC192)-1</f>
        <v>3.4174289427080007E-2</v>
      </c>
      <c r="AE193" s="233">
        <f t="shared" si="430"/>
        <v>5.5954430261671462E-2</v>
      </c>
      <c r="AF193" s="281">
        <v>0.06</v>
      </c>
      <c r="AG193" s="281">
        <v>0.05</v>
      </c>
      <c r="AH193" s="282">
        <v>0.05</v>
      </c>
      <c r="AI193" s="28"/>
      <c r="AJ193" s="26"/>
      <c r="AL193" s="26"/>
      <c r="AN193" s="28"/>
    </row>
    <row r="194" spans="2:40" x14ac:dyDescent="0.25">
      <c r="B194" s="11" t="s">
        <v>74</v>
      </c>
      <c r="C194" s="107">
        <v>133.88627600000001</v>
      </c>
      <c r="D194" s="94">
        <v>159.05864</v>
      </c>
      <c r="E194" s="94">
        <v>190.927933</v>
      </c>
      <c r="F194" s="94">
        <v>192.847397</v>
      </c>
      <c r="G194" s="94">
        <v>232.634995</v>
      </c>
      <c r="H194" s="95">
        <v>326.99899299999998</v>
      </c>
      <c r="I194" s="73">
        <v>384.82998700000002</v>
      </c>
      <c r="J194" s="74">
        <v>393.67700200000002</v>
      </c>
      <c r="K194" s="74">
        <v>539.25097700000003</v>
      </c>
      <c r="L194" s="74">
        <v>552.57598900000005</v>
      </c>
      <c r="M194" s="74"/>
      <c r="N194" s="74">
        <v>557.98498500000005</v>
      </c>
      <c r="O194" s="74">
        <v>572.978027</v>
      </c>
      <c r="P194" s="268">
        <f>O194/O192</f>
        <v>0.24575394687846436</v>
      </c>
      <c r="Q194" s="164" t="s">
        <v>195</v>
      </c>
      <c r="R194" s="164"/>
      <c r="S194" s="164"/>
      <c r="T194" s="164"/>
      <c r="U194" s="164"/>
      <c r="V194" s="164"/>
      <c r="W194" s="164"/>
      <c r="X194" s="164"/>
      <c r="Y194" s="164"/>
      <c r="Z194" s="164"/>
      <c r="AA194" s="164"/>
      <c r="AB194" s="30">
        <f t="shared" ref="AB194:AB200" si="431">L194</f>
        <v>552.57598900000005</v>
      </c>
      <c r="AC194" s="164"/>
      <c r="AD194" s="164"/>
      <c r="AE194" s="164"/>
      <c r="AF194" s="164"/>
      <c r="AG194" s="164"/>
      <c r="AH194" s="165"/>
      <c r="AI194" s="28"/>
      <c r="AJ194" s="26"/>
      <c r="AL194" s="26"/>
      <c r="AN194" s="28"/>
    </row>
    <row r="195" spans="2:40" x14ac:dyDescent="0.25">
      <c r="B195" s="11" t="s">
        <v>75</v>
      </c>
      <c r="C195" s="107">
        <v>877.66796899999997</v>
      </c>
      <c r="D195" s="94">
        <v>885.29791299999999</v>
      </c>
      <c r="E195" s="94">
        <v>877.05749500000002</v>
      </c>
      <c r="F195" s="94">
        <v>892.27807600000006</v>
      </c>
      <c r="G195" s="94">
        <v>1061.1070560000001</v>
      </c>
      <c r="H195" s="95">
        <v>1118.0279539999999</v>
      </c>
      <c r="I195" s="73">
        <v>1141.0539550000001</v>
      </c>
      <c r="J195" s="74">
        <v>1148.536987</v>
      </c>
      <c r="K195" s="74">
        <v>1655.8709719999999</v>
      </c>
      <c r="L195" s="74">
        <v>1822.031982</v>
      </c>
      <c r="M195" s="74"/>
      <c r="N195" s="74">
        <v>1792.801025</v>
      </c>
      <c r="O195" s="74">
        <v>1758.5329589999999</v>
      </c>
      <c r="P195" s="268">
        <f>O195/O192</f>
        <v>0.7542460531215357</v>
      </c>
      <c r="Q195" s="164" t="s">
        <v>195</v>
      </c>
      <c r="R195" s="164"/>
      <c r="S195" s="164"/>
      <c r="T195" s="164"/>
      <c r="U195" s="164"/>
      <c r="V195" s="164"/>
      <c r="W195" s="164"/>
      <c r="X195" s="164"/>
      <c r="Y195" s="164"/>
      <c r="Z195" s="164"/>
      <c r="AA195" s="164"/>
      <c r="AB195" s="30">
        <f t="shared" si="431"/>
        <v>1822.031982</v>
      </c>
      <c r="AC195" s="164"/>
      <c r="AD195" s="164"/>
      <c r="AE195" s="164"/>
      <c r="AF195" s="164"/>
      <c r="AG195" s="164"/>
      <c r="AH195" s="165"/>
      <c r="AI195" s="28"/>
      <c r="AJ195" s="26"/>
      <c r="AL195" s="26"/>
      <c r="AN195" s="28"/>
    </row>
    <row r="196" spans="2:40" x14ac:dyDescent="0.25">
      <c r="B196" s="10" t="s">
        <v>94</v>
      </c>
      <c r="C196" s="107">
        <v>0</v>
      </c>
      <c r="D196" s="94">
        <v>0</v>
      </c>
      <c r="E196" s="94">
        <v>0</v>
      </c>
      <c r="F196" s="94">
        <v>0</v>
      </c>
      <c r="G196" s="94">
        <v>0</v>
      </c>
      <c r="H196" s="95">
        <v>0</v>
      </c>
      <c r="I196" s="73">
        <v>0</v>
      </c>
      <c r="J196" s="74">
        <v>0</v>
      </c>
      <c r="K196" s="74">
        <v>0</v>
      </c>
      <c r="L196" s="74">
        <v>0</v>
      </c>
      <c r="M196" s="74"/>
      <c r="N196" s="74">
        <v>0</v>
      </c>
      <c r="O196" s="74">
        <v>23.766000999999999</v>
      </c>
      <c r="P196" s="185">
        <v>24</v>
      </c>
      <c r="Q196" s="269">
        <v>24</v>
      </c>
      <c r="R196" s="269"/>
      <c r="S196" s="269">
        <v>15</v>
      </c>
      <c r="T196" s="269">
        <v>15</v>
      </c>
      <c r="U196" s="269">
        <v>15</v>
      </c>
      <c r="V196" s="269">
        <v>15</v>
      </c>
      <c r="W196" s="269"/>
      <c r="X196" s="269">
        <v>15</v>
      </c>
      <c r="Y196" s="269">
        <v>15</v>
      </c>
      <c r="Z196" s="269">
        <v>15</v>
      </c>
      <c r="AA196" s="269">
        <v>15</v>
      </c>
      <c r="AB196" s="30">
        <f t="shared" si="431"/>
        <v>0</v>
      </c>
      <c r="AC196" s="224">
        <f>Q196</f>
        <v>24</v>
      </c>
      <c r="AD196" s="224">
        <f>V196</f>
        <v>15</v>
      </c>
      <c r="AE196" s="224">
        <f>AA196</f>
        <v>15</v>
      </c>
      <c r="AF196" s="185">
        <v>15</v>
      </c>
      <c r="AG196" s="185">
        <v>15</v>
      </c>
      <c r="AH196" s="186">
        <v>15</v>
      </c>
      <c r="AI196" s="28"/>
      <c r="AJ196" s="26"/>
      <c r="AL196" s="26"/>
      <c r="AN196" s="28"/>
    </row>
    <row r="197" spans="2:40" x14ac:dyDescent="0.25">
      <c r="B197" s="10" t="s">
        <v>30</v>
      </c>
      <c r="C197" s="107">
        <v>0</v>
      </c>
      <c r="D197" s="94">
        <v>0</v>
      </c>
      <c r="E197" s="94">
        <v>0</v>
      </c>
      <c r="F197" s="94">
        <v>0</v>
      </c>
      <c r="G197" s="94">
        <v>0</v>
      </c>
      <c r="H197" s="95">
        <v>22.5</v>
      </c>
      <c r="I197" s="73">
        <v>22.5</v>
      </c>
      <c r="J197" s="74">
        <v>22.5</v>
      </c>
      <c r="K197" s="74">
        <v>51.601002000000001</v>
      </c>
      <c r="L197" s="74">
        <v>51.655997999999997</v>
      </c>
      <c r="M197" s="74"/>
      <c r="N197" s="74">
        <v>51.712001999999998</v>
      </c>
      <c r="O197" s="74">
        <v>65</v>
      </c>
      <c r="P197" s="185">
        <v>65</v>
      </c>
      <c r="Q197" s="185">
        <v>75</v>
      </c>
      <c r="R197" s="185"/>
      <c r="S197" s="185">
        <v>80</v>
      </c>
      <c r="T197" s="185">
        <f>S197</f>
        <v>80</v>
      </c>
      <c r="U197" s="185">
        <f>T197</f>
        <v>80</v>
      </c>
      <c r="V197" s="185">
        <f>U197</f>
        <v>80</v>
      </c>
      <c r="W197" s="185"/>
      <c r="X197" s="185">
        <v>90</v>
      </c>
      <c r="Y197" s="185">
        <f>X197</f>
        <v>90</v>
      </c>
      <c r="Z197" s="185">
        <f>Y197</f>
        <v>90</v>
      </c>
      <c r="AA197" s="185">
        <f>Z197</f>
        <v>90</v>
      </c>
      <c r="AB197" s="30">
        <f t="shared" si="431"/>
        <v>51.655997999999997</v>
      </c>
      <c r="AC197" s="224">
        <f>Q197</f>
        <v>75</v>
      </c>
      <c r="AD197" s="224">
        <f>V197</f>
        <v>80</v>
      </c>
      <c r="AE197" s="224">
        <f t="shared" ref="AE197:AE200" si="432">AA197</f>
        <v>90</v>
      </c>
      <c r="AF197" s="185">
        <v>90</v>
      </c>
      <c r="AG197" s="185">
        <v>95</v>
      </c>
      <c r="AH197" s="186">
        <v>100</v>
      </c>
      <c r="AI197" s="28"/>
      <c r="AJ197" s="26"/>
      <c r="AL197" s="26"/>
      <c r="AN197" s="28"/>
    </row>
    <row r="198" spans="2:40" x14ac:dyDescent="0.25">
      <c r="B198" s="10" t="s">
        <v>77</v>
      </c>
      <c r="C198" s="107">
        <v>0</v>
      </c>
      <c r="D198" s="94">
        <v>0</v>
      </c>
      <c r="E198" s="94">
        <v>0</v>
      </c>
      <c r="F198" s="94">
        <v>0</v>
      </c>
      <c r="G198" s="94">
        <v>0</v>
      </c>
      <c r="H198" s="95">
        <v>106.789001</v>
      </c>
      <c r="I198" s="73">
        <v>60.602001000000001</v>
      </c>
      <c r="J198" s="74">
        <v>0</v>
      </c>
      <c r="K198" s="74">
        <v>0</v>
      </c>
      <c r="L198" s="74">
        <v>0</v>
      </c>
      <c r="M198" s="74"/>
      <c r="N198" s="74">
        <v>0</v>
      </c>
      <c r="O198" s="74">
        <v>0</v>
      </c>
      <c r="P198" s="185">
        <v>0</v>
      </c>
      <c r="Q198" s="185">
        <v>0</v>
      </c>
      <c r="R198" s="185"/>
      <c r="S198" s="185">
        <v>0</v>
      </c>
      <c r="T198" s="185">
        <v>0</v>
      </c>
      <c r="U198" s="185">
        <v>0</v>
      </c>
      <c r="V198" s="185">
        <v>0</v>
      </c>
      <c r="W198" s="185"/>
      <c r="X198" s="185">
        <v>0</v>
      </c>
      <c r="Y198" s="185">
        <v>0</v>
      </c>
      <c r="Z198" s="185">
        <v>0</v>
      </c>
      <c r="AA198" s="185">
        <v>0</v>
      </c>
      <c r="AB198" s="30">
        <f t="shared" si="431"/>
        <v>0</v>
      </c>
      <c r="AC198" s="224">
        <f>Q198</f>
        <v>0</v>
      </c>
      <c r="AD198" s="224">
        <f>V198</f>
        <v>0</v>
      </c>
      <c r="AE198" s="224">
        <f t="shared" si="432"/>
        <v>0</v>
      </c>
      <c r="AF198" s="185">
        <v>0</v>
      </c>
      <c r="AG198" s="185">
        <v>0</v>
      </c>
      <c r="AH198" s="186">
        <v>0</v>
      </c>
      <c r="AI198" s="28"/>
      <c r="AJ198" s="26"/>
      <c r="AL198" s="26"/>
      <c r="AN198" s="28"/>
    </row>
    <row r="199" spans="2:40" x14ac:dyDescent="0.25">
      <c r="B199" s="10" t="s">
        <v>78</v>
      </c>
      <c r="C199" s="107">
        <v>40</v>
      </c>
      <c r="D199" s="94">
        <v>46</v>
      </c>
      <c r="E199" s="94">
        <v>47.5</v>
      </c>
      <c r="F199" s="94">
        <v>44</v>
      </c>
      <c r="G199" s="94">
        <v>61.563000000000002</v>
      </c>
      <c r="H199" s="95">
        <v>37.792000000000002</v>
      </c>
      <c r="I199" s="73">
        <v>37.542000000000002</v>
      </c>
      <c r="J199" s="74">
        <v>37.292000000000002</v>
      </c>
      <c r="K199" s="74">
        <v>37.042000000000002</v>
      </c>
      <c r="L199" s="74">
        <v>36.792000000000002</v>
      </c>
      <c r="M199" s="74"/>
      <c r="N199" s="74">
        <v>24.228999999999999</v>
      </c>
      <c r="O199" s="74">
        <v>63.341999000000001</v>
      </c>
      <c r="P199" s="185">
        <v>63</v>
      </c>
      <c r="Q199" s="185">
        <v>63</v>
      </c>
      <c r="R199" s="185"/>
      <c r="S199" s="185">
        <f>Q199</f>
        <v>63</v>
      </c>
      <c r="T199" s="185">
        <f>S199</f>
        <v>63</v>
      </c>
      <c r="U199" s="185">
        <f t="shared" ref="U199:V199" si="433">T199</f>
        <v>63</v>
      </c>
      <c r="V199" s="185">
        <f t="shared" si="433"/>
        <v>63</v>
      </c>
      <c r="W199" s="185"/>
      <c r="X199" s="185">
        <f>V199</f>
        <v>63</v>
      </c>
      <c r="Y199" s="185">
        <f t="shared" ref="Y199:AA200" si="434">X199</f>
        <v>63</v>
      </c>
      <c r="Z199" s="185">
        <f t="shared" si="434"/>
        <v>63</v>
      </c>
      <c r="AA199" s="185">
        <f t="shared" si="434"/>
        <v>63</v>
      </c>
      <c r="AB199" s="30">
        <f t="shared" si="431"/>
        <v>36.792000000000002</v>
      </c>
      <c r="AC199" s="224">
        <f>Q199</f>
        <v>63</v>
      </c>
      <c r="AD199" s="224">
        <f>V199</f>
        <v>63</v>
      </c>
      <c r="AE199" s="224">
        <f t="shared" si="432"/>
        <v>63</v>
      </c>
      <c r="AF199" s="185">
        <v>35</v>
      </c>
      <c r="AG199" s="185">
        <v>35</v>
      </c>
      <c r="AH199" s="186">
        <v>35</v>
      </c>
      <c r="AI199" s="28"/>
      <c r="AJ199" s="26"/>
      <c r="AL199" s="26"/>
      <c r="AN199" s="28"/>
    </row>
    <row r="200" spans="2:40" x14ac:dyDescent="0.25">
      <c r="B200" s="10" t="s">
        <v>79</v>
      </c>
      <c r="C200" s="107">
        <v>27.138569</v>
      </c>
      <c r="D200" s="94">
        <v>26.697355999999999</v>
      </c>
      <c r="E200" s="94">
        <v>26.947248999999999</v>
      </c>
      <c r="F200" s="94">
        <v>27.060614999999999</v>
      </c>
      <c r="G200" s="94">
        <v>29.501999999999999</v>
      </c>
      <c r="H200" s="95">
        <v>7.3780000000000001</v>
      </c>
      <c r="I200" s="73">
        <v>9.0310000000000006</v>
      </c>
      <c r="J200" s="74">
        <v>6.6180000000000003</v>
      </c>
      <c r="K200" s="74">
        <v>11.686</v>
      </c>
      <c r="L200" s="74">
        <v>10.952</v>
      </c>
      <c r="M200" s="74"/>
      <c r="N200" s="74">
        <v>9.7840000000000007</v>
      </c>
      <c r="O200" s="74">
        <v>10.488</v>
      </c>
      <c r="P200" s="185">
        <v>10</v>
      </c>
      <c r="Q200" s="185">
        <v>20</v>
      </c>
      <c r="R200" s="185"/>
      <c r="S200" s="185">
        <v>20</v>
      </c>
      <c r="T200" s="185">
        <f>S200</f>
        <v>20</v>
      </c>
      <c r="U200" s="185">
        <f>T200</f>
        <v>20</v>
      </c>
      <c r="V200" s="185">
        <f>U200</f>
        <v>20</v>
      </c>
      <c r="W200" s="185"/>
      <c r="X200" s="185">
        <v>20</v>
      </c>
      <c r="Y200" s="185">
        <f t="shared" si="434"/>
        <v>20</v>
      </c>
      <c r="Z200" s="185">
        <f t="shared" si="434"/>
        <v>20</v>
      </c>
      <c r="AA200" s="185">
        <f t="shared" si="434"/>
        <v>20</v>
      </c>
      <c r="AB200" s="30">
        <f t="shared" si="431"/>
        <v>10.952</v>
      </c>
      <c r="AC200" s="224">
        <f>Q200</f>
        <v>20</v>
      </c>
      <c r="AD200" s="224">
        <f>V200</f>
        <v>20</v>
      </c>
      <c r="AE200" s="224">
        <f t="shared" si="432"/>
        <v>20</v>
      </c>
      <c r="AF200" s="185">
        <v>10</v>
      </c>
      <c r="AG200" s="185">
        <v>10</v>
      </c>
      <c r="AH200" s="186">
        <v>10</v>
      </c>
      <c r="AI200" s="28"/>
      <c r="AJ200" s="26"/>
      <c r="AL200" s="26"/>
      <c r="AN200" s="28"/>
    </row>
    <row r="201" spans="2:40" x14ac:dyDescent="0.25">
      <c r="B201" s="10"/>
      <c r="C201" s="107"/>
      <c r="D201" s="94"/>
      <c r="E201" s="94"/>
      <c r="F201" s="94"/>
      <c r="G201" s="94"/>
      <c r="H201" s="95"/>
      <c r="I201" s="73"/>
      <c r="J201" s="74"/>
      <c r="K201" s="74"/>
      <c r="L201" s="74"/>
      <c r="M201" s="74"/>
      <c r="N201" s="74"/>
      <c r="O201" s="74"/>
      <c r="P201" s="185"/>
      <c r="Q201" s="185"/>
      <c r="R201" s="185"/>
      <c r="S201" s="185"/>
      <c r="T201" s="185"/>
      <c r="U201" s="185"/>
      <c r="V201" s="185"/>
      <c r="W201" s="185"/>
      <c r="X201" s="185"/>
      <c r="Y201" s="185"/>
      <c r="Z201" s="185"/>
      <c r="AA201" s="185"/>
      <c r="AB201" s="30"/>
      <c r="AC201" s="224"/>
      <c r="AD201" s="224"/>
      <c r="AE201" s="224"/>
      <c r="AF201" s="185"/>
      <c r="AG201" s="185"/>
      <c r="AH201" s="186"/>
      <c r="AI201" s="28"/>
      <c r="AJ201" s="26"/>
      <c r="AL201" s="26"/>
      <c r="AN201" s="28"/>
    </row>
    <row r="202" spans="2:40" x14ac:dyDescent="0.25">
      <c r="B202" s="12" t="s">
        <v>85</v>
      </c>
      <c r="C202" s="108">
        <v>95.456626999999997</v>
      </c>
      <c r="D202" s="90">
        <v>93.387732999999997</v>
      </c>
      <c r="E202" s="90">
        <v>90.322661999999994</v>
      </c>
      <c r="F202" s="90">
        <v>95.692390000000003</v>
      </c>
      <c r="G202" s="90">
        <v>130.50599700000001</v>
      </c>
      <c r="H202" s="91">
        <v>144.48800700000001</v>
      </c>
      <c r="I202" s="270">
        <v>143.48700199999999</v>
      </c>
      <c r="J202" s="271">
        <v>146.89399499999999</v>
      </c>
      <c r="K202" s="271">
        <v>217.129997</v>
      </c>
      <c r="L202" s="271">
        <v>217.707007</v>
      </c>
      <c r="M202" s="271"/>
      <c r="N202" s="271">
        <v>250.27699799999999</v>
      </c>
      <c r="O202" s="271">
        <v>234.59500299999996</v>
      </c>
      <c r="P202" s="237">
        <f>P161-P191</f>
        <v>282.08873359500058</v>
      </c>
      <c r="Q202" s="237">
        <f>Q161-Q191</f>
        <v>325.86435583015145</v>
      </c>
      <c r="R202" s="237"/>
      <c r="S202" s="237">
        <f>S161-S191</f>
        <v>316.95767891197784</v>
      </c>
      <c r="T202" s="237">
        <f>T161-T191</f>
        <v>329.20773787033158</v>
      </c>
      <c r="U202" s="237">
        <f>U161-U191</f>
        <v>337.32059064429632</v>
      </c>
      <c r="V202" s="237">
        <f>V161-V191</f>
        <v>349.40934888486117</v>
      </c>
      <c r="W202" s="237"/>
      <c r="X202" s="237">
        <f>X161-X191</f>
        <v>357.31299105070184</v>
      </c>
      <c r="Y202" s="237">
        <f>Y161-Y191</f>
        <v>367.51990199044258</v>
      </c>
      <c r="Z202" s="237">
        <f>Z161-Z191</f>
        <v>378.12957547670703</v>
      </c>
      <c r="AA202" s="237">
        <f>AA161-AA191</f>
        <v>378.80665398840483</v>
      </c>
      <c r="AB202" s="236">
        <f t="shared" ref="AB202:AB207" si="435">L202</f>
        <v>217.707007</v>
      </c>
      <c r="AC202" s="237">
        <f>Q202</f>
        <v>325.86435583015145</v>
      </c>
      <c r="AD202" s="237">
        <f>V202</f>
        <v>349.40934888486117</v>
      </c>
      <c r="AE202" s="237">
        <f>AA202</f>
        <v>378.80665398840483</v>
      </c>
      <c r="AF202" s="237">
        <f>AF161-AF191</f>
        <v>375.873291198483</v>
      </c>
      <c r="AG202" s="237">
        <f>AG161-AG191</f>
        <v>417.88310389185335</v>
      </c>
      <c r="AH202" s="241">
        <f>AH161-AH191</f>
        <v>400.11576720018365</v>
      </c>
      <c r="AI202" s="28"/>
      <c r="AJ202" s="26"/>
      <c r="AL202" s="26"/>
      <c r="AN202" s="28"/>
    </row>
    <row r="203" spans="2:40" x14ac:dyDescent="0.25">
      <c r="B203" s="10" t="s">
        <v>80</v>
      </c>
      <c r="C203" s="107">
        <v>18.021000000000001</v>
      </c>
      <c r="D203" s="94">
        <v>9.36</v>
      </c>
      <c r="E203" s="94">
        <v>0</v>
      </c>
      <c r="F203" s="94">
        <v>0</v>
      </c>
      <c r="G203" s="94">
        <v>0</v>
      </c>
      <c r="H203" s="95">
        <v>0</v>
      </c>
      <c r="I203" s="272">
        <v>0</v>
      </c>
      <c r="J203" s="273">
        <v>0</v>
      </c>
      <c r="K203" s="273">
        <v>0</v>
      </c>
      <c r="L203" s="273">
        <v>0</v>
      </c>
      <c r="M203" s="273"/>
      <c r="N203" s="273">
        <v>0</v>
      </c>
      <c r="O203" s="273">
        <v>0</v>
      </c>
      <c r="P203" s="164"/>
      <c r="Q203" s="164"/>
      <c r="R203" s="164"/>
      <c r="S203" s="164"/>
      <c r="T203" s="164"/>
      <c r="U203" s="164"/>
      <c r="V203" s="164"/>
      <c r="W203" s="164"/>
      <c r="X203" s="164"/>
      <c r="Y203" s="164"/>
      <c r="Z203" s="164"/>
      <c r="AA203" s="164"/>
      <c r="AB203" s="30">
        <f t="shared" si="435"/>
        <v>0</v>
      </c>
      <c r="AC203" s="240"/>
      <c r="AD203" s="164"/>
      <c r="AE203" s="164"/>
      <c r="AF203" s="164"/>
      <c r="AG203" s="164"/>
      <c r="AH203" s="165"/>
      <c r="AI203" s="28"/>
      <c r="AJ203" s="26"/>
      <c r="AL203" s="26"/>
      <c r="AN203" s="28"/>
    </row>
    <row r="204" spans="2:40" x14ac:dyDescent="0.25">
      <c r="B204" s="10" t="s">
        <v>81</v>
      </c>
      <c r="C204" s="107">
        <v>8.4392580000000006</v>
      </c>
      <c r="D204" s="94">
        <v>8.4392580000000006</v>
      </c>
      <c r="E204" s="94">
        <v>8.4392580000000006</v>
      </c>
      <c r="F204" s="94">
        <v>8.4449079999999999</v>
      </c>
      <c r="G204" s="94">
        <v>9.4990000000000006</v>
      </c>
      <c r="H204" s="95">
        <v>9.4990000000000006</v>
      </c>
      <c r="I204" s="272">
        <v>9.4990000000000006</v>
      </c>
      <c r="J204" s="273">
        <v>9.4990000000000006</v>
      </c>
      <c r="K204" s="273">
        <v>13.673999999999999</v>
      </c>
      <c r="L204" s="273">
        <v>13.673999999999999</v>
      </c>
      <c r="M204" s="273"/>
      <c r="N204" s="273">
        <v>17.585999999999999</v>
      </c>
      <c r="O204" s="273">
        <v>17.580998999999998</v>
      </c>
      <c r="P204" s="239">
        <f>O204</f>
        <v>17.580998999999998</v>
      </c>
      <c r="Q204" s="239">
        <f t="shared" ref="Q204:AA204" si="436">P204</f>
        <v>17.580998999999998</v>
      </c>
      <c r="R204" s="239"/>
      <c r="S204" s="239">
        <f>Q204</f>
        <v>17.580998999999998</v>
      </c>
      <c r="T204" s="239">
        <f t="shared" si="436"/>
        <v>17.580998999999998</v>
      </c>
      <c r="U204" s="239">
        <f t="shared" si="436"/>
        <v>17.580998999999998</v>
      </c>
      <c r="V204" s="239">
        <f t="shared" si="436"/>
        <v>17.580998999999998</v>
      </c>
      <c r="W204" s="239"/>
      <c r="X204" s="239">
        <f>V204</f>
        <v>17.580998999999998</v>
      </c>
      <c r="Y204" s="239">
        <f t="shared" si="436"/>
        <v>17.580998999999998</v>
      </c>
      <c r="Z204" s="239">
        <f t="shared" si="436"/>
        <v>17.580998999999998</v>
      </c>
      <c r="AA204" s="239">
        <f t="shared" si="436"/>
        <v>17.580998999999998</v>
      </c>
      <c r="AB204" s="30">
        <f t="shared" si="435"/>
        <v>13.673999999999999</v>
      </c>
      <c r="AC204" s="201">
        <f>Q204</f>
        <v>17.580998999999998</v>
      </c>
      <c r="AD204" s="201">
        <f>V204</f>
        <v>17.580998999999998</v>
      </c>
      <c r="AE204" s="201">
        <f>AA204</f>
        <v>17.580998999999998</v>
      </c>
      <c r="AF204" s="239">
        <f>AE204</f>
        <v>17.580998999999998</v>
      </c>
      <c r="AG204" s="239">
        <f t="shared" ref="AG204:AH204" si="437">AF204</f>
        <v>17.580998999999998</v>
      </c>
      <c r="AH204" s="274">
        <f t="shared" si="437"/>
        <v>17.580998999999998</v>
      </c>
      <c r="AI204" s="28"/>
      <c r="AJ204" s="26"/>
      <c r="AL204" s="26"/>
      <c r="AN204" s="28"/>
    </row>
    <row r="205" spans="2:40" x14ac:dyDescent="0.25">
      <c r="B205" s="10" t="s">
        <v>82</v>
      </c>
      <c r="C205" s="107">
        <v>29.145094</v>
      </c>
      <c r="D205" s="94">
        <v>29.145094</v>
      </c>
      <c r="E205" s="94">
        <v>29.145094</v>
      </c>
      <c r="F205" s="94">
        <v>25.978334</v>
      </c>
      <c r="G205" s="94">
        <v>43.667000000000002</v>
      </c>
      <c r="H205" s="95">
        <v>43.215000000000003</v>
      </c>
      <c r="I205" s="272">
        <v>43.223998999999999</v>
      </c>
      <c r="J205" s="273">
        <v>43.231997999999997</v>
      </c>
      <c r="K205" s="273">
        <v>110.72199999999999</v>
      </c>
      <c r="L205" s="273">
        <v>111.021004</v>
      </c>
      <c r="M205" s="273"/>
      <c r="N205" s="273">
        <v>166.858994</v>
      </c>
      <c r="O205" s="273">
        <v>167.37600699999999</v>
      </c>
      <c r="P205" s="164"/>
      <c r="Q205" s="164"/>
      <c r="R205" s="164"/>
      <c r="S205" s="164"/>
      <c r="T205" s="164"/>
      <c r="U205" s="164"/>
      <c r="V205" s="164"/>
      <c r="W205" s="164"/>
      <c r="X205" s="164"/>
      <c r="Y205" s="164"/>
      <c r="Z205" s="164"/>
      <c r="AA205" s="164"/>
      <c r="AB205" s="30">
        <f t="shared" si="435"/>
        <v>111.021004</v>
      </c>
      <c r="AC205" s="164"/>
      <c r="AD205" s="164"/>
      <c r="AE205" s="164"/>
      <c r="AF205" s="164"/>
      <c r="AG205" s="164"/>
      <c r="AH205" s="165"/>
      <c r="AI205" s="28"/>
      <c r="AJ205" s="26"/>
      <c r="AL205" s="26"/>
      <c r="AN205" s="28"/>
    </row>
    <row r="206" spans="2:40" x14ac:dyDescent="0.25">
      <c r="B206" s="10" t="s">
        <v>83</v>
      </c>
      <c r="C206" s="107">
        <v>44.285621999999996</v>
      </c>
      <c r="D206" s="94">
        <v>51.465519</v>
      </c>
      <c r="E206" s="94">
        <v>59.230258999999997</v>
      </c>
      <c r="F206" s="94">
        <v>69.459243999999998</v>
      </c>
      <c r="G206" s="94">
        <v>76.977997000000002</v>
      </c>
      <c r="H206" s="95">
        <v>84.992996000000005</v>
      </c>
      <c r="I206" s="272">
        <v>88.939003</v>
      </c>
      <c r="J206" s="273">
        <v>91.962997000000001</v>
      </c>
      <c r="K206" s="273">
        <v>96.144997000000004</v>
      </c>
      <c r="L206" s="273">
        <v>99.189003</v>
      </c>
      <c r="M206" s="273"/>
      <c r="N206" s="273">
        <v>103.03600299999999</v>
      </c>
      <c r="O206" s="273">
        <v>104.560997</v>
      </c>
      <c r="P206" s="164"/>
      <c r="Q206" s="164"/>
      <c r="R206" s="164"/>
      <c r="S206" s="164"/>
      <c r="T206" s="164"/>
      <c r="U206" s="164"/>
      <c r="V206" s="164"/>
      <c r="W206" s="164"/>
      <c r="X206" s="164"/>
      <c r="Y206" s="164"/>
      <c r="Z206" s="164"/>
      <c r="AA206" s="164"/>
      <c r="AB206" s="30">
        <f t="shared" si="435"/>
        <v>99.189003</v>
      </c>
      <c r="AC206" s="164"/>
      <c r="AD206" s="164"/>
      <c r="AE206" s="164"/>
      <c r="AF206" s="164"/>
      <c r="AG206" s="164"/>
      <c r="AH206" s="165"/>
      <c r="AI206" s="28"/>
      <c r="AJ206" s="26"/>
      <c r="AL206" s="26"/>
      <c r="AN206" s="28"/>
    </row>
    <row r="207" spans="2:40" x14ac:dyDescent="0.25">
      <c r="B207" s="10" t="s">
        <v>84</v>
      </c>
      <c r="C207" s="107">
        <v>-4.4343510000000004</v>
      </c>
      <c r="D207" s="94">
        <v>-5.0221400000000003</v>
      </c>
      <c r="E207" s="94">
        <v>-6.491949</v>
      </c>
      <c r="F207" s="94">
        <v>-8.1900899999999996</v>
      </c>
      <c r="G207" s="94">
        <v>0.36199999999999999</v>
      </c>
      <c r="H207" s="95">
        <v>6.7809999999999997</v>
      </c>
      <c r="I207" s="272">
        <v>1.825</v>
      </c>
      <c r="J207" s="273">
        <v>2.2000000000000002</v>
      </c>
      <c r="K207" s="273">
        <v>-3.411</v>
      </c>
      <c r="L207" s="273">
        <v>-6.1769999999999996</v>
      </c>
      <c r="M207" s="273"/>
      <c r="N207" s="273">
        <v>-37.203999000000003</v>
      </c>
      <c r="O207" s="273">
        <v>-54.923000000000002</v>
      </c>
      <c r="P207" s="164"/>
      <c r="Q207" s="164"/>
      <c r="R207" s="164"/>
      <c r="S207" s="164"/>
      <c r="T207" s="164"/>
      <c r="U207" s="164"/>
      <c r="V207" s="164"/>
      <c r="W207" s="164"/>
      <c r="X207" s="164"/>
      <c r="Y207" s="164"/>
      <c r="Z207" s="164"/>
      <c r="AA207" s="164"/>
      <c r="AB207" s="30">
        <f t="shared" si="435"/>
        <v>-6.1769999999999996</v>
      </c>
      <c r="AC207" s="164"/>
      <c r="AD207" s="164"/>
      <c r="AE207" s="164"/>
      <c r="AF207" s="164"/>
      <c r="AG207" s="164"/>
      <c r="AH207" s="165"/>
      <c r="AI207" s="28"/>
      <c r="AJ207" s="26"/>
      <c r="AL207" s="26"/>
      <c r="AN207" s="28"/>
    </row>
    <row r="208" spans="2:40" x14ac:dyDescent="0.25">
      <c r="B208" s="10"/>
      <c r="C208" s="59"/>
      <c r="D208" s="60"/>
      <c r="E208" s="60"/>
      <c r="F208" s="60"/>
      <c r="G208" s="60"/>
      <c r="H208" s="61"/>
      <c r="I208" s="275"/>
      <c r="J208" s="276"/>
      <c r="K208" s="276"/>
      <c r="L208" s="276"/>
      <c r="M208" s="276"/>
      <c r="N208" s="276"/>
      <c r="O208" s="276"/>
      <c r="AB208" s="30"/>
      <c r="AH208" s="28"/>
      <c r="AI208" s="28"/>
      <c r="AJ208" s="26"/>
      <c r="AL208" s="26"/>
      <c r="AN208" s="28"/>
    </row>
    <row r="209" spans="2:40" x14ac:dyDescent="0.25">
      <c r="B209" s="17" t="s">
        <v>95</v>
      </c>
      <c r="C209" s="32" t="str">
        <f t="shared" ref="C209:L209" si="438">IF(ROUND(C161,0)=ROUND(C190,0),"TRUE","FALSE")</f>
        <v>TRUE</v>
      </c>
      <c r="D209" s="230" t="str">
        <f t="shared" si="438"/>
        <v>TRUE</v>
      </c>
      <c r="E209" s="230" t="str">
        <f t="shared" si="438"/>
        <v>TRUE</v>
      </c>
      <c r="F209" s="230" t="str">
        <f t="shared" si="438"/>
        <v>TRUE</v>
      </c>
      <c r="G209" s="230" t="str">
        <f t="shared" si="438"/>
        <v>TRUE</v>
      </c>
      <c r="H209" s="231" t="str">
        <f t="shared" si="438"/>
        <v>TRUE</v>
      </c>
      <c r="I209" s="32" t="str">
        <f t="shared" si="438"/>
        <v>TRUE</v>
      </c>
      <c r="J209" s="230" t="str">
        <f t="shared" si="438"/>
        <v>TRUE</v>
      </c>
      <c r="K209" s="230" t="str">
        <f t="shared" si="438"/>
        <v>TRUE</v>
      </c>
      <c r="L209" s="230" t="str">
        <f t="shared" si="438"/>
        <v>TRUE</v>
      </c>
      <c r="M209" s="230"/>
      <c r="N209" s="230" t="str">
        <f>IF(ROUND(N161,0)=ROUND(N190,0),"TRUE","FALSE")</f>
        <v>TRUE</v>
      </c>
      <c r="O209" s="230" t="str">
        <f>IF(ROUND(O161,0)=ROUND(O190,0),"TRUE","FALSE")</f>
        <v>TRUE</v>
      </c>
      <c r="P209" s="230" t="str">
        <f>IF(ROUND(P161,0)=ROUND(P190,0),"TRUE","FALSE")</f>
        <v>TRUE</v>
      </c>
      <c r="Q209" s="230" t="str">
        <f>IF(ROUND(Q161,0)=ROUND(Q190,0),"TRUE","FALSE")</f>
        <v>TRUE</v>
      </c>
      <c r="R209" s="230"/>
      <c r="S209" s="230" t="str">
        <f>IF(ROUND(S161,0)=ROUND(S190,0),"TRUE","FALSE")</f>
        <v>TRUE</v>
      </c>
      <c r="T209" s="230" t="str">
        <f>IF(ROUND(T161,0)=ROUND(T190,0),"TRUE","FALSE")</f>
        <v>TRUE</v>
      </c>
      <c r="U209" s="230" t="str">
        <f>IF(ROUND(U161,0)=ROUND(U190,0),"TRUE","FALSE")</f>
        <v>TRUE</v>
      </c>
      <c r="V209" s="230" t="str">
        <f>IF(ROUND(V161,0)=ROUND(V190,0),"TRUE","FALSE")</f>
        <v>TRUE</v>
      </c>
      <c r="W209" s="230"/>
      <c r="X209" s="230" t="str">
        <f t="shared" ref="X209:AH209" si="439">IF(ROUND(X161,0)=ROUND(X190,0),"TRUE","FALSE")</f>
        <v>TRUE</v>
      </c>
      <c r="Y209" s="230" t="str">
        <f t="shared" si="439"/>
        <v>TRUE</v>
      </c>
      <c r="Z209" s="230" t="str">
        <f t="shared" si="439"/>
        <v>TRUE</v>
      </c>
      <c r="AA209" s="230" t="str">
        <f t="shared" si="439"/>
        <v>TRUE</v>
      </c>
      <c r="AB209" s="108" t="str">
        <f t="shared" si="439"/>
        <v>TRUE</v>
      </c>
      <c r="AC209" s="90" t="str">
        <f t="shared" si="439"/>
        <v>TRUE</v>
      </c>
      <c r="AD209" s="90" t="str">
        <f t="shared" si="439"/>
        <v>TRUE</v>
      </c>
      <c r="AE209" s="90" t="str">
        <f t="shared" si="439"/>
        <v>FALSE</v>
      </c>
      <c r="AF209" s="90" t="str">
        <f t="shared" si="439"/>
        <v>TRUE</v>
      </c>
      <c r="AG209" s="90" t="str">
        <f t="shared" si="439"/>
        <v>TRUE</v>
      </c>
      <c r="AH209" s="91" t="str">
        <f t="shared" si="439"/>
        <v>TRUE</v>
      </c>
      <c r="AI209" s="28"/>
      <c r="AJ209" s="26"/>
      <c r="AL209" s="26"/>
      <c r="AN209" s="28"/>
    </row>
    <row r="210" spans="2:40" x14ac:dyDescent="0.25">
      <c r="B210" s="7" t="s">
        <v>89</v>
      </c>
      <c r="C210" s="69"/>
      <c r="D210" s="70"/>
      <c r="E210" s="70"/>
      <c r="F210" s="70"/>
      <c r="G210" s="70"/>
      <c r="H210" s="71"/>
      <c r="I210" s="23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166"/>
      <c r="AC210" s="24"/>
      <c r="AD210" s="24"/>
      <c r="AE210" s="24"/>
      <c r="AF210" s="24"/>
      <c r="AG210" s="24"/>
      <c r="AH210" s="25"/>
      <c r="AI210" s="25"/>
      <c r="AJ210" s="23"/>
      <c r="AK210" s="24"/>
      <c r="AL210" s="23"/>
      <c r="AM210" s="24"/>
      <c r="AN210" s="25"/>
    </row>
    <row r="211" spans="2:40" x14ac:dyDescent="0.25">
      <c r="B211" s="1" t="s">
        <v>90</v>
      </c>
      <c r="C211" s="121">
        <v>9.18</v>
      </c>
      <c r="D211" s="122">
        <v>9.9600000000000009</v>
      </c>
      <c r="E211" s="122">
        <v>10.7</v>
      </c>
      <c r="F211" s="122">
        <v>11.33</v>
      </c>
      <c r="G211" s="122">
        <v>13.74</v>
      </c>
      <c r="H211" s="123">
        <v>15.21</v>
      </c>
      <c r="I211" s="34">
        <f>I202/I158</f>
        <v>15.105830083706513</v>
      </c>
      <c r="J211" s="222">
        <f>J202/J158</f>
        <v>15.46450687419641</v>
      </c>
      <c r="K211" s="222">
        <f>K202/K158</f>
        <v>17.588602556224316</v>
      </c>
      <c r="L211" s="222">
        <f>L202/L158</f>
        <v>15.921356660697631</v>
      </c>
      <c r="M211" s="222"/>
      <c r="N211" s="222">
        <f>N202/N158</f>
        <v>15.762804235753364</v>
      </c>
      <c r="O211" s="222">
        <f>O202/O158</f>
        <v>13.339664198359229</v>
      </c>
      <c r="P211" s="222">
        <f>P202/P158</f>
        <v>16.045091271263971</v>
      </c>
      <c r="Q211" s="222">
        <f>Q202/Q158</f>
        <v>18.535030678868218</v>
      </c>
      <c r="R211" s="222"/>
      <c r="S211" s="222">
        <f>S202/S158</f>
        <v>18.028422555053776</v>
      </c>
      <c r="T211" s="222">
        <f>T202/T158</f>
        <v>18.725200875691513</v>
      </c>
      <c r="U211" s="222">
        <f>U202/U158</f>
        <v>19.186656608324494</v>
      </c>
      <c r="V211" s="222">
        <f>V202/V158</f>
        <v>19.874260210404493</v>
      </c>
      <c r="W211" s="222"/>
      <c r="X211" s="222">
        <f>X202/X158</f>
        <v>20.323816129601159</v>
      </c>
      <c r="Y211" s="222">
        <f>Y202/Y158</f>
        <v>20.904381030363666</v>
      </c>
      <c r="Z211" s="222">
        <f>Z202/Z158</f>
        <v>21.507854899298216</v>
      </c>
      <c r="AA211" s="222">
        <f>AA202/AA158</f>
        <v>21.546366846867169</v>
      </c>
      <c r="AB211" s="34">
        <f>L211</f>
        <v>15.921356660697631</v>
      </c>
      <c r="AC211" s="222">
        <f>V211</f>
        <v>19.874260210404493</v>
      </c>
      <c r="AD211" s="222">
        <f>AA211</f>
        <v>21.546366846867169</v>
      </c>
      <c r="AE211" s="222">
        <f>AA211</f>
        <v>21.546366846867169</v>
      </c>
      <c r="AF211" s="201">
        <f>AF202/AF158</f>
        <v>21.37951837654294</v>
      </c>
      <c r="AG211" s="201">
        <f>AG202/AG158</f>
        <v>23.769019262890204</v>
      </c>
      <c r="AH211" s="207">
        <f>AH202/AH158</f>
        <v>22.758420451544517</v>
      </c>
      <c r="AI211" s="28"/>
      <c r="AJ211" s="26"/>
      <c r="AL211" s="26"/>
      <c r="AN211" s="28"/>
    </row>
    <row r="212" spans="2:40" x14ac:dyDescent="0.25">
      <c r="B212" s="1" t="s">
        <v>91</v>
      </c>
      <c r="C212" s="121">
        <v>9.16</v>
      </c>
      <c r="D212" s="122">
        <v>9.9499999999999993</v>
      </c>
      <c r="E212" s="122">
        <v>10.7</v>
      </c>
      <c r="F212" s="122">
        <v>11.24</v>
      </c>
      <c r="G212" s="122">
        <v>11.68</v>
      </c>
      <c r="H212" s="123">
        <v>13.29</v>
      </c>
      <c r="I212" s="34">
        <f>(I202-I185-I184)/I158</f>
        <v>13.201586140034991</v>
      </c>
      <c r="J212" s="222">
        <f>(J202-J185-J184)/J158</f>
        <v>13.577844130137514</v>
      </c>
      <c r="K212" s="287">
        <f>(K202-K185-K184)/K158</f>
        <v>12.650622288055839</v>
      </c>
      <c r="L212" s="222">
        <f>(L202-L185-L184)/L158</f>
        <v>11.511860699853107</v>
      </c>
      <c r="M212" s="222"/>
      <c r="N212" s="287">
        <f>(N202-N185-N184)/N158</f>
        <v>11.994876964194109</v>
      </c>
      <c r="O212" s="222">
        <f>(O202-O185-O184)/O158</f>
        <v>9.8962971976726131</v>
      </c>
      <c r="P212" s="222">
        <f>(P202-P185-P184)/P158</f>
        <v>12.570999781923689</v>
      </c>
      <c r="Q212" s="222">
        <f>(Q202-Q185-Q184)/Q158</f>
        <v>15.060939189527939</v>
      </c>
      <c r="R212" s="222"/>
      <c r="S212" s="222">
        <f>(S202-S185-S184)/S158</f>
        <v>14.554331065713493</v>
      </c>
      <c r="T212" s="222">
        <f>(T202-T185-T184)/T158</f>
        <v>15.251109386351233</v>
      </c>
      <c r="U212" s="222">
        <f>(U202-U185-U184)/U158</f>
        <v>15.712565118984214</v>
      </c>
      <c r="V212" s="222">
        <f>(V202-V185-V184)/V158</f>
        <v>16.400168721064215</v>
      </c>
      <c r="W212" s="222"/>
      <c r="X212" s="222">
        <f>(X202-X185-X184)/X158</f>
        <v>16.849724640260881</v>
      </c>
      <c r="Y212" s="222">
        <f>(Y202-Y185-Y184)/Y158</f>
        <v>17.430289541023388</v>
      </c>
      <c r="Z212" s="222">
        <f>(Z202-Z185-Z184)/Z158</f>
        <v>18.033763409957938</v>
      </c>
      <c r="AA212" s="222">
        <f>(AA202-AA185-AA184)/AA158</f>
        <v>18.072275357526888</v>
      </c>
      <c r="AB212" s="34">
        <f>L212</f>
        <v>11.511860699853107</v>
      </c>
      <c r="AC212" s="222">
        <f>Q212</f>
        <v>15.060939189527939</v>
      </c>
      <c r="AD212" s="222">
        <f>V212</f>
        <v>16.400168721064215</v>
      </c>
      <c r="AE212" s="222">
        <f>AA212</f>
        <v>18.072275357526888</v>
      </c>
      <c r="AF212" s="201">
        <f>(AF202-AF185-AF184)/AF158</f>
        <v>17.887737278096825</v>
      </c>
      <c r="AG212" s="201">
        <f>(AG202-AG185-AG184)/AG158</f>
        <v>20.277238164444089</v>
      </c>
      <c r="AH212" s="207">
        <f>(AH202-AH185-AH184)/AH158</f>
        <v>19.266639353098402</v>
      </c>
      <c r="AI212" s="28"/>
      <c r="AJ212" s="26"/>
      <c r="AL212" s="26"/>
      <c r="AN212" s="28"/>
    </row>
    <row r="213" spans="2:40" x14ac:dyDescent="0.25">
      <c r="B213" s="1" t="s">
        <v>92</v>
      </c>
      <c r="C213" s="118">
        <v>0</v>
      </c>
      <c r="D213" s="119">
        <v>0</v>
      </c>
      <c r="E213" s="119">
        <v>0.1</v>
      </c>
      <c r="F213" s="119">
        <v>0.2</v>
      </c>
      <c r="G213" s="119">
        <v>0.3</v>
      </c>
      <c r="H213" s="120">
        <v>0.4</v>
      </c>
      <c r="I213" s="118">
        <v>0.1</v>
      </c>
      <c r="J213" s="119">
        <v>0.10249999999999999</v>
      </c>
      <c r="K213" s="119">
        <v>0.10249999999999999</v>
      </c>
      <c r="L213" s="119">
        <v>0.10249999999999999</v>
      </c>
      <c r="M213" s="119"/>
      <c r="N213" s="119">
        <v>0.1075</v>
      </c>
      <c r="O213" s="119">
        <v>0.1075</v>
      </c>
      <c r="P213" s="119">
        <v>0.1075</v>
      </c>
      <c r="Q213" s="119">
        <v>0.1075</v>
      </c>
      <c r="R213" s="119"/>
      <c r="S213" s="284">
        <f>Q213+0.005</f>
        <v>0.1125</v>
      </c>
      <c r="T213" s="284">
        <f>S213</f>
        <v>0.1125</v>
      </c>
      <c r="U213" s="284">
        <f>T213</f>
        <v>0.1125</v>
      </c>
      <c r="V213" s="284">
        <f>U213</f>
        <v>0.1125</v>
      </c>
      <c r="W213" s="284"/>
      <c r="X213" s="284">
        <f>V213+0.005</f>
        <v>0.11750000000000001</v>
      </c>
      <c r="Y213" s="284">
        <f>X213</f>
        <v>0.11750000000000001</v>
      </c>
      <c r="Z213" s="284">
        <f t="shared" ref="Z213:AA213" si="440">Y213</f>
        <v>0.11750000000000001</v>
      </c>
      <c r="AA213" s="284">
        <f t="shared" si="440"/>
        <v>0.11750000000000001</v>
      </c>
      <c r="AB213" s="286">
        <f>SUM(I213:L213)</f>
        <v>0.40749999999999997</v>
      </c>
      <c r="AC213" s="285">
        <f>SUM(N213:Q213)</f>
        <v>0.43</v>
      </c>
      <c r="AD213" s="285">
        <f>SUM(S213:V213)</f>
        <v>0.45</v>
      </c>
      <c r="AE213" s="285">
        <f>SUM(X213:AA213)</f>
        <v>0.47000000000000003</v>
      </c>
      <c r="AF213" s="284">
        <f>AF214*AF157</f>
        <v>0.51046782378397104</v>
      </c>
      <c r="AG213" s="284">
        <f t="shared" ref="AG213:AH213" si="441">AG214*AG157</f>
        <v>0.57019673901785251</v>
      </c>
      <c r="AH213" s="295">
        <f t="shared" si="441"/>
        <v>0.64166138589846944</v>
      </c>
      <c r="AI213" s="28"/>
      <c r="AJ213" s="26"/>
      <c r="AL213" s="26"/>
      <c r="AN213" s="28"/>
    </row>
    <row r="214" spans="2:40" x14ac:dyDescent="0.25">
      <c r="B214" s="44" t="s">
        <v>292</v>
      </c>
      <c r="C214" s="118"/>
      <c r="D214" s="119"/>
      <c r="E214" s="509">
        <f>E213/E157</f>
        <v>0.1149425287356322</v>
      </c>
      <c r="F214" s="509">
        <f t="shared" ref="F214:AE214" si="442">F213/F157</f>
        <v>0.14285714285714288</v>
      </c>
      <c r="G214" s="509">
        <f t="shared" si="442"/>
        <v>0.26785714285714285</v>
      </c>
      <c r="H214" s="510">
        <f t="shared" si="442"/>
        <v>0.32258064516129037</v>
      </c>
      <c r="I214" s="511">
        <f t="shared" si="442"/>
        <v>0.19310394389103475</v>
      </c>
      <c r="J214" s="509">
        <f t="shared" si="442"/>
        <v>0.24358900612959716</v>
      </c>
      <c r="K214" s="509">
        <f t="shared" si="442"/>
        <v>0.22664426204549523</v>
      </c>
      <c r="L214" s="509">
        <f t="shared" si="442"/>
        <v>0.33699804808801348</v>
      </c>
      <c r="M214" s="509" t="e">
        <f t="shared" si="442"/>
        <v>#DIV/0!</v>
      </c>
      <c r="N214" s="509">
        <f t="shared" si="442"/>
        <v>0.32059583255071372</v>
      </c>
      <c r="O214" s="509">
        <f t="shared" si="442"/>
        <v>0.54925160175723364</v>
      </c>
      <c r="P214" s="509">
        <f t="shared" si="442"/>
        <v>0.32199936460207751</v>
      </c>
      <c r="Q214" s="509">
        <f t="shared" si="442"/>
        <v>0.21442093622738781</v>
      </c>
      <c r="R214" s="509" t="e">
        <f t="shared" si="442"/>
        <v>#DIV/0!</v>
      </c>
      <c r="S214" s="233">
        <f t="shared" si="442"/>
        <v>0.24458099501557748</v>
      </c>
      <c r="T214" s="233">
        <f t="shared" si="442"/>
        <v>0.27082603876563782</v>
      </c>
      <c r="U214" s="233">
        <f t="shared" si="442"/>
        <v>0.25437875537066318</v>
      </c>
      <c r="V214" s="233">
        <f t="shared" si="442"/>
        <v>0.2453601164436833</v>
      </c>
      <c r="W214" s="233" t="e">
        <f t="shared" si="442"/>
        <v>#DIV/0!</v>
      </c>
      <c r="X214" s="233">
        <f t="shared" si="442"/>
        <v>0.26569432879266247</v>
      </c>
      <c r="Y214" s="233">
        <f t="shared" si="442"/>
        <v>0.25496204477550805</v>
      </c>
      <c r="Z214" s="233">
        <f t="shared" si="442"/>
        <v>0.24109258877786538</v>
      </c>
      <c r="AA214" s="233">
        <f t="shared" si="442"/>
        <v>0.22831615500286168</v>
      </c>
      <c r="AB214" s="80">
        <f t="shared" si="442"/>
        <v>0.24040543242510629</v>
      </c>
      <c r="AC214" s="79">
        <f t="shared" si="442"/>
        <v>0.31473334658259039</v>
      </c>
      <c r="AD214" s="79">
        <f t="shared" si="442"/>
        <v>0.25335986574630276</v>
      </c>
      <c r="AE214" s="79">
        <f t="shared" si="442"/>
        <v>0.24670720525810219</v>
      </c>
      <c r="AF214" s="233">
        <v>0.25</v>
      </c>
      <c r="AG214" s="233">
        <f>AF214</f>
        <v>0.25</v>
      </c>
      <c r="AH214" s="264">
        <f>AG214</f>
        <v>0.25</v>
      </c>
      <c r="AI214" s="28"/>
      <c r="AJ214" s="26"/>
      <c r="AL214" s="26"/>
      <c r="AN214" s="28"/>
    </row>
    <row r="215" spans="2:40" x14ac:dyDescent="0.25">
      <c r="B215" s="7" t="s">
        <v>164</v>
      </c>
      <c r="C215" s="69"/>
      <c r="D215" s="70"/>
      <c r="E215" s="70"/>
      <c r="F215" s="70"/>
      <c r="G215" s="70"/>
      <c r="H215" s="71"/>
      <c r="I215" s="23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3"/>
      <c r="AC215" s="24"/>
      <c r="AD215" s="24"/>
      <c r="AE215" s="24"/>
      <c r="AF215" s="24"/>
      <c r="AG215" s="24"/>
      <c r="AH215" s="25"/>
      <c r="AI215" s="25"/>
      <c r="AJ215" s="23"/>
      <c r="AK215" s="24"/>
      <c r="AL215" s="23"/>
      <c r="AM215" s="24"/>
      <c r="AN215" s="25"/>
    </row>
    <row r="216" spans="2:40" x14ac:dyDescent="0.25">
      <c r="B216" s="1" t="s">
        <v>185</v>
      </c>
      <c r="C216" s="125">
        <v>3.5000000000000003E-2</v>
      </c>
      <c r="D216" s="126">
        <v>3.7499999999999999E-2</v>
      </c>
      <c r="E216" s="126">
        <v>4.4999999999999998E-2</v>
      </c>
      <c r="F216" s="126">
        <v>5.5E-2</v>
      </c>
      <c r="G216" s="126">
        <v>4.7500000000000001E-2</v>
      </c>
      <c r="H216" s="127">
        <v>3.2500000000000001E-2</v>
      </c>
      <c r="I216" s="125"/>
      <c r="J216" s="126"/>
      <c r="K216" s="126"/>
      <c r="L216" s="126"/>
      <c r="M216" s="126"/>
      <c r="N216" s="126"/>
      <c r="O216" s="126"/>
      <c r="P216" s="126"/>
      <c r="Q216" s="126"/>
      <c r="R216" s="126"/>
      <c r="S216" s="126"/>
      <c r="T216" s="126"/>
      <c r="U216" s="126"/>
      <c r="V216" s="126"/>
      <c r="W216" s="126"/>
      <c r="X216" s="126"/>
      <c r="Y216" s="126"/>
      <c r="Z216" s="126"/>
      <c r="AA216" s="126"/>
      <c r="AB216" s="125">
        <v>3.2500000000000001E-2</v>
      </c>
      <c r="AC216" s="126">
        <v>6.5000000000000002E-2</v>
      </c>
      <c r="AH216" s="28"/>
      <c r="AI216" s="28"/>
      <c r="AJ216" s="26"/>
      <c r="AL216" s="26"/>
      <c r="AN216" s="28"/>
    </row>
    <row r="217" spans="2:40" x14ac:dyDescent="0.25">
      <c r="B217" s="1" t="s">
        <v>186</v>
      </c>
      <c r="C217" s="125">
        <v>5.0000000000000001E-3</v>
      </c>
      <c r="D217" s="126">
        <v>7.4999999999999997E-3</v>
      </c>
      <c r="E217" s="126">
        <v>1.4999999999999999E-2</v>
      </c>
      <c r="F217" s="126">
        <v>2.5000000000000001E-2</v>
      </c>
      <c r="G217" s="126">
        <v>1.7500000000000002E-2</v>
      </c>
      <c r="H217" s="127">
        <v>2.5000000000000001E-3</v>
      </c>
      <c r="I217" s="125"/>
      <c r="J217" s="126"/>
      <c r="K217" s="126"/>
      <c r="L217" s="126"/>
      <c r="M217" s="126"/>
      <c r="N217" s="126"/>
      <c r="O217" s="126"/>
      <c r="P217" s="126"/>
      <c r="Q217" s="126"/>
      <c r="R217" s="126"/>
      <c r="S217" s="126"/>
      <c r="T217" s="126"/>
      <c r="U217" s="126"/>
      <c r="V217" s="126"/>
      <c r="W217" s="126"/>
      <c r="X217" s="126"/>
      <c r="Y217" s="126"/>
      <c r="Z217" s="126"/>
      <c r="AA217" s="126"/>
      <c r="AB217" s="125">
        <v>2.5000000000000001E-3</v>
      </c>
      <c r="AC217" s="126">
        <v>3.7499999999999999E-2</v>
      </c>
      <c r="AH217" s="28"/>
      <c r="AI217" s="28"/>
      <c r="AJ217" s="26"/>
      <c r="AL217" s="26"/>
      <c r="AN217" s="28"/>
    </row>
    <row r="218" spans="2:40" x14ac:dyDescent="0.25">
      <c r="B218" s="1" t="s">
        <v>87</v>
      </c>
      <c r="C218" s="125">
        <v>3.5200000000000002E-2</v>
      </c>
      <c r="D218" s="126">
        <v>3.5099999999999999E-2</v>
      </c>
      <c r="E218" s="126">
        <v>3.4599999999999999E-2</v>
      </c>
      <c r="F218" s="126">
        <v>3.56E-2</v>
      </c>
      <c r="G218" s="126">
        <v>3.5900000000000001E-2</v>
      </c>
      <c r="H218" s="127">
        <v>3.5000000000000003E-2</v>
      </c>
      <c r="I218" s="125">
        <v>3.5000000000000003E-2</v>
      </c>
      <c r="J218" s="126">
        <v>3.6799999999999999E-2</v>
      </c>
      <c r="K218" s="126">
        <v>3.4799999999999998E-2</v>
      </c>
      <c r="L218" s="126">
        <v>3.1600000000000003E-2</v>
      </c>
      <c r="M218" s="126"/>
      <c r="N218" s="126">
        <v>3.1300000000000001E-2</v>
      </c>
      <c r="O218" s="126">
        <v>3.15E-2</v>
      </c>
      <c r="AB218" s="125">
        <v>3.39E-2</v>
      </c>
      <c r="AC218" s="300">
        <f t="shared" ref="AC218:AH218" si="443">AC112/AC222</f>
        <v>3.2455444228459591E-2</v>
      </c>
      <c r="AD218" s="300">
        <f t="shared" si="443"/>
        <v>3.5837855019142516E-2</v>
      </c>
      <c r="AE218" s="300">
        <f t="shared" si="443"/>
        <v>3.6043851615791628E-2</v>
      </c>
      <c r="AF218" s="300">
        <f t="shared" si="443"/>
        <v>3.5679505192388918E-2</v>
      </c>
      <c r="AG218" s="300">
        <f t="shared" si="443"/>
        <v>3.5931343914511894E-2</v>
      </c>
      <c r="AH218" s="301">
        <f t="shared" si="443"/>
        <v>3.624655588867165E-2</v>
      </c>
      <c r="AI218" s="28"/>
      <c r="AJ218" s="26"/>
      <c r="AL218" s="26"/>
      <c r="AN218" s="28"/>
    </row>
    <row r="219" spans="2:40" x14ac:dyDescent="0.25">
      <c r="B219" s="44" t="s">
        <v>162</v>
      </c>
      <c r="C219" s="142">
        <f t="shared" ref="C219:H219" si="444">(C112)/C218</f>
        <v>1071199.7159090908</v>
      </c>
      <c r="D219" s="135">
        <f t="shared" si="444"/>
        <v>1085634.1595441594</v>
      </c>
      <c r="E219" s="135">
        <f t="shared" si="444"/>
        <v>1128430.549132948</v>
      </c>
      <c r="F219" s="135">
        <f t="shared" si="444"/>
        <v>1145972.6685393259</v>
      </c>
      <c r="G219" s="135">
        <f t="shared" si="444"/>
        <v>1332729.8328690806</v>
      </c>
      <c r="H219" s="134">
        <f t="shared" si="444"/>
        <v>1578428.5428571429</v>
      </c>
      <c r="I219" s="163"/>
      <c r="J219" s="151"/>
      <c r="K219" s="151"/>
      <c r="L219" s="151"/>
      <c r="M219" s="151"/>
      <c r="N219" s="151"/>
      <c r="O219" s="151"/>
      <c r="AB219" s="142">
        <f>(AB112)/AB218</f>
        <v>1954041.2684365781</v>
      </c>
      <c r="AC219" s="164"/>
      <c r="AD219" s="164"/>
      <c r="AE219" s="164"/>
      <c r="AF219" s="164"/>
      <c r="AG219" s="164"/>
      <c r="AH219" s="165"/>
      <c r="AI219" s="28"/>
      <c r="AJ219" s="26"/>
      <c r="AL219" s="26"/>
      <c r="AN219" s="28"/>
    </row>
    <row r="220" spans="2:40" x14ac:dyDescent="0.25">
      <c r="B220" s="44" t="s">
        <v>161</v>
      </c>
      <c r="C220" s="142"/>
      <c r="D220" s="135"/>
      <c r="E220" s="135">
        <f>AVERAGE(C161:E161)*1000</f>
        <v>1205782.145</v>
      </c>
      <c r="F220" s="135">
        <f>AVERAGE(D161:F161)*1000</f>
        <v>1231691.8536666664</v>
      </c>
      <c r="G220" s="135">
        <f>AVERAGE(E161:G161)*1000</f>
        <v>1333315.6329999999</v>
      </c>
      <c r="H220" s="134">
        <f>AVERAGE(F161:H161)*1000</f>
        <v>1510388.5090000001</v>
      </c>
      <c r="I220" s="163"/>
      <c r="J220" s="151"/>
      <c r="K220" s="151"/>
      <c r="L220" s="151"/>
      <c r="M220" s="151"/>
      <c r="N220" s="151"/>
      <c r="O220" s="151"/>
      <c r="AB220" s="142">
        <f>AVERAGE(AB161,H161,G161)*1000</f>
        <v>1990334.003</v>
      </c>
      <c r="AC220" s="164"/>
      <c r="AD220" s="164"/>
      <c r="AE220" s="164"/>
      <c r="AF220" s="164"/>
      <c r="AG220" s="164"/>
      <c r="AH220" s="165"/>
      <c r="AI220" s="28"/>
      <c r="AJ220" s="26"/>
      <c r="AL220" s="26"/>
      <c r="AN220" s="28"/>
    </row>
    <row r="221" spans="2:40" x14ac:dyDescent="0.25">
      <c r="B221" s="43" t="s">
        <v>160</v>
      </c>
      <c r="C221" s="142"/>
      <c r="D221" s="135"/>
      <c r="E221" s="79">
        <f>(E220/E219)-1</f>
        <v>6.8547945574928493E-2</v>
      </c>
      <c r="F221" s="79">
        <f t="shared" ref="F221:AB221" si="445">(F220/F219)-1</f>
        <v>7.4800374808763559E-2</v>
      </c>
      <c r="G221" s="79">
        <f t="shared" si="445"/>
        <v>4.3954904923104721E-4</v>
      </c>
      <c r="H221" s="129">
        <f t="shared" si="445"/>
        <v>-4.3106185683884246E-2</v>
      </c>
      <c r="I221" s="77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80">
        <f t="shared" si="445"/>
        <v>1.8573166877104752E-2</v>
      </c>
      <c r="AC221" s="164"/>
      <c r="AD221" s="164"/>
      <c r="AE221" s="164"/>
      <c r="AF221" s="164"/>
      <c r="AG221" s="164"/>
      <c r="AH221" s="165"/>
      <c r="AI221" s="28"/>
      <c r="AJ221" s="26"/>
      <c r="AL221" s="26"/>
      <c r="AN221" s="28"/>
    </row>
    <row r="222" spans="2:40" x14ac:dyDescent="0.25">
      <c r="B222" s="44" t="s">
        <v>163</v>
      </c>
      <c r="C222" s="142"/>
      <c r="D222" s="135">
        <f>AVERAGE((D169+D171+D172+D179+D166+D186+D188),(C169+C171+C172+C179+C166+C186+C188))*1000</f>
        <v>1131807.1854999999</v>
      </c>
      <c r="E222" s="135">
        <f>AVERAGE((E169+E171+E172+E179+E166+E186+E188),(D169+D171+D172+D179+D166+D186+D188))*1000</f>
        <v>1162399.9985</v>
      </c>
      <c r="F222" s="135">
        <f>AVERAGE((F169+F171+F172+F179+F166+F186+F188),(E169+E171+E172+E179+E166+E186+E188))*1000</f>
        <v>1193870.1349999998</v>
      </c>
      <c r="G222" s="135">
        <f>AVERAGE((G169+G171+G172+G179+G166+G186+G188),(F169+F171+F172+F179+F166+F186+F188))*1000</f>
        <v>1327486.8774999999</v>
      </c>
      <c r="H222" s="134">
        <f>AVERAGE((H169+H171+H172+H179+H166+H186+H188),(G169+G171+G172+G179+G166+G186+G188))*1000</f>
        <v>1570099.4809999999</v>
      </c>
      <c r="I222" s="163"/>
      <c r="J222" s="151"/>
      <c r="K222" s="151"/>
      <c r="L222" s="151"/>
      <c r="M222" s="151"/>
      <c r="N222" s="151"/>
      <c r="O222" s="151"/>
      <c r="AB222" s="142">
        <f>AVERAGE((AB169+AB171+AB172+AB179+AB166),(H169+H171+H172+H179+H166))*1000</f>
        <v>2071904.9960000003</v>
      </c>
      <c r="AC222" s="135">
        <f t="shared" ref="AC222:AH222" si="446">AVERAGE((AC169+AC171+AC172+AC179+AC166+AC186+AC188),(AB169+AB171+AB172+AB179+AB166+AB186+AB188))*1000</f>
        <v>2637903.5562074003</v>
      </c>
      <c r="AD222" s="135">
        <f t="shared" si="446"/>
        <v>2767284.219912726</v>
      </c>
      <c r="AE222" s="135">
        <f t="shared" si="446"/>
        <v>2908395.5212488398</v>
      </c>
      <c r="AF222" s="135">
        <f t="shared" si="446"/>
        <v>3052824.01169394</v>
      </c>
      <c r="AG222" s="135">
        <f t="shared" si="446"/>
        <v>3203450.7636500956</v>
      </c>
      <c r="AH222" s="134">
        <f t="shared" si="446"/>
        <v>3357595.0799561925</v>
      </c>
      <c r="AI222" s="28"/>
      <c r="AJ222" s="26"/>
      <c r="AL222" s="26"/>
      <c r="AN222" s="28"/>
    </row>
    <row r="223" spans="2:40" x14ac:dyDescent="0.25">
      <c r="B223" s="43" t="s">
        <v>160</v>
      </c>
      <c r="C223" s="142"/>
      <c r="D223" s="168">
        <f>(D222/D219)-1</f>
        <v>4.2530925864775471E-2</v>
      </c>
      <c r="E223" s="136">
        <f t="shared" ref="E223:H223" si="447">(E222/E219)-1</f>
        <v>3.0103269885021211E-2</v>
      </c>
      <c r="F223" s="136">
        <f t="shared" si="447"/>
        <v>4.1796342771180273E-2</v>
      </c>
      <c r="G223" s="136">
        <f t="shared" si="447"/>
        <v>-3.9339971536419549E-3</v>
      </c>
      <c r="H223" s="137">
        <f t="shared" si="447"/>
        <v>-5.2768064128303482E-3</v>
      </c>
      <c r="I223" s="163"/>
      <c r="J223" s="151"/>
      <c r="K223" s="151"/>
      <c r="L223" s="151"/>
      <c r="M223" s="151"/>
      <c r="N223" s="151"/>
      <c r="O223" s="151"/>
      <c r="AB223" s="80">
        <f t="shared" ref="AB223" si="448">(AB222/AB219)-1</f>
        <v>6.0317931595029517E-2</v>
      </c>
      <c r="AC223" s="164"/>
      <c r="AD223" s="164"/>
      <c r="AE223" s="164"/>
      <c r="AF223" s="164"/>
      <c r="AG223" s="164"/>
      <c r="AH223" s="165"/>
      <c r="AI223" s="28"/>
      <c r="AJ223" s="26"/>
      <c r="AL223" s="26"/>
      <c r="AN223" s="28"/>
    </row>
    <row r="224" spans="2:40" x14ac:dyDescent="0.25">
      <c r="B224" s="132" t="s">
        <v>165</v>
      </c>
      <c r="C224" s="142"/>
      <c r="D224" s="167">
        <f>D98/((D179+C179)*1000/2)</f>
        <v>5.2108356869852525E-2</v>
      </c>
      <c r="E224" s="167">
        <f>E98/((E179+D179)*1000/2)</f>
        <v>5.140658230010553E-2</v>
      </c>
      <c r="F224" s="167">
        <f>F98/((F179+E179)*1000/2)</f>
        <v>5.3125759969152309E-2</v>
      </c>
      <c r="G224" s="167">
        <f>G98/((G179+F179)*1000/2)</f>
        <v>5.7917282061547351E-2</v>
      </c>
      <c r="H224" s="169">
        <f>H98/((H179+G179)*1000/2)</f>
        <v>5.5292145021657968E-2</v>
      </c>
      <c r="I224" s="163"/>
      <c r="J224" s="151"/>
      <c r="K224" s="151"/>
      <c r="L224" s="151"/>
      <c r="M224" s="151"/>
      <c r="N224" s="126">
        <v>4.7800000000000002E-2</v>
      </c>
      <c r="O224" s="126">
        <v>4.58E-2</v>
      </c>
      <c r="P224" s="151"/>
      <c r="Q224" s="151"/>
      <c r="R224" s="151"/>
      <c r="S224" s="151"/>
      <c r="T224" s="151"/>
      <c r="U224" s="151"/>
      <c r="V224" s="151"/>
      <c r="W224" s="151"/>
      <c r="X224" s="151"/>
      <c r="Y224" s="151"/>
      <c r="Z224" s="151"/>
      <c r="AA224" s="151"/>
      <c r="AB224" s="205">
        <f>AB98/((AB179+H179)*1000/2)</f>
        <v>5.067603238689241E-2</v>
      </c>
      <c r="AC224" s="203">
        <f>5.1%*AI224</f>
        <v>5.0999999999999997E-2</v>
      </c>
      <c r="AD224" s="203">
        <f>5.5%*AI224</f>
        <v>5.5E-2</v>
      </c>
      <c r="AE224" s="203">
        <f>5.65%*AI224</f>
        <v>5.6500000000000002E-2</v>
      </c>
      <c r="AF224" s="203">
        <f>5.6%*AI224</f>
        <v>5.5999999999999994E-2</v>
      </c>
      <c r="AG224" s="203">
        <f>5.7%*AI224</f>
        <v>5.7000000000000002E-2</v>
      </c>
      <c r="AH224" s="216">
        <f>AG224*AI224</f>
        <v>5.7000000000000002E-2</v>
      </c>
      <c r="AI224" s="501">
        <f t="shared" ref="AI224:AI226" si="449">IF($B$1="Base",AL224,IF($B$1="Bear",AM224,AN224))</f>
        <v>1</v>
      </c>
      <c r="AJ224" s="26"/>
      <c r="AL224" s="497">
        <v>1</v>
      </c>
      <c r="AM224" s="504">
        <v>1</v>
      </c>
      <c r="AN224" s="505">
        <v>1</v>
      </c>
    </row>
    <row r="225" spans="2:40" x14ac:dyDescent="0.25">
      <c r="B225" s="132" t="s">
        <v>27</v>
      </c>
      <c r="C225" s="142"/>
      <c r="D225" s="167">
        <f>D102/((D169+C169)*1000/2)</f>
        <v>1.739611959002928E-2</v>
      </c>
      <c r="E225" s="167">
        <f>E102/((E169+D169)*1000/2)</f>
        <v>2.0416763985520475E-2</v>
      </c>
      <c r="F225" s="167">
        <f>F102/((F169+E169)*1000/2)</f>
        <v>2.1895379059015847E-2</v>
      </c>
      <c r="G225" s="167">
        <f>G102/((G169+F169)*1000/2)</f>
        <v>2.5462659587243947E-2</v>
      </c>
      <c r="H225" s="169">
        <f>H102/((H169+G169)*1000/2)</f>
        <v>1.9603211551547144E-2</v>
      </c>
      <c r="I225" s="163"/>
      <c r="J225" s="151"/>
      <c r="K225" s="151"/>
      <c r="L225" s="151"/>
      <c r="M225" s="151"/>
      <c r="N225" s="126">
        <v>1.7600000000000001E-2</v>
      </c>
      <c r="O225" s="126">
        <v>2.06E-2</v>
      </c>
      <c r="AB225" s="205">
        <f>AB102/((AB169+H169)*1000/2)</f>
        <v>1.5636348796223588E-2</v>
      </c>
      <c r="AC225" s="204">
        <f>4.5%*AI225</f>
        <v>4.4999999999999998E-2</v>
      </c>
      <c r="AD225" s="204">
        <f>3%*AI225</f>
        <v>0.03</v>
      </c>
      <c r="AE225" s="204">
        <f>3%*AI225</f>
        <v>0.03</v>
      </c>
      <c r="AF225" s="204">
        <f>2.82%*AI225</f>
        <v>2.8199999999999999E-2</v>
      </c>
      <c r="AG225" s="204">
        <f>2.815%*AI225</f>
        <v>2.8149999999999998E-2</v>
      </c>
      <c r="AH225" s="210">
        <f>2.815%*AI225</f>
        <v>2.8149999999999998E-2</v>
      </c>
      <c r="AI225" s="501">
        <f t="shared" si="449"/>
        <v>1</v>
      </c>
      <c r="AJ225" s="26"/>
      <c r="AL225" s="497">
        <v>1</v>
      </c>
      <c r="AM225" s="504">
        <v>1</v>
      </c>
      <c r="AN225" s="505">
        <v>1</v>
      </c>
    </row>
    <row r="226" spans="2:40" x14ac:dyDescent="0.25">
      <c r="B226" s="132" t="s">
        <v>166</v>
      </c>
      <c r="C226" s="142"/>
      <c r="D226" s="167">
        <f>D100/((D166+D166)*1000/2)</f>
        <v>2.685497377702727E-3</v>
      </c>
      <c r="E226" s="167">
        <f>E100/((E166+E166)*1000/2)</f>
        <v>6.7036430463534701E-3</v>
      </c>
      <c r="F226" s="167">
        <f>F100/((F166+F166)*1000/2)</f>
        <v>8.231091222858606E-3</v>
      </c>
      <c r="G226" s="167">
        <f>G100/((G166+G166)*1000/2)</f>
        <v>1.1929237525273802E-2</v>
      </c>
      <c r="H226" s="169">
        <f>H100/((H166+H166)*1000/2)</f>
        <v>2.6339845076247658E-3</v>
      </c>
      <c r="I226" s="163"/>
      <c r="J226" s="151"/>
      <c r="K226" s="151"/>
      <c r="L226" s="151"/>
      <c r="M226" s="151"/>
      <c r="N226" s="126">
        <v>1.4E-3</v>
      </c>
      <c r="O226" s="126">
        <v>5.5999999999999999E-3</v>
      </c>
      <c r="AB226" s="205">
        <f>AB100/((AB166+H166)*1000/2)</f>
        <v>1.2364132478277919E-3</v>
      </c>
      <c r="AC226" s="204">
        <f>(AC228+0.004)*AI226</f>
        <v>5.5999999999999999E-3</v>
      </c>
      <c r="AD226" s="204">
        <f>(AD228+0.0035)*AI226</f>
        <v>6.6E-3</v>
      </c>
      <c r="AE226" s="204">
        <f>(AE228+0.003)*AI226</f>
        <v>7.7999999999999996E-3</v>
      </c>
      <c r="AF226" s="204">
        <f>AE226*AI226</f>
        <v>7.7999999999999996E-3</v>
      </c>
      <c r="AG226" s="204">
        <f>(AG228+0.002)*AI226</f>
        <v>9.4999999999999998E-3</v>
      </c>
      <c r="AH226" s="210">
        <f>(AH228+0.002)*AI226</f>
        <v>9.0999999999999935E-3</v>
      </c>
      <c r="AI226" s="501">
        <f t="shared" si="449"/>
        <v>1</v>
      </c>
      <c r="AJ226" s="26"/>
      <c r="AL226" s="497">
        <v>1</v>
      </c>
      <c r="AM226" s="504">
        <v>1</v>
      </c>
      <c r="AN226" s="505">
        <v>1</v>
      </c>
    </row>
    <row r="227" spans="2:40" x14ac:dyDescent="0.25">
      <c r="B227" s="132" t="s">
        <v>167</v>
      </c>
      <c r="C227" s="142"/>
      <c r="D227" s="167">
        <f>SUM(D98,D100,D102)/D222</f>
        <v>3.9280616495078795E-2</v>
      </c>
      <c r="E227" s="167">
        <f>SUM(E98,E100,E102)/E222</f>
        <v>3.9372205831949683E-2</v>
      </c>
      <c r="F227" s="167">
        <f>SUM(F98,F100,F102)/F222</f>
        <v>4.0904805781074347E-2</v>
      </c>
      <c r="G227" s="167">
        <f>SUM(G98,G100,G102)/G222</f>
        <v>4.5387265984480514E-2</v>
      </c>
      <c r="H227" s="169">
        <f>SUM(H98,H100,H102)/H222</f>
        <v>4.0204458229484638E-2</v>
      </c>
      <c r="I227" s="163"/>
      <c r="J227" s="151"/>
      <c r="K227" s="151"/>
      <c r="L227" s="151"/>
      <c r="M227" s="151"/>
      <c r="N227" s="126">
        <v>3.3000000000000002E-2</v>
      </c>
      <c r="O227" s="126">
        <v>3.4700000000000002E-2</v>
      </c>
      <c r="AB227" s="205">
        <f t="shared" ref="AB227:AH227" si="450">SUM(AB98,AB100,AB102)/AB222</f>
        <v>3.4093261581188826E-2</v>
      </c>
      <c r="AC227" s="151">
        <f t="shared" si="450"/>
        <v>3.5318469624667143E-2</v>
      </c>
      <c r="AD227" s="151">
        <f t="shared" si="450"/>
        <v>4.0445910127291929E-2</v>
      </c>
      <c r="AE227" s="151">
        <f t="shared" si="450"/>
        <v>4.1911532559052569E-2</v>
      </c>
      <c r="AF227" s="151">
        <f t="shared" si="450"/>
        <v>4.3063308858092557E-2</v>
      </c>
      <c r="AG227" s="151">
        <f t="shared" si="450"/>
        <v>4.372155913548928E-2</v>
      </c>
      <c r="AH227" s="152">
        <f t="shared" si="450"/>
        <v>4.3641681531270189E-2</v>
      </c>
      <c r="AI227" s="28"/>
      <c r="AJ227" s="26"/>
      <c r="AL227" s="26"/>
      <c r="AN227" s="28"/>
    </row>
    <row r="228" spans="2:40" x14ac:dyDescent="0.25">
      <c r="B228" s="187" t="s">
        <v>169</v>
      </c>
      <c r="C228" s="188"/>
      <c r="D228" s="189">
        <f>-D106/((D192+C192)*1000/2)</f>
        <v>4.6512017323015924E-3</v>
      </c>
      <c r="E228" s="189">
        <f>-E106/((E192+D192)*1000/2)</f>
        <v>4.5050216134067079E-3</v>
      </c>
      <c r="F228" s="189">
        <f>-F106/((F192+E192)*1000/2)</f>
        <v>5.6263392366739471E-3</v>
      </c>
      <c r="G228" s="189">
        <f>-G106/((G192+F192)*1000/2)</f>
        <v>8.4493989610638382E-3</v>
      </c>
      <c r="H228" s="190">
        <f>-H106/((H192+G192)*1000/2)</f>
        <v>4.0886983615657877E-3</v>
      </c>
      <c r="I228" s="192"/>
      <c r="J228" s="191"/>
      <c r="K228" s="191"/>
      <c r="L228" s="191"/>
      <c r="M228" s="191"/>
      <c r="N228" s="130">
        <v>1.4E-3</v>
      </c>
      <c r="O228" s="130">
        <v>1.4E-3</v>
      </c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206">
        <f>-AB106/((AB192+H192)*1000/2)</f>
        <v>1.3613866428155356E-3</v>
      </c>
      <c r="AC228" s="289">
        <f>0.16%*AI228</f>
        <v>1.6000000000000001E-3</v>
      </c>
      <c r="AD228" s="289">
        <f>0.31%*AI228</f>
        <v>3.0999999999999999E-3</v>
      </c>
      <c r="AE228" s="289">
        <f>0.48%*AI228</f>
        <v>4.7999999999999996E-3</v>
      </c>
      <c r="AF228" s="289">
        <f>0.7%*AI228</f>
        <v>6.9999999999999993E-3</v>
      </c>
      <c r="AG228" s="289">
        <f>0.75%*AI228</f>
        <v>7.4999999999999997E-3</v>
      </c>
      <c r="AH228" s="290">
        <f>(AG228-(($AE$224-$AF$224)*0.8))*AI228</f>
        <v>7.0999999999999935E-3</v>
      </c>
      <c r="AI228" s="500">
        <f t="shared" ref="AI228:AI229" si="451">IF($B$1="Base",AL228,IF($B$1="Bear",AM228,AN228))</f>
        <v>1</v>
      </c>
      <c r="AJ228" s="42"/>
      <c r="AK228" s="9"/>
      <c r="AL228" s="498">
        <v>1</v>
      </c>
      <c r="AM228" s="502">
        <v>2</v>
      </c>
      <c r="AN228" s="503">
        <v>0.8</v>
      </c>
    </row>
    <row r="229" spans="2:40" x14ac:dyDescent="0.25">
      <c r="B229" s="132" t="s">
        <v>170</v>
      </c>
      <c r="C229" s="142"/>
      <c r="D229" s="168"/>
      <c r="E229" s="136"/>
      <c r="F229" s="136"/>
      <c r="G229" s="136"/>
      <c r="H229" s="169"/>
      <c r="I229" s="163"/>
      <c r="J229" s="151"/>
      <c r="K229" s="151"/>
      <c r="L229" s="151"/>
      <c r="M229" s="151"/>
      <c r="N229" s="126">
        <v>1.95E-2</v>
      </c>
      <c r="O229" s="126">
        <v>2.009E-2</v>
      </c>
      <c r="AB229" s="205">
        <f>-AB108/((AB197+H197)*1000/2)</f>
        <v>1.7584551960314797E-2</v>
      </c>
      <c r="AC229" s="203">
        <f>2.009%*AI229</f>
        <v>2.009E-2</v>
      </c>
      <c r="AD229" s="203">
        <f>2.049%*AI229</f>
        <v>2.0489999999999998E-2</v>
      </c>
      <c r="AE229" s="203">
        <f>2.089%*AI229</f>
        <v>2.0889999999999999E-2</v>
      </c>
      <c r="AF229" s="203">
        <f>2.129%*AI229</f>
        <v>2.129E-2</v>
      </c>
      <c r="AG229" s="203">
        <f>2.169%*AI229</f>
        <v>2.1690000000000001E-2</v>
      </c>
      <c r="AH229" s="216">
        <f>2.169%*AI229</f>
        <v>2.1690000000000001E-2</v>
      </c>
      <c r="AI229" s="499">
        <f t="shared" si="451"/>
        <v>1</v>
      </c>
      <c r="AJ229" s="26"/>
      <c r="AL229" s="497">
        <v>1</v>
      </c>
      <c r="AM229" s="504">
        <v>2</v>
      </c>
      <c r="AN229" s="505">
        <v>0.8</v>
      </c>
    </row>
    <row r="230" spans="2:40" x14ac:dyDescent="0.25">
      <c r="B230" s="132" t="s">
        <v>171</v>
      </c>
      <c r="C230" s="142"/>
      <c r="D230" s="167">
        <f>-D104/((D191+C191)*1000/2)</f>
        <v>5.9053541906170619E-3</v>
      </c>
      <c r="E230" s="167">
        <f>-E104/((E191+D191)*1000/2)</f>
        <v>6.0834431017809127E-3</v>
      </c>
      <c r="F230" s="167">
        <f>-F104/((F191+E191)*1000/2)</f>
        <v>7.1569231862542854E-3</v>
      </c>
      <c r="G230" s="167">
        <f>-G104/((G191+F191)*1000/2)</f>
        <v>9.9472916173496632E-3</v>
      </c>
      <c r="H230" s="169">
        <f>-H104/((H191+G191)*1000/2)</f>
        <v>5.2458266096617823E-3</v>
      </c>
      <c r="I230" s="163"/>
      <c r="J230" s="151"/>
      <c r="K230" s="151"/>
      <c r="L230" s="151"/>
      <c r="M230" s="151"/>
      <c r="N230" s="126">
        <v>2.3E-3</v>
      </c>
      <c r="O230" s="126">
        <v>4.3E-3</v>
      </c>
      <c r="AB230" s="205">
        <f>-AB104/((AB191+H191)*1000/2)</f>
        <v>2.147798469522148E-3</v>
      </c>
      <c r="AC230" s="204"/>
      <c r="AD230" s="204"/>
      <c r="AE230" s="204"/>
      <c r="AF230" s="204"/>
      <c r="AG230" s="204"/>
      <c r="AH230" s="210"/>
      <c r="AI230" s="324"/>
      <c r="AJ230" s="26"/>
      <c r="AL230" s="326"/>
      <c r="AN230" s="28"/>
    </row>
    <row r="231" spans="2:40" x14ac:dyDescent="0.25">
      <c r="B231" s="187" t="s">
        <v>112</v>
      </c>
      <c r="C231" s="188"/>
      <c r="D231" s="189">
        <f>D227-D230</f>
        <v>3.3375262304461736E-2</v>
      </c>
      <c r="E231" s="189">
        <f>E227-E230</f>
        <v>3.3288762730168772E-2</v>
      </c>
      <c r="F231" s="189">
        <f>F227-F230</f>
        <v>3.3747882594820061E-2</v>
      </c>
      <c r="G231" s="189">
        <f>G227-G230</f>
        <v>3.5439974367130853E-2</v>
      </c>
      <c r="H231" s="190">
        <f>H227-H230</f>
        <v>3.4958631619822857E-2</v>
      </c>
      <c r="I231" s="192"/>
      <c r="J231" s="191"/>
      <c r="K231" s="191"/>
      <c r="L231" s="191"/>
      <c r="M231" s="191"/>
      <c r="N231" s="427">
        <f>N227-N230</f>
        <v>3.0700000000000002E-2</v>
      </c>
      <c r="O231" s="427">
        <f>O227-O230</f>
        <v>3.0400000000000003E-2</v>
      </c>
      <c r="P231" s="191"/>
      <c r="Q231" s="191"/>
      <c r="R231" s="191"/>
      <c r="S231" s="191"/>
      <c r="T231" s="191"/>
      <c r="U231" s="191"/>
      <c r="V231" s="191"/>
      <c r="W231" s="191"/>
      <c r="X231" s="191"/>
      <c r="Y231" s="191"/>
      <c r="Z231" s="191"/>
      <c r="AA231" s="191"/>
      <c r="AB231" s="206">
        <f t="shared" ref="AB231:AH231" si="452">AB227-AB230</f>
        <v>3.1945463111666676E-2</v>
      </c>
      <c r="AC231" s="191">
        <f t="shared" si="452"/>
        <v>3.5318469624667143E-2</v>
      </c>
      <c r="AD231" s="191">
        <f t="shared" si="452"/>
        <v>4.0445910127291929E-2</v>
      </c>
      <c r="AE231" s="191">
        <f t="shared" si="452"/>
        <v>4.1911532559052569E-2</v>
      </c>
      <c r="AF231" s="191">
        <f t="shared" si="452"/>
        <v>4.3063308858092557E-2</v>
      </c>
      <c r="AG231" s="191">
        <f t="shared" si="452"/>
        <v>4.372155913548928E-2</v>
      </c>
      <c r="AH231" s="277">
        <f t="shared" si="452"/>
        <v>4.3641681531270189E-2</v>
      </c>
      <c r="AI231" s="29"/>
      <c r="AJ231" s="42"/>
      <c r="AK231" s="9"/>
      <c r="AL231" s="42"/>
      <c r="AM231" s="9"/>
      <c r="AN231" s="29"/>
    </row>
    <row r="232" spans="2:40" x14ac:dyDescent="0.25">
      <c r="B232" s="7" t="s">
        <v>88</v>
      </c>
      <c r="C232" s="69"/>
      <c r="D232" s="70"/>
      <c r="E232" s="70"/>
      <c r="F232" s="70"/>
      <c r="G232" s="70"/>
      <c r="H232" s="71"/>
      <c r="I232" s="23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3"/>
      <c r="AC232" s="24"/>
      <c r="AD232" s="24"/>
      <c r="AE232" s="24"/>
      <c r="AF232" s="24"/>
      <c r="AG232" s="24"/>
      <c r="AH232" s="25"/>
      <c r="AI232" s="25"/>
      <c r="AJ232" s="23"/>
      <c r="AK232" s="24"/>
      <c r="AL232" s="23"/>
      <c r="AM232" s="24"/>
      <c r="AN232" s="25"/>
    </row>
    <row r="233" spans="2:40" x14ac:dyDescent="0.25">
      <c r="B233" s="1" t="s">
        <v>196</v>
      </c>
      <c r="C233" s="77">
        <f t="shared" ref="C233:L233" si="453">C179/C192</f>
        <v>0.74111186680188557</v>
      </c>
      <c r="D233" s="76">
        <f t="shared" si="453"/>
        <v>0.71335713351242802</v>
      </c>
      <c r="E233" s="76">
        <f t="shared" si="453"/>
        <v>0.70907416621571806</v>
      </c>
      <c r="F233" s="76">
        <f t="shared" si="453"/>
        <v>0.71351127271650638</v>
      </c>
      <c r="G233" s="76">
        <f t="shared" si="453"/>
        <v>0.74354162683276326</v>
      </c>
      <c r="H233" s="124">
        <f t="shared" si="453"/>
        <v>0.72481413353931157</v>
      </c>
      <c r="I233" s="77">
        <f t="shared" si="453"/>
        <v>0.68817948868617151</v>
      </c>
      <c r="J233" s="76">
        <f t="shared" si="453"/>
        <v>0.65473858764226278</v>
      </c>
      <c r="K233" s="76">
        <f t="shared" si="453"/>
        <v>0.59084782628630172</v>
      </c>
      <c r="L233" s="76">
        <f t="shared" si="453"/>
        <v>0.55801506319461447</v>
      </c>
      <c r="M233" s="76"/>
      <c r="N233" s="76">
        <f>N179/N192</f>
        <v>0.57049558373031162</v>
      </c>
      <c r="O233" s="76">
        <f>O179/O192</f>
        <v>0.61712857011603217</v>
      </c>
      <c r="P233" s="76">
        <f>P179/P192</f>
        <v>0.62138082454031085</v>
      </c>
      <c r="Q233" s="76">
        <f>Q179/Q192</f>
        <v>0.64616556124348457</v>
      </c>
      <c r="R233" s="76"/>
      <c r="S233" s="76">
        <f>S179/S192</f>
        <v>0.65520436903560697</v>
      </c>
      <c r="T233" s="76">
        <f>T179/T192</f>
        <v>0.66248926140324227</v>
      </c>
      <c r="U233" s="76">
        <f>U179/U192</f>
        <v>0.66851512049947259</v>
      </c>
      <c r="V233" s="76">
        <f>V179/V192</f>
        <v>0.67649356247271641</v>
      </c>
      <c r="W233" s="76"/>
      <c r="X233" s="76">
        <f t="shared" ref="X233:AH233" si="454">X179/X192</f>
        <v>0.68700373276214566</v>
      </c>
      <c r="Y233" s="76">
        <f t="shared" si="454"/>
        <v>0.69598454051213443</v>
      </c>
      <c r="Z233" s="76">
        <f t="shared" si="454"/>
        <v>0.70477593693654272</v>
      </c>
      <c r="AA233" s="76">
        <f t="shared" si="454"/>
        <v>0.70543817813814957</v>
      </c>
      <c r="AB233" s="77">
        <f t="shared" si="454"/>
        <v>0.55801506319461447</v>
      </c>
      <c r="AC233" s="76">
        <f t="shared" si="454"/>
        <v>0.64616556124348457</v>
      </c>
      <c r="AD233" s="76">
        <f t="shared" si="454"/>
        <v>0.67649356247271641</v>
      </c>
      <c r="AE233" s="76">
        <f t="shared" si="454"/>
        <v>0.70543817813814957</v>
      </c>
      <c r="AF233" s="76">
        <f t="shared" si="454"/>
        <v>0.691364032108018</v>
      </c>
      <c r="AG233" s="76">
        <f t="shared" si="454"/>
        <v>0.68723049866627139</v>
      </c>
      <c r="AH233" s="124">
        <f t="shared" si="454"/>
        <v>0.68299756237402698</v>
      </c>
      <c r="AI233" s="28"/>
      <c r="AJ233" s="26"/>
      <c r="AL233" s="26"/>
      <c r="AN233" s="28"/>
    </row>
    <row r="235" spans="2:40" x14ac:dyDescent="0.25">
      <c r="B235" s="27" t="s">
        <v>291</v>
      </c>
      <c r="C235" s="76">
        <f t="shared" ref="C235:L235" si="455">-(C133-C143-C149-C148)/(C96+C118)</f>
        <v>0.63249721741367615</v>
      </c>
      <c r="D235" s="76">
        <f t="shared" si="455"/>
        <v>0.6293162076715515</v>
      </c>
      <c r="E235" s="76">
        <f t="shared" si="455"/>
        <v>0.60843175671145744</v>
      </c>
      <c r="F235" s="76">
        <f t="shared" si="455"/>
        <v>0.6019389131005437</v>
      </c>
      <c r="G235" s="76">
        <f t="shared" si="455"/>
        <v>0.6497973247445723</v>
      </c>
      <c r="H235" s="76">
        <f t="shared" si="455"/>
        <v>0.65004749567978914</v>
      </c>
      <c r="I235" s="76">
        <f t="shared" si="455"/>
        <v>0.6515531062124249</v>
      </c>
      <c r="J235" s="76">
        <f t="shared" si="455"/>
        <v>0.69786017572623704</v>
      </c>
      <c r="K235" s="76">
        <f t="shared" si="455"/>
        <v>0.67515722165618519</v>
      </c>
      <c r="L235" s="76">
        <f t="shared" si="455"/>
        <v>0.73607172865849013</v>
      </c>
      <c r="M235" s="76"/>
      <c r="N235" s="76">
        <f>-(N133-N143-N149-N148)/(N96+N118)</f>
        <v>0.72071183095716085</v>
      </c>
      <c r="O235" s="76">
        <f>-(O133-O143-O149-O148)/(O96+O118)</f>
        <v>0.78370154390965274</v>
      </c>
      <c r="P235" s="76">
        <f>-(P133-P143-P149-P148)/(P96+P118)</f>
        <v>0.69075347454075586</v>
      </c>
      <c r="Q235" s="76">
        <f>-(Q133-Q143-Q149-Q148)/(Q96+Q118)</f>
        <v>0.6209608213302622</v>
      </c>
      <c r="R235" s="76"/>
      <c r="S235" s="76">
        <f>-(S133-S143-S149-S148)/(S96+S118)</f>
        <v>0.62856700751873762</v>
      </c>
      <c r="T235" s="76">
        <f>-(T133-T143-T149-T148)/(T96+T118)</f>
        <v>0.64635562977588279</v>
      </c>
      <c r="U235" s="76">
        <f>-(U133-U143-U149-U148)/(U96+U118)</f>
        <v>0.63648515282397244</v>
      </c>
      <c r="V235" s="76">
        <f>-(V133-V143-V149-V148)/(V96+V118)</f>
        <v>0.63450027147833854</v>
      </c>
      <c r="W235" s="76"/>
      <c r="X235" s="76">
        <f t="shared" ref="X235:AH235" si="456">-(X133-X143-X149-X148)/(X96+X118)</f>
        <v>0.62659221803126031</v>
      </c>
      <c r="Y235" s="76">
        <f t="shared" si="456"/>
        <v>0.61936847496176151</v>
      </c>
      <c r="Z235" s="76">
        <f t="shared" si="456"/>
        <v>0.60900077673173125</v>
      </c>
      <c r="AA235" s="76">
        <f t="shared" si="456"/>
        <v>0.60241178615808255</v>
      </c>
      <c r="AB235" s="76">
        <f t="shared" si="456"/>
        <v>0.6925423034615672</v>
      </c>
      <c r="AC235" s="76">
        <f t="shared" si="456"/>
        <v>0.69952493183442122</v>
      </c>
      <c r="AD235" s="76">
        <f t="shared" si="456"/>
        <v>0.63643685804506567</v>
      </c>
      <c r="AE235" s="76">
        <f t="shared" si="456"/>
        <v>0.61408333956594285</v>
      </c>
      <c r="AF235" s="76">
        <f t="shared" si="456"/>
        <v>0.59910672343520432</v>
      </c>
      <c r="AG235" s="76">
        <f t="shared" si="456"/>
        <v>0.5863301773330768</v>
      </c>
      <c r="AH235" s="76">
        <f t="shared" si="456"/>
        <v>0.58006961935807533</v>
      </c>
    </row>
  </sheetData>
  <mergeCells count="9">
    <mergeCell ref="AL2:AN2"/>
    <mergeCell ref="B2:B3"/>
    <mergeCell ref="C2:H2"/>
    <mergeCell ref="AJ2:AK2"/>
    <mergeCell ref="AB2:AH2"/>
    <mergeCell ref="I2:L2"/>
    <mergeCell ref="N2:Q2"/>
    <mergeCell ref="S2:V2"/>
    <mergeCell ref="X2:AA2"/>
  </mergeCells>
  <dataValidations count="1">
    <dataValidation type="list" allowBlank="1" showInputMessage="1" showErrorMessage="1" sqref="B1" xr:uid="{A2887FEC-56E9-4D2F-B890-CAD68EDB7A21}">
      <formula1>$AL$3:$AN$3</formula1>
    </dataValidation>
  </dataValidations>
  <hyperlinks>
    <hyperlink ref="AU2" r:id="rId1" xr:uid="{1BA021D2-023C-40F7-BF11-3E9D647E5FEB}"/>
  </hyperlinks>
  <pageMargins left="0.7" right="0.7" top="0.75" bottom="0.75" header="0.3" footer="0.3"/>
  <pageSetup scale="33" orientation="portrait" verticalDpi="0" r:id="rId2"/>
  <rowBreaks count="1" manualBreakCount="1">
    <brk id="159" max="16383" man="1"/>
  </rowBreaks>
  <colBreaks count="1" manualBreakCount="1">
    <brk id="40" max="1048575" man="1"/>
  </colBreaks>
  <ignoredErrors>
    <ignoredError sqref="AB96 AB98 AB100 AB102 AB104 AB106 AB108 AB110:AB112 AB114 AB116 AB118 AB120 AB122 AB124 AB126:AB128 AB130 AB132:AB133 AB135 AB141 AB143:AB150 AB152:AB153 AB155 AB157:AB158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0CA0-23EE-4CB5-8DBC-DA5061CFA2E7}">
  <dimension ref="B6:O34"/>
  <sheetViews>
    <sheetView showGridLines="0" zoomScale="85" zoomScaleNormal="85" workbookViewId="0">
      <selection activeCell="H38" sqref="H38"/>
    </sheetView>
  </sheetViews>
  <sheetFormatPr defaultRowHeight="13.2" x14ac:dyDescent="0.25"/>
  <cols>
    <col min="1" max="1" width="2.77734375" style="1" customWidth="1"/>
    <col min="2" max="2" width="34" style="1" bestFit="1" customWidth="1"/>
    <col min="3" max="3" width="14.33203125" style="1" bestFit="1" customWidth="1"/>
    <col min="4" max="4" width="17.5546875" style="1" bestFit="1" customWidth="1"/>
    <col min="5" max="5" width="18.5546875" style="1" bestFit="1" customWidth="1"/>
    <col min="6" max="6" width="10.6640625" style="1" bestFit="1" customWidth="1"/>
    <col min="7" max="7" width="11" style="1" bestFit="1" customWidth="1"/>
    <col min="8" max="8" width="9.5546875" style="1" bestFit="1" customWidth="1"/>
    <col min="9" max="9" width="8.88671875" style="1"/>
    <col min="10" max="10" width="25.6640625" style="1" bestFit="1" customWidth="1"/>
    <col min="11" max="11" width="14.33203125" style="1" bestFit="1" customWidth="1"/>
    <col min="12" max="12" width="17.5546875" style="1" bestFit="1" customWidth="1"/>
    <col min="13" max="13" width="18.5546875" style="1" bestFit="1" customWidth="1"/>
    <col min="14" max="14" width="10.6640625" style="1" bestFit="1" customWidth="1"/>
    <col min="15" max="15" width="9.5546875" style="1" bestFit="1" customWidth="1"/>
    <col min="16" max="16384" width="8.88671875" style="1"/>
  </cols>
  <sheetData>
    <row r="6" spans="2:15" x14ac:dyDescent="0.25">
      <c r="B6" s="211" t="s">
        <v>182</v>
      </c>
      <c r="C6" s="211" t="s">
        <v>173</v>
      </c>
      <c r="D6" s="211" t="s">
        <v>177</v>
      </c>
      <c r="E6" s="211" t="s">
        <v>178</v>
      </c>
      <c r="F6" s="211" t="s">
        <v>179</v>
      </c>
      <c r="G6" s="211" t="s">
        <v>174</v>
      </c>
      <c r="H6" s="211" t="s">
        <v>183</v>
      </c>
      <c r="J6" s="211" t="s">
        <v>191</v>
      </c>
      <c r="K6" s="211" t="s">
        <v>173</v>
      </c>
      <c r="L6" s="211" t="s">
        <v>177</v>
      </c>
      <c r="M6" s="211" t="s">
        <v>178</v>
      </c>
      <c r="N6" s="211" t="s">
        <v>179</v>
      </c>
      <c r="O6" s="211" t="s">
        <v>174</v>
      </c>
    </row>
    <row r="7" spans="2:15" x14ac:dyDescent="0.25">
      <c r="B7" s="6" t="s">
        <v>175</v>
      </c>
      <c r="C7" s="15">
        <v>99837</v>
      </c>
      <c r="D7" s="15">
        <v>35389</v>
      </c>
      <c r="E7" s="15">
        <v>12953</v>
      </c>
      <c r="F7" s="15">
        <v>17267</v>
      </c>
      <c r="G7" s="15">
        <f>SUM(C7:F7)</f>
        <v>165446</v>
      </c>
      <c r="H7" s="33">
        <f>G7/$G$13</f>
        <v>0.12365384457281403</v>
      </c>
      <c r="J7" s="1" t="s">
        <v>187</v>
      </c>
      <c r="K7" s="15">
        <v>134376</v>
      </c>
      <c r="L7" s="15">
        <v>393599</v>
      </c>
      <c r="M7" s="15">
        <v>460333</v>
      </c>
      <c r="N7" s="15">
        <v>50558</v>
      </c>
      <c r="O7" s="15">
        <f>SUM(K7:N7)</f>
        <v>1038866</v>
      </c>
    </row>
    <row r="8" spans="2:15" x14ac:dyDescent="0.25">
      <c r="B8" s="6" t="s">
        <v>129</v>
      </c>
      <c r="C8" s="15">
        <v>85737</v>
      </c>
      <c r="D8" s="15">
        <v>258403</v>
      </c>
      <c r="E8" s="15">
        <v>403288</v>
      </c>
      <c r="F8" s="15">
        <v>39964</v>
      </c>
      <c r="G8" s="15">
        <f>SUM(C8:F8)</f>
        <v>787392</v>
      </c>
      <c r="H8" s="33">
        <f t="shared" ref="H8:H12" si="0">G8/$G$13</f>
        <v>0.58849442105507044</v>
      </c>
      <c r="J8" s="1" t="s">
        <v>188</v>
      </c>
      <c r="K8" s="15">
        <v>95416</v>
      </c>
      <c r="L8" s="15">
        <v>41842</v>
      </c>
      <c r="M8" s="15">
        <v>97222</v>
      </c>
      <c r="N8" s="15">
        <v>64631</v>
      </c>
      <c r="O8" s="15">
        <f>SUM(K8:N8)</f>
        <v>299111</v>
      </c>
    </row>
    <row r="9" spans="2:15" x14ac:dyDescent="0.25">
      <c r="B9" s="9" t="s">
        <v>130</v>
      </c>
      <c r="C9" s="41">
        <f>SUM(C7:C8)</f>
        <v>185574</v>
      </c>
      <c r="D9" s="41">
        <f t="shared" ref="D9:G9" si="1">SUM(D7:D8)</f>
        <v>293792</v>
      </c>
      <c r="E9" s="41">
        <f t="shared" si="1"/>
        <v>416241</v>
      </c>
      <c r="F9" s="41">
        <f t="shared" si="1"/>
        <v>57231</v>
      </c>
      <c r="G9" s="41">
        <f t="shared" si="1"/>
        <v>952838</v>
      </c>
      <c r="H9" s="213">
        <f t="shared" si="0"/>
        <v>0.71214826562788447</v>
      </c>
      <c r="J9" s="9" t="s">
        <v>174</v>
      </c>
      <c r="K9" s="41">
        <f>SUM(K7:K8)</f>
        <v>229792</v>
      </c>
      <c r="L9" s="41">
        <f t="shared" ref="L9:O9" si="2">SUM(L7:L8)</f>
        <v>435441</v>
      </c>
      <c r="M9" s="41">
        <f t="shared" si="2"/>
        <v>557555</v>
      </c>
      <c r="N9" s="41">
        <f t="shared" si="2"/>
        <v>115189</v>
      </c>
      <c r="O9" s="41">
        <f t="shared" si="2"/>
        <v>1337977</v>
      </c>
    </row>
    <row r="10" spans="2:15" x14ac:dyDescent="0.25">
      <c r="B10" s="1" t="s">
        <v>131</v>
      </c>
      <c r="C10" s="15">
        <v>10093</v>
      </c>
      <c r="D10" s="15">
        <v>58650</v>
      </c>
      <c r="E10" s="15">
        <v>87000</v>
      </c>
      <c r="F10" s="15">
        <v>56784</v>
      </c>
      <c r="G10" s="15">
        <f>SUM(C10:F10)</f>
        <v>212527</v>
      </c>
      <c r="H10" s="33">
        <f t="shared" si="0"/>
        <v>0.15884204287517648</v>
      </c>
    </row>
    <row r="11" spans="2:15" x14ac:dyDescent="0.25">
      <c r="B11" s="1" t="s">
        <v>176</v>
      </c>
      <c r="C11" s="15">
        <v>29889</v>
      </c>
      <c r="D11" s="15">
        <v>70186</v>
      </c>
      <c r="E11" s="15">
        <v>51757</v>
      </c>
      <c r="F11" s="15">
        <v>2216</v>
      </c>
      <c r="G11" s="15">
        <f>SUM(C11:F11)</f>
        <v>154048</v>
      </c>
      <c r="H11" s="33">
        <f t="shared" si="0"/>
        <v>0.11513501353162274</v>
      </c>
      <c r="J11" s="211" t="s">
        <v>192</v>
      </c>
      <c r="K11" s="211" t="s">
        <v>173</v>
      </c>
      <c r="L11" s="211" t="s">
        <v>177</v>
      </c>
      <c r="M11" s="211" t="s">
        <v>178</v>
      </c>
      <c r="N11" s="211" t="s">
        <v>179</v>
      </c>
      <c r="O11" s="211" t="s">
        <v>174</v>
      </c>
    </row>
    <row r="12" spans="2:15" x14ac:dyDescent="0.25">
      <c r="B12" s="1" t="s">
        <v>133</v>
      </c>
      <c r="C12" s="15">
        <v>4236</v>
      </c>
      <c r="D12" s="15">
        <v>12813</v>
      </c>
      <c r="E12" s="15">
        <v>1515</v>
      </c>
      <c r="F12" s="15"/>
      <c r="G12" s="15">
        <f>SUM(C12:F12)</f>
        <v>18564</v>
      </c>
      <c r="H12" s="33">
        <f t="shared" si="0"/>
        <v>1.3874677965316294E-2</v>
      </c>
      <c r="J12" s="1" t="s">
        <v>187</v>
      </c>
      <c r="K12" s="33">
        <f>K7/$O7</f>
        <v>0.12934873217527573</v>
      </c>
      <c r="L12" s="33">
        <f t="shared" ref="L12:O12" si="3">L7/$O7</f>
        <v>0.37887369497124751</v>
      </c>
      <c r="M12" s="33">
        <f t="shared" si="3"/>
        <v>0.44311104608294044</v>
      </c>
      <c r="N12" s="33">
        <f t="shared" si="3"/>
        <v>4.8666526770536338E-2</v>
      </c>
      <c r="O12" s="33">
        <f t="shared" si="3"/>
        <v>1</v>
      </c>
    </row>
    <row r="13" spans="2:15" x14ac:dyDescent="0.25">
      <c r="B13" s="9" t="s">
        <v>134</v>
      </c>
      <c r="C13" s="41">
        <f>SUM(C9+C10+C11+C12)</f>
        <v>229792</v>
      </c>
      <c r="D13" s="41">
        <f t="shared" ref="D13:F13" si="4">SUM(D9+D10+D11+D12)</f>
        <v>435441</v>
      </c>
      <c r="E13" s="41">
        <f t="shared" si="4"/>
        <v>556513</v>
      </c>
      <c r="F13" s="41">
        <f t="shared" si="4"/>
        <v>116231</v>
      </c>
      <c r="G13" s="41">
        <f>SUM(G9+G10+G11+G12)</f>
        <v>1337977</v>
      </c>
      <c r="H13" s="213">
        <f>SUM(H9:H12)</f>
        <v>0.99999999999999989</v>
      </c>
      <c r="J13" s="1" t="s">
        <v>188</v>
      </c>
      <c r="K13" s="33">
        <f>K8/$O8</f>
        <v>0.31899863261464806</v>
      </c>
      <c r="L13" s="33">
        <f t="shared" ref="L13:O14" si="5">L8/$O8</f>
        <v>0.13988786771466111</v>
      </c>
      <c r="M13" s="33">
        <f t="shared" si="5"/>
        <v>0.32503652490212664</v>
      </c>
      <c r="N13" s="33">
        <f t="shared" si="5"/>
        <v>0.21607697476856419</v>
      </c>
      <c r="O13" s="33">
        <f t="shared" si="5"/>
        <v>1</v>
      </c>
    </row>
    <row r="14" spans="2:15" x14ac:dyDescent="0.25">
      <c r="B14" s="27"/>
      <c r="C14" s="40"/>
      <c r="D14" s="40"/>
      <c r="E14" s="40"/>
      <c r="F14" s="40"/>
      <c r="G14" s="40"/>
      <c r="J14" s="9" t="s">
        <v>174</v>
      </c>
      <c r="K14" s="213">
        <f>K9/$O9</f>
        <v>0.17174585213348212</v>
      </c>
      <c r="L14" s="213">
        <f t="shared" si="5"/>
        <v>0.32544729842142278</v>
      </c>
      <c r="M14" s="213">
        <f t="shared" si="5"/>
        <v>0.41671493605644938</v>
      </c>
      <c r="N14" s="213">
        <f t="shared" si="5"/>
        <v>8.6091913388645691E-2</v>
      </c>
      <c r="O14" s="213">
        <f t="shared" si="5"/>
        <v>1</v>
      </c>
    </row>
    <row r="15" spans="2:15" x14ac:dyDescent="0.25">
      <c r="B15" s="211" t="s">
        <v>181</v>
      </c>
      <c r="C15" s="211" t="s">
        <v>173</v>
      </c>
      <c r="D15" s="211" t="s">
        <v>177</v>
      </c>
      <c r="E15" s="211" t="s">
        <v>178</v>
      </c>
      <c r="F15" s="211" t="s">
        <v>179</v>
      </c>
      <c r="G15" s="211" t="s">
        <v>174</v>
      </c>
    </row>
    <row r="16" spans="2:15" x14ac:dyDescent="0.25">
      <c r="B16" s="6" t="s">
        <v>175</v>
      </c>
      <c r="C16" s="212">
        <f t="shared" ref="C16:C22" si="6">C7/$G7</f>
        <v>0.60344160632472221</v>
      </c>
      <c r="D16" s="33">
        <f t="shared" ref="D16:G16" si="7">D7/$G7</f>
        <v>0.21390060805338298</v>
      </c>
      <c r="E16" s="33">
        <f t="shared" si="7"/>
        <v>7.8291406259444168E-2</v>
      </c>
      <c r="F16" s="33">
        <f t="shared" si="7"/>
        <v>0.10436637936245059</v>
      </c>
      <c r="G16" s="33">
        <f t="shared" si="7"/>
        <v>1</v>
      </c>
      <c r="J16" s="211" t="s">
        <v>190</v>
      </c>
      <c r="K16" s="211" t="s">
        <v>173</v>
      </c>
      <c r="L16" s="211" t="s">
        <v>177</v>
      </c>
      <c r="M16" s="211" t="s">
        <v>178</v>
      </c>
      <c r="N16" s="211" t="s">
        <v>179</v>
      </c>
      <c r="O16" s="211" t="s">
        <v>174</v>
      </c>
    </row>
    <row r="17" spans="2:15" x14ac:dyDescent="0.25">
      <c r="B17" s="6" t="s">
        <v>129</v>
      </c>
      <c r="C17" s="212">
        <f t="shared" si="6"/>
        <v>0.10888731406973909</v>
      </c>
      <c r="D17" s="33">
        <f t="shared" ref="D17:G17" si="8">D8/$G8</f>
        <v>0.32817580061773549</v>
      </c>
      <c r="E17" s="33">
        <f t="shared" si="8"/>
        <v>0.51218198813297566</v>
      </c>
      <c r="F17" s="33">
        <f t="shared" si="8"/>
        <v>5.0754897179549702E-2</v>
      </c>
      <c r="G17" s="33">
        <f t="shared" si="8"/>
        <v>1</v>
      </c>
      <c r="J17" s="1" t="s">
        <v>187</v>
      </c>
      <c r="K17" s="33">
        <f>K7/K$9</f>
        <v>0.58477231583344935</v>
      </c>
      <c r="L17" s="33">
        <f t="shared" ref="L17:O17" si="9">L7/L$9</f>
        <v>0.90390891073647173</v>
      </c>
      <c r="M17" s="33">
        <f t="shared" si="9"/>
        <v>0.82562796495413004</v>
      </c>
      <c r="N17" s="33">
        <f t="shared" si="9"/>
        <v>0.4389134379150787</v>
      </c>
      <c r="O17" s="33">
        <f t="shared" si="9"/>
        <v>0.77644533500949564</v>
      </c>
    </row>
    <row r="18" spans="2:15" x14ac:dyDescent="0.25">
      <c r="B18" s="9" t="s">
        <v>130</v>
      </c>
      <c r="C18" s="214">
        <f t="shared" si="6"/>
        <v>0.1947592350431028</v>
      </c>
      <c r="D18" s="213">
        <f t="shared" ref="D18:G18" si="10">D9/$G9</f>
        <v>0.30833363069063158</v>
      </c>
      <c r="E18" s="213">
        <f t="shared" si="10"/>
        <v>0.43684340884809381</v>
      </c>
      <c r="F18" s="213">
        <f t="shared" si="10"/>
        <v>6.0063725418171822E-2</v>
      </c>
      <c r="G18" s="213">
        <f t="shared" si="10"/>
        <v>1</v>
      </c>
      <c r="J18" s="1" t="s">
        <v>188</v>
      </c>
      <c r="K18" s="33">
        <f>K8/K$9</f>
        <v>0.41522768416655059</v>
      </c>
      <c r="L18" s="33">
        <f t="shared" ref="L18:O18" si="11">L8/L$9</f>
        <v>9.6091089263528245E-2</v>
      </c>
      <c r="M18" s="33">
        <f t="shared" si="11"/>
        <v>0.17437203504586993</v>
      </c>
      <c r="N18" s="33">
        <f t="shared" si="11"/>
        <v>0.56108656208492136</v>
      </c>
      <c r="O18" s="33">
        <f t="shared" si="11"/>
        <v>0.22355466499050433</v>
      </c>
    </row>
    <row r="19" spans="2:15" x14ac:dyDescent="0.25">
      <c r="B19" s="1" t="s">
        <v>131</v>
      </c>
      <c r="C19" s="212">
        <f t="shared" si="6"/>
        <v>4.7490436509243533E-2</v>
      </c>
      <c r="D19" s="33">
        <f t="shared" ref="D19:G19" si="12">D10/$G10</f>
        <v>0.27596493621986856</v>
      </c>
      <c r="E19" s="33">
        <f t="shared" si="12"/>
        <v>0.40935975193740087</v>
      </c>
      <c r="F19" s="33">
        <f t="shared" si="12"/>
        <v>0.26718487533348706</v>
      </c>
      <c r="G19" s="33">
        <f t="shared" si="12"/>
        <v>1</v>
      </c>
      <c r="J19" s="9" t="s">
        <v>174</v>
      </c>
      <c r="K19" s="213">
        <f>SUM(K17:K18)</f>
        <v>1</v>
      </c>
      <c r="L19" s="213">
        <f t="shared" ref="L19:O19" si="13">SUM(L17:L18)</f>
        <v>1</v>
      </c>
      <c r="M19" s="213">
        <f t="shared" si="13"/>
        <v>1</v>
      </c>
      <c r="N19" s="213">
        <f t="shared" si="13"/>
        <v>1</v>
      </c>
      <c r="O19" s="213">
        <f t="shared" si="13"/>
        <v>1</v>
      </c>
    </row>
    <row r="20" spans="2:15" x14ac:dyDescent="0.25">
      <c r="B20" s="1" t="s">
        <v>176</v>
      </c>
      <c r="C20" s="212">
        <f t="shared" si="6"/>
        <v>0.19402394058994599</v>
      </c>
      <c r="D20" s="33">
        <f t="shared" ref="D20:G20" si="14">D11/$G11</f>
        <v>0.45561123805567094</v>
      </c>
      <c r="E20" s="33">
        <f t="shared" si="14"/>
        <v>0.33597969464063149</v>
      </c>
      <c r="F20" s="33">
        <f t="shared" si="14"/>
        <v>1.4385126713751558E-2</v>
      </c>
      <c r="G20" s="33">
        <f t="shared" si="14"/>
        <v>1</v>
      </c>
    </row>
    <row r="21" spans="2:15" x14ac:dyDescent="0.25">
      <c r="B21" s="1" t="s">
        <v>133</v>
      </c>
      <c r="C21" s="212">
        <f t="shared" si="6"/>
        <v>0.22818358112475759</v>
      </c>
      <c r="D21" s="33">
        <f t="shared" ref="D21:G22" si="15">D12/$G12</f>
        <v>0.69020685197155784</v>
      </c>
      <c r="E21" s="33">
        <f t="shared" si="15"/>
        <v>8.1609566903684552E-2</v>
      </c>
      <c r="F21" s="33">
        <f t="shared" si="15"/>
        <v>0</v>
      </c>
      <c r="G21" s="33">
        <f t="shared" si="15"/>
        <v>1</v>
      </c>
    </row>
    <row r="22" spans="2:15" x14ac:dyDescent="0.25">
      <c r="B22" s="9" t="s">
        <v>134</v>
      </c>
      <c r="C22" s="214">
        <f t="shared" si="6"/>
        <v>0.17174585213348212</v>
      </c>
      <c r="D22" s="214">
        <f t="shared" si="15"/>
        <v>0.32544729842142278</v>
      </c>
      <c r="E22" s="214">
        <f t="shared" si="15"/>
        <v>0.41593614837923221</v>
      </c>
      <c r="F22" s="214">
        <f t="shared" si="15"/>
        <v>8.6870701065862865E-2</v>
      </c>
      <c r="G22" s="214">
        <f t="shared" si="15"/>
        <v>1</v>
      </c>
    </row>
    <row r="23" spans="2:15" x14ac:dyDescent="0.25">
      <c r="C23" s="212"/>
      <c r="D23" s="33"/>
      <c r="E23" s="33"/>
      <c r="F23" s="33"/>
      <c r="G23" s="33"/>
    </row>
    <row r="24" spans="2:15" x14ac:dyDescent="0.25">
      <c r="B24" s="211" t="s">
        <v>180</v>
      </c>
      <c r="C24" s="211" t="s">
        <v>173</v>
      </c>
      <c r="D24" s="211" t="s">
        <v>177</v>
      </c>
      <c r="E24" s="211" t="s">
        <v>178</v>
      </c>
      <c r="F24" s="211" t="s">
        <v>179</v>
      </c>
      <c r="G24" s="211" t="s">
        <v>174</v>
      </c>
    </row>
    <row r="25" spans="2:15" x14ac:dyDescent="0.25">
      <c r="B25" s="6" t="s">
        <v>175</v>
      </c>
      <c r="C25" s="33">
        <f>C$7/C$13</f>
        <v>0.43446682216961424</v>
      </c>
      <c r="D25" s="33">
        <f t="shared" ref="D25:F25" si="16">D$7/D$13</f>
        <v>8.1271630370130507E-2</v>
      </c>
      <c r="E25" s="33">
        <f t="shared" si="16"/>
        <v>2.3275287369746978E-2</v>
      </c>
      <c r="F25" s="33">
        <f t="shared" si="16"/>
        <v>0.14855761371751081</v>
      </c>
      <c r="G25" s="33">
        <f>G$7/G$13</f>
        <v>0.12365384457281403</v>
      </c>
    </row>
    <row r="26" spans="2:15" x14ac:dyDescent="0.25">
      <c r="B26" s="6" t="s">
        <v>129</v>
      </c>
      <c r="C26" s="33">
        <f>C$8/C$13</f>
        <v>0.37310698370700457</v>
      </c>
      <c r="D26" s="33">
        <f t="shared" ref="D26:G26" si="17">D$8/D$13</f>
        <v>0.59342827156836397</v>
      </c>
      <c r="E26" s="33">
        <f t="shared" si="17"/>
        <v>0.72466950457581403</v>
      </c>
      <c r="F26" s="33">
        <f t="shared" si="17"/>
        <v>0.34383254037218985</v>
      </c>
      <c r="G26" s="33">
        <f t="shared" si="17"/>
        <v>0.58849442105507044</v>
      </c>
    </row>
    <row r="27" spans="2:15" x14ac:dyDescent="0.25">
      <c r="B27" s="9" t="s">
        <v>130</v>
      </c>
      <c r="C27" s="213">
        <f>C$9/C$13</f>
        <v>0.80757380587661887</v>
      </c>
      <c r="D27" s="213">
        <f t="shared" ref="D27:G27" si="18">D$9/D$13</f>
        <v>0.6746999019384945</v>
      </c>
      <c r="E27" s="213">
        <f t="shared" si="18"/>
        <v>0.74794479194556107</v>
      </c>
      <c r="F27" s="213">
        <f t="shared" si="18"/>
        <v>0.49239015408970066</v>
      </c>
      <c r="G27" s="213">
        <f t="shared" si="18"/>
        <v>0.71214826562788447</v>
      </c>
    </row>
    <row r="28" spans="2:15" x14ac:dyDescent="0.25">
      <c r="B28" s="1" t="s">
        <v>131</v>
      </c>
      <c r="C28" s="33">
        <f>C$10/C$13</f>
        <v>4.3922329759086477E-2</v>
      </c>
      <c r="D28" s="33">
        <f t="shared" ref="D28:G28" si="19">D$10/D$13</f>
        <v>0.13469103736212254</v>
      </c>
      <c r="E28" s="33">
        <f t="shared" si="19"/>
        <v>0.15633057987863716</v>
      </c>
      <c r="F28" s="33">
        <f t="shared" si="19"/>
        <v>0.48854436424017689</v>
      </c>
      <c r="G28" s="33">
        <f t="shared" si="19"/>
        <v>0.15884204287517648</v>
      </c>
    </row>
    <row r="29" spans="2:15" x14ac:dyDescent="0.25">
      <c r="B29" s="1" t="s">
        <v>176</v>
      </c>
      <c r="C29" s="33">
        <f>C$11/C$13</f>
        <v>0.13006980225595322</v>
      </c>
      <c r="D29" s="33">
        <f t="shared" ref="D29:G29" si="20">D$11/D$13</f>
        <v>0.16118371949357088</v>
      </c>
      <c r="E29" s="33">
        <f t="shared" si="20"/>
        <v>9.3002319802053146E-2</v>
      </c>
      <c r="F29" s="33">
        <f t="shared" si="20"/>
        <v>1.9065481670122428E-2</v>
      </c>
      <c r="G29" s="33">
        <f t="shared" si="20"/>
        <v>0.11513501353162274</v>
      </c>
    </row>
    <row r="30" spans="2:15" x14ac:dyDescent="0.25">
      <c r="B30" s="1" t="s">
        <v>133</v>
      </c>
      <c r="C30" s="33">
        <f>C$12/C$13</f>
        <v>1.8434062108341455E-2</v>
      </c>
      <c r="D30" s="33">
        <f t="shared" ref="D30:G30" si="21">D$12/D$13</f>
        <v>2.9425341205812038E-2</v>
      </c>
      <c r="E30" s="33">
        <f t="shared" si="21"/>
        <v>2.7223083737486814E-3</v>
      </c>
      <c r="F30" s="33">
        <f t="shared" si="21"/>
        <v>0</v>
      </c>
      <c r="G30" s="33">
        <f t="shared" si="21"/>
        <v>1.3874677965316294E-2</v>
      </c>
    </row>
    <row r="31" spans="2:15" x14ac:dyDescent="0.25">
      <c r="B31" s="9" t="s">
        <v>134</v>
      </c>
      <c r="C31" s="213">
        <f>SUM(C27+C28+C29+C30)</f>
        <v>1</v>
      </c>
      <c r="D31" s="213">
        <f t="shared" ref="D31:G31" si="22">SUM(D27+D28+D29+D30)</f>
        <v>1</v>
      </c>
      <c r="E31" s="213">
        <f t="shared" si="22"/>
        <v>1</v>
      </c>
      <c r="F31" s="213">
        <f t="shared" si="22"/>
        <v>1</v>
      </c>
      <c r="G31" s="213">
        <f t="shared" si="22"/>
        <v>0.99999999999999989</v>
      </c>
    </row>
    <row r="33" spans="2:2" x14ac:dyDescent="0.25">
      <c r="B33" s="1" t="s">
        <v>189</v>
      </c>
    </row>
    <row r="34" spans="2:2" x14ac:dyDescent="0.25">
      <c r="B34" s="1" t="s">
        <v>184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5F19-D57F-414B-AEB1-5F3C28589469}">
  <dimension ref="A1"/>
  <sheetViews>
    <sheetView showGridLines="0" zoomScale="85" zoomScaleNormal="85" workbookViewId="0">
      <selection activeCell="Q1" sqref="Q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FB0D-9F24-4579-9444-1DB6965E16D5}">
  <dimension ref="A1:Z51"/>
  <sheetViews>
    <sheetView showGridLines="0" zoomScale="90" zoomScaleNormal="90" workbookViewId="0">
      <selection activeCell="M14" sqref="M14"/>
    </sheetView>
  </sheetViews>
  <sheetFormatPr defaultColWidth="8.88671875" defaultRowHeight="15.6" x14ac:dyDescent="0.3"/>
  <cols>
    <col min="1" max="1" width="7.77734375" style="358" customWidth="1"/>
    <col min="2" max="2" width="8.88671875" style="358"/>
    <col min="3" max="3" width="12.33203125" style="358" customWidth="1"/>
    <col min="4" max="4" width="14.109375" style="372" customWidth="1"/>
    <col min="5" max="5" width="0.88671875" style="358" customWidth="1"/>
    <col min="6" max="6" width="15.77734375" style="358" bestFit="1" customWidth="1"/>
    <col min="7" max="7" width="8.88671875" style="358"/>
    <col min="8" max="8" width="7.109375" style="358" customWidth="1"/>
    <col min="9" max="9" width="9.44140625" style="358" customWidth="1"/>
    <col min="10" max="10" width="0.88671875" style="375" customWidth="1"/>
    <col min="11" max="11" width="8.88671875" style="358"/>
    <col min="12" max="12" width="13.44140625" style="358" customWidth="1"/>
    <col min="13" max="16" width="12.6640625" style="358" customWidth="1"/>
    <col min="17" max="17" width="14.109375" style="358" customWidth="1"/>
    <col min="18" max="18" width="5.109375" style="358" customWidth="1"/>
    <col min="19" max="19" width="1.109375" style="358" customWidth="1"/>
    <col min="20" max="20" width="1.88671875" style="358" customWidth="1"/>
    <col min="21" max="24" width="15.6640625" style="358" bestFit="1" customWidth="1"/>
    <col min="25" max="25" width="12.6640625" style="358" bestFit="1" customWidth="1"/>
    <col min="26" max="16384" width="8.88671875" style="358"/>
  </cols>
  <sheetData>
    <row r="1" spans="1:26" s="380" customFormat="1" ht="14.4" x14ac:dyDescent="0.3">
      <c r="A1" s="379"/>
      <c r="B1" s="378"/>
      <c r="C1" s="378"/>
      <c r="D1" s="378"/>
      <c r="E1" s="378"/>
      <c r="J1" s="375"/>
    </row>
    <row r="2" spans="1:26" x14ac:dyDescent="0.3">
      <c r="A2" s="381"/>
      <c r="B2" s="535" t="s">
        <v>235</v>
      </c>
      <c r="C2" s="536"/>
      <c r="D2" s="341">
        <f>Valuation!D36</f>
        <v>13.25</v>
      </c>
      <c r="E2" s="342"/>
      <c r="F2" s="529" t="s">
        <v>225</v>
      </c>
      <c r="G2" s="530"/>
      <c r="H2" s="530"/>
      <c r="I2" s="341">
        <f>Valuation!J34</f>
        <v>0.47605542259687589</v>
      </c>
      <c r="J2" s="343"/>
      <c r="K2" s="531" t="s">
        <v>226</v>
      </c>
      <c r="L2" s="532"/>
      <c r="M2" s="344" t="s">
        <v>227</v>
      </c>
      <c r="N2" s="344" t="s">
        <v>11</v>
      </c>
      <c r="O2" s="344" t="s">
        <v>12</v>
      </c>
      <c r="P2" s="345" t="s">
        <v>13</v>
      </c>
    </row>
    <row r="3" spans="1:26" x14ac:dyDescent="0.3">
      <c r="A3" s="382"/>
      <c r="B3" s="537" t="s">
        <v>288</v>
      </c>
      <c r="C3" s="538"/>
      <c r="D3" s="347">
        <f ca="1">Valuation!F6</f>
        <v>14.3</v>
      </c>
      <c r="E3" s="342"/>
      <c r="F3" s="524" t="s">
        <v>244</v>
      </c>
      <c r="G3" s="525"/>
      <c r="H3" s="525"/>
      <c r="I3" s="348">
        <f>Valuation!J35</f>
        <v>6.5802771129843798E-2</v>
      </c>
      <c r="J3" s="343"/>
      <c r="K3" s="529" t="s">
        <v>23</v>
      </c>
      <c r="L3" s="530"/>
      <c r="M3" s="349">
        <f>'Pro Forma'!AB112</f>
        <v>66241.998999999996</v>
      </c>
      <c r="N3" s="349">
        <f>'Pro Forma'!AC112</f>
        <v>85614.3317485445</v>
      </c>
      <c r="O3" s="349">
        <f>'Pro Forma'!AD112</f>
        <v>99173.530669993168</v>
      </c>
      <c r="P3" s="350">
        <f>'Pro Forma'!AE112</f>
        <v>104829.77660792612</v>
      </c>
      <c r="Q3" s="375"/>
      <c r="U3" s="383"/>
    </row>
    <row r="4" spans="1:26" x14ac:dyDescent="0.3">
      <c r="A4" s="384"/>
      <c r="B4" s="483" t="s">
        <v>289</v>
      </c>
      <c r="C4" s="484"/>
      <c r="D4" s="485">
        <f>Valuation!D3</f>
        <v>18.3</v>
      </c>
      <c r="E4" s="342"/>
      <c r="F4" s="524" t="s">
        <v>248</v>
      </c>
      <c r="G4" s="525"/>
      <c r="H4" s="525"/>
      <c r="I4" s="352">
        <f>(P3/M3)^(1/3)-1</f>
        <v>0.1653339798337139</v>
      </c>
      <c r="J4" s="343"/>
      <c r="K4" s="533" t="s">
        <v>242</v>
      </c>
      <c r="L4" s="534"/>
      <c r="M4" s="416">
        <f>'Pro Forma'!AB113</f>
        <v>0.19905874195056095</v>
      </c>
      <c r="N4" s="417">
        <f>'Pro Forma'!AC113</f>
        <v>0.29244788866568627</v>
      </c>
      <c r="O4" s="417">
        <f>'Pro Forma'!AD113</f>
        <v>0.15837534025579991</v>
      </c>
      <c r="P4" s="418">
        <f>'Pro Forma'!AE113</f>
        <v>5.7033826462773662E-2</v>
      </c>
      <c r="Q4" s="375"/>
      <c r="X4" s="385"/>
      <c r="Y4" s="385"/>
    </row>
    <row r="5" spans="1:26" x14ac:dyDescent="0.3">
      <c r="B5" s="537" t="s">
        <v>228</v>
      </c>
      <c r="C5" s="538"/>
      <c r="D5" s="351" t="s">
        <v>243</v>
      </c>
      <c r="E5" s="342"/>
      <c r="F5" s="524" t="s">
        <v>249</v>
      </c>
      <c r="G5" s="525"/>
      <c r="H5" s="525"/>
      <c r="I5" s="352">
        <f>(P5/M5)^(1/3)-1</f>
        <v>0.15251070883174211</v>
      </c>
      <c r="J5" s="343"/>
      <c r="K5" s="524" t="s">
        <v>55</v>
      </c>
      <c r="L5" s="525"/>
      <c r="M5" s="354">
        <f>Valuation!D15</f>
        <v>23449.684543288655</v>
      </c>
      <c r="N5" s="354">
        <f>Valuation!E15</f>
        <v>31426.13570502121</v>
      </c>
      <c r="O5" s="354">
        <f>Valuation!F15</f>
        <v>33493.426028458583</v>
      </c>
      <c r="P5" s="355">
        <f>Valuation!G15</f>
        <v>35898.137197912685</v>
      </c>
      <c r="Q5" s="375"/>
      <c r="V5" s="387"/>
    </row>
    <row r="6" spans="1:26" x14ac:dyDescent="0.3">
      <c r="B6" s="537" t="s">
        <v>229</v>
      </c>
      <c r="C6" s="538"/>
      <c r="D6" s="353">
        <v>233.9</v>
      </c>
      <c r="E6" s="342"/>
      <c r="F6" s="524" t="s">
        <v>245</v>
      </c>
      <c r="G6" s="525"/>
      <c r="H6" s="525"/>
      <c r="I6" s="357">
        <f>'Pro Forma'!O233</f>
        <v>0.61712857011603217</v>
      </c>
      <c r="J6" s="343"/>
      <c r="K6" s="419" t="s">
        <v>242</v>
      </c>
      <c r="L6" s="420"/>
      <c r="M6" s="421">
        <f>'Pro Forma'!AB156</f>
        <v>0.57917892509521796</v>
      </c>
      <c r="N6" s="421">
        <f>(N5/M5)-1</f>
        <v>0.34015174690336858</v>
      </c>
      <c r="O6" s="421">
        <f>(O5/N5)-1</f>
        <v>6.5782517546599362E-2</v>
      </c>
      <c r="P6" s="422">
        <f>(P5/O5)-1</f>
        <v>7.1796512169608251E-2</v>
      </c>
      <c r="Q6" s="375"/>
      <c r="V6" s="387"/>
    </row>
    <row r="7" spans="1:26" x14ac:dyDescent="0.3">
      <c r="A7" s="381"/>
      <c r="B7" s="524" t="s">
        <v>230</v>
      </c>
      <c r="C7" s="528"/>
      <c r="D7" s="356">
        <v>11.57</v>
      </c>
      <c r="E7" s="342"/>
      <c r="F7" s="524" t="s">
        <v>236</v>
      </c>
      <c r="G7" s="525"/>
      <c r="H7" s="525"/>
      <c r="I7" s="415">
        <v>8.3999999999999995E-3</v>
      </c>
      <c r="J7" s="343"/>
      <c r="K7" s="524" t="s">
        <v>238</v>
      </c>
      <c r="L7" s="525"/>
      <c r="M7" s="423">
        <f>'Pro Forma'!AB218*100</f>
        <v>3.39</v>
      </c>
      <c r="N7" s="423">
        <f>'Pro Forma'!AC218*100</f>
        <v>3.2455444228459593</v>
      </c>
      <c r="O7" s="423">
        <f>'Pro Forma'!AD218*100</f>
        <v>3.5837855019142517</v>
      </c>
      <c r="P7" s="424">
        <f>'Pro Forma'!AE218*100</f>
        <v>3.6043851615791627</v>
      </c>
      <c r="Q7" s="375"/>
      <c r="X7" s="372"/>
      <c r="Z7" s="387"/>
    </row>
    <row r="8" spans="1:26" x14ac:dyDescent="0.3">
      <c r="A8" s="388"/>
      <c r="B8" s="359" t="s">
        <v>231</v>
      </c>
      <c r="C8" s="486"/>
      <c r="D8" s="360">
        <v>51840</v>
      </c>
      <c r="E8" s="342"/>
      <c r="F8" s="524" t="s">
        <v>237</v>
      </c>
      <c r="G8" s="525"/>
      <c r="H8" s="525"/>
      <c r="I8" s="357">
        <v>0.10299999999999999</v>
      </c>
      <c r="J8" s="343"/>
      <c r="K8" s="362" t="s">
        <v>239</v>
      </c>
      <c r="L8" s="363"/>
      <c r="M8" s="364">
        <f>'Pro Forma'!AB157</f>
        <v>1.6950532102761398</v>
      </c>
      <c r="N8" s="364">
        <f>'Pro Forma'!AC157</f>
        <v>1.3662359094420331</v>
      </c>
      <c r="O8" s="364">
        <f>'Pro Forma'!AD157</f>
        <v>1.7761297697031431</v>
      </c>
      <c r="P8" s="365">
        <f>'Pro Forma'!AE157</f>
        <v>1.9050923117883465</v>
      </c>
      <c r="Q8" s="375"/>
      <c r="X8" s="372"/>
      <c r="Z8" s="387"/>
    </row>
    <row r="9" spans="1:26" x14ac:dyDescent="0.3">
      <c r="A9" s="389"/>
      <c r="B9" s="524" t="s">
        <v>232</v>
      </c>
      <c r="C9" s="528"/>
      <c r="D9" s="361">
        <v>1.4999999999999999E-2</v>
      </c>
      <c r="E9" s="342"/>
      <c r="F9" s="524" t="s">
        <v>246</v>
      </c>
      <c r="G9" s="525"/>
      <c r="H9" s="525"/>
      <c r="I9" s="366">
        <v>0.113</v>
      </c>
      <c r="J9" s="343"/>
      <c r="K9" s="524" t="s">
        <v>240</v>
      </c>
      <c r="L9" s="525"/>
      <c r="M9" s="367">
        <f>$D$2/M8</f>
        <v>7.8168637536997752</v>
      </c>
      <c r="N9" s="367">
        <f t="shared" ref="N9:P9" si="0">$D$2/N8</f>
        <v>9.6981787028356337</v>
      </c>
      <c r="O9" s="367">
        <f t="shared" si="0"/>
        <v>7.4600404914189156</v>
      </c>
      <c r="P9" s="368">
        <f t="shared" si="0"/>
        <v>6.9550435524890508</v>
      </c>
      <c r="Q9" s="390"/>
      <c r="X9" s="372"/>
      <c r="Z9" s="387"/>
    </row>
    <row r="10" spans="1:26" x14ac:dyDescent="0.3">
      <c r="A10" s="389"/>
      <c r="B10" s="539" t="s">
        <v>233</v>
      </c>
      <c r="C10" s="540"/>
      <c r="D10" s="487">
        <v>2.4</v>
      </c>
      <c r="E10" s="342"/>
      <c r="F10" s="526" t="s">
        <v>247</v>
      </c>
      <c r="G10" s="527"/>
      <c r="H10" s="527"/>
      <c r="I10" s="369">
        <v>4.0000000000000001E-3</v>
      </c>
      <c r="J10" s="343"/>
      <c r="K10" s="526" t="s">
        <v>241</v>
      </c>
      <c r="L10" s="527"/>
      <c r="M10" s="370">
        <f>'Pro Forma'!AB211</f>
        <v>15.921356660697631</v>
      </c>
      <c r="N10" s="370">
        <f>Valuation!D19</f>
        <v>13.712760038341754</v>
      </c>
      <c r="O10" s="370">
        <f>Valuation!E19</f>
        <v>15.052987106254992</v>
      </c>
      <c r="P10" s="371">
        <f>Valuation!F19</f>
        <v>16.481377684779662</v>
      </c>
      <c r="Q10" s="391"/>
      <c r="U10" s="392"/>
      <c r="X10" s="372"/>
      <c r="Z10" s="387"/>
    </row>
    <row r="11" spans="1:26" x14ac:dyDescent="0.3">
      <c r="A11" s="389"/>
      <c r="F11" s="373"/>
      <c r="I11" s="374"/>
      <c r="O11" s="376"/>
      <c r="P11" s="377" t="s">
        <v>234</v>
      </c>
      <c r="Q11" s="375"/>
      <c r="U11" s="383"/>
      <c r="V11" s="383"/>
      <c r="W11" s="383"/>
      <c r="X11" s="383"/>
    </row>
    <row r="12" spans="1:26" x14ac:dyDescent="0.3">
      <c r="A12" s="389"/>
      <c r="I12" s="374"/>
      <c r="O12" s="376"/>
      <c r="P12" s="377"/>
      <c r="Q12" s="375"/>
      <c r="U12" s="383"/>
      <c r="V12" s="383"/>
      <c r="W12" s="383"/>
      <c r="X12" s="383"/>
    </row>
    <row r="13" spans="1:26" x14ac:dyDescent="0.3">
      <c r="A13" s="389"/>
      <c r="I13" s="374"/>
      <c r="O13" s="376"/>
      <c r="P13" s="377"/>
      <c r="Q13" s="375"/>
      <c r="U13" s="383"/>
      <c r="V13" s="383"/>
      <c r="W13" s="383"/>
      <c r="X13" s="383"/>
    </row>
    <row r="14" spans="1:26" x14ac:dyDescent="0.3">
      <c r="A14" s="389"/>
      <c r="D14" s="375"/>
      <c r="E14" s="375"/>
      <c r="F14" s="393"/>
      <c r="G14" s="393"/>
      <c r="H14" s="393"/>
      <c r="I14" s="374"/>
    </row>
    <row r="15" spans="1:26" x14ac:dyDescent="0.3">
      <c r="A15" s="389"/>
      <c r="C15" s="375"/>
      <c r="D15" s="375"/>
      <c r="E15" s="375"/>
      <c r="F15" s="375"/>
      <c r="H15" s="375"/>
      <c r="I15" s="392"/>
      <c r="J15" s="358"/>
    </row>
    <row r="16" spans="1:26" x14ac:dyDescent="0.3">
      <c r="D16" s="375"/>
      <c r="E16" s="375"/>
      <c r="F16" s="375"/>
      <c r="G16" s="375"/>
      <c r="I16" s="394"/>
    </row>
    <row r="17" spans="1:13" x14ac:dyDescent="0.3">
      <c r="A17" s="395"/>
      <c r="D17" s="358"/>
    </row>
    <row r="18" spans="1:13" x14ac:dyDescent="0.3">
      <c r="A18" s="343"/>
      <c r="D18" s="358"/>
      <c r="G18" s="375"/>
      <c r="J18" s="358"/>
    </row>
    <row r="19" spans="1:13" x14ac:dyDescent="0.3">
      <c r="A19" s="386"/>
      <c r="F19" s="397"/>
    </row>
    <row r="20" spans="1:13" x14ac:dyDescent="0.3">
      <c r="A20" s="398"/>
      <c r="F20" s="399"/>
    </row>
    <row r="21" spans="1:13" x14ac:dyDescent="0.3">
      <c r="A21" s="398"/>
      <c r="F21" s="397"/>
    </row>
    <row r="22" spans="1:13" x14ac:dyDescent="0.3">
      <c r="A22" s="398"/>
      <c r="F22" s="397"/>
    </row>
    <row r="23" spans="1:13" x14ac:dyDescent="0.3">
      <c r="A23" s="398"/>
      <c r="F23" s="397"/>
    </row>
    <row r="24" spans="1:13" x14ac:dyDescent="0.3">
      <c r="A24" s="398"/>
      <c r="F24" s="397"/>
    </row>
    <row r="25" spans="1:13" x14ac:dyDescent="0.3">
      <c r="A25" s="398"/>
      <c r="F25" s="397"/>
    </row>
    <row r="26" spans="1:13" x14ac:dyDescent="0.3">
      <c r="A26" s="398"/>
      <c r="F26" s="397"/>
      <c r="J26" s="358"/>
    </row>
    <row r="27" spans="1:13" x14ac:dyDescent="0.3">
      <c r="A27" s="398"/>
      <c r="F27" s="397"/>
      <c r="J27" s="358"/>
    </row>
    <row r="28" spans="1:13" x14ac:dyDescent="0.3">
      <c r="A28" s="398"/>
      <c r="F28" s="400"/>
      <c r="J28" s="358"/>
    </row>
    <row r="29" spans="1:13" x14ac:dyDescent="0.3">
      <c r="A29" s="401"/>
      <c r="D29" s="358"/>
      <c r="F29" s="397"/>
      <c r="J29" s="358"/>
      <c r="M29" s="402"/>
    </row>
    <row r="30" spans="1:13" x14ac:dyDescent="0.3">
      <c r="A30" s="403"/>
      <c r="F30" s="404"/>
      <c r="J30" s="358"/>
    </row>
    <row r="31" spans="1:13" x14ac:dyDescent="0.3">
      <c r="A31" s="346"/>
      <c r="J31" s="358"/>
    </row>
    <row r="32" spans="1:13" x14ac:dyDescent="0.3">
      <c r="A32" s="386"/>
      <c r="D32" s="358"/>
      <c r="F32" s="405"/>
      <c r="J32" s="358"/>
    </row>
    <row r="33" spans="1:10" x14ac:dyDescent="0.3">
      <c r="A33" s="396"/>
      <c r="F33" s="399"/>
      <c r="J33" s="358"/>
    </row>
    <row r="34" spans="1:10" x14ac:dyDescent="0.3">
      <c r="A34" s="396"/>
      <c r="B34" s="375"/>
      <c r="F34" s="397"/>
    </row>
    <row r="35" spans="1:10" x14ac:dyDescent="0.3">
      <c r="A35" s="396"/>
      <c r="B35" s="375"/>
      <c r="F35" s="397"/>
    </row>
    <row r="36" spans="1:10" x14ac:dyDescent="0.3">
      <c r="A36" s="396"/>
      <c r="B36" s="375"/>
      <c r="C36" s="375"/>
      <c r="D36" s="406"/>
      <c r="F36" s="407"/>
    </row>
    <row r="37" spans="1:10" x14ac:dyDescent="0.3">
      <c r="A37" s="396"/>
      <c r="B37" s="375"/>
      <c r="C37" s="375"/>
    </row>
    <row r="38" spans="1:10" x14ac:dyDescent="0.3">
      <c r="A38" s="396"/>
      <c r="B38" s="375"/>
      <c r="C38" s="375"/>
    </row>
    <row r="39" spans="1:10" x14ac:dyDescent="0.3">
      <c r="A39" s="408"/>
      <c r="C39" s="409"/>
    </row>
    <row r="40" spans="1:10" x14ac:dyDescent="0.3">
      <c r="A40" s="403"/>
    </row>
    <row r="43" spans="1:10" x14ac:dyDescent="0.3">
      <c r="B43"/>
      <c r="C43"/>
      <c r="D43"/>
      <c r="E43"/>
    </row>
    <row r="44" spans="1:10" x14ac:dyDescent="0.3">
      <c r="A44" s="410"/>
      <c r="B44" s="410"/>
      <c r="C44" s="411"/>
      <c r="D44"/>
      <c r="E44" s="411"/>
    </row>
    <row r="45" spans="1:10" x14ac:dyDescent="0.3">
      <c r="A45" s="410"/>
      <c r="B45" s="410"/>
      <c r="C45"/>
      <c r="D45"/>
      <c r="E45"/>
    </row>
    <row r="46" spans="1:10" x14ac:dyDescent="0.3">
      <c r="A46" s="410"/>
      <c r="B46" s="410"/>
      <c r="C46"/>
      <c r="D46"/>
      <c r="E46"/>
    </row>
    <row r="47" spans="1:10" x14ac:dyDescent="0.3">
      <c r="A47" s="410"/>
      <c r="B47" s="410"/>
      <c r="C47"/>
      <c r="D47"/>
      <c r="E47"/>
    </row>
    <row r="48" spans="1:10" x14ac:dyDescent="0.3">
      <c r="A48" s="410"/>
      <c r="B48" s="410"/>
      <c r="C48" s="411"/>
      <c r="D48"/>
      <c r="E48"/>
    </row>
    <row r="49" spans="1:5" x14ac:dyDescent="0.3">
      <c r="A49" s="413"/>
      <c r="B49" s="413"/>
      <c r="C49" s="414"/>
      <c r="D49" s="414"/>
      <c r="E49" s="414"/>
    </row>
    <row r="50" spans="1:5" x14ac:dyDescent="0.3">
      <c r="A50"/>
      <c r="B50"/>
      <c r="C50"/>
      <c r="D50"/>
      <c r="E50"/>
    </row>
    <row r="51" spans="1:5" x14ac:dyDescent="0.3">
      <c r="A51" s="413"/>
      <c r="B51" s="413"/>
      <c r="C51" s="412"/>
      <c r="D51" s="412"/>
      <c r="E51" s="412"/>
    </row>
  </sheetData>
  <mergeCells count="23">
    <mergeCell ref="B2:C2"/>
    <mergeCell ref="B3:C3"/>
    <mergeCell ref="B10:C10"/>
    <mergeCell ref="B9:C9"/>
    <mergeCell ref="B5:C5"/>
    <mergeCell ref="B6:C6"/>
    <mergeCell ref="F2:H2"/>
    <mergeCell ref="K2:L2"/>
    <mergeCell ref="F3:H3"/>
    <mergeCell ref="K3:L3"/>
    <mergeCell ref="F4:H4"/>
    <mergeCell ref="K4:L4"/>
    <mergeCell ref="F5:H5"/>
    <mergeCell ref="K5:L5"/>
    <mergeCell ref="B7:C7"/>
    <mergeCell ref="F6:H6"/>
    <mergeCell ref="F7:H7"/>
    <mergeCell ref="K7:L7"/>
    <mergeCell ref="F8:H8"/>
    <mergeCell ref="F9:H9"/>
    <mergeCell ref="K9:L9"/>
    <mergeCell ref="F10:H10"/>
    <mergeCell ref="K10:L10"/>
  </mergeCells>
  <conditionalFormatting sqref="A9:A15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Valuation</vt:lpstr>
      <vt:lpstr>Pro Forma</vt:lpstr>
      <vt:lpstr>Loan ARMs</vt:lpstr>
      <vt:lpstr>Securities Profile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Peterson</dc:creator>
  <cp:lastModifiedBy>August Peterson</cp:lastModifiedBy>
  <cp:lastPrinted>2022-10-14T16:00:55Z</cp:lastPrinted>
  <dcterms:created xsi:type="dcterms:W3CDTF">2022-09-30T14:54:55Z</dcterms:created>
  <dcterms:modified xsi:type="dcterms:W3CDTF">2022-10-14T16:49:04Z</dcterms:modified>
</cp:coreProperties>
</file>