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ugus\OneDrive - Marquette University\Desktop\Equity Research\Pitch Ideas\MarketWise - 02.04.2022\Final\To Greenhaven Road\"/>
    </mc:Choice>
  </mc:AlternateContent>
  <xr:revisionPtr revIDLastSave="0" documentId="13_ncr:1_{AFA6EEC0-3992-48BF-83F6-28658F2C53DC}" xr6:coauthVersionLast="47" xr6:coauthVersionMax="47" xr10:uidLastSave="{00000000-0000-0000-0000-000000000000}"/>
  <bookViews>
    <workbookView xWindow="-108" yWindow="-108" windowWidth="23256" windowHeight="12576" activeTab="2" xr2:uid="{748D8F8C-E78F-4411-A0FD-4EBEF0022E15}"/>
  </bookViews>
  <sheets>
    <sheet name="Cover" sheetId="3" r:id="rId1"/>
    <sheet name="DCF" sheetId="4" r:id="rId2"/>
    <sheet name="Pro Forma" sheetId="1" r:id="rId3"/>
    <sheet name="DR Schedule (SL)" sheetId="9" state="hidden" r:id="rId4"/>
    <sheet name="DR Schedule (DD)" sheetId="10" r:id="rId5"/>
    <sheet name="Wacc &amp; Beta" sheetId="5" r:id="rId6"/>
    <sheet name="Peers" sheetId="7" r:id="rId7"/>
    <sheet name="Table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9" i="4" l="1"/>
  <c r="Q31" i="4"/>
  <c r="Q30" i="4"/>
  <c r="D128" i="1"/>
  <c r="D169" i="1"/>
  <c r="D7" i="5"/>
  <c r="D5" i="5"/>
  <c r="E42" i="4"/>
  <c r="E43" i="4" s="1"/>
  <c r="E40" i="4"/>
  <c r="E39" i="4" s="1"/>
  <c r="G38" i="4"/>
  <c r="F38" i="4" s="1"/>
  <c r="I38" i="4"/>
  <c r="J38" i="4" s="1"/>
  <c r="L20" i="3"/>
  <c r="R23" i="4" s="1"/>
  <c r="L25" i="3"/>
  <c r="D60" i="1"/>
  <c r="D21" i="5"/>
  <c r="D20" i="5"/>
  <c r="D16" i="5"/>
  <c r="D14" i="5"/>
  <c r="D13" i="5"/>
  <c r="D9" i="5"/>
  <c r="C9" i="5"/>
  <c r="D8" i="5"/>
  <c r="D19" i="5" s="1"/>
  <c r="D6" i="5"/>
  <c r="J41" i="1"/>
  <c r="J42" i="1" s="1"/>
  <c r="H41" i="1"/>
  <c r="E41" i="1"/>
  <c r="D41" i="1"/>
  <c r="C41" i="1"/>
  <c r="I11" i="8"/>
  <c r="O25" i="1"/>
  <c r="O37" i="1" s="1"/>
  <c r="P10" i="1"/>
  <c r="Q10" i="1" s="1"/>
  <c r="R10" i="1" s="1"/>
  <c r="S10" i="1" s="1"/>
  <c r="T10" i="1" s="1"/>
  <c r="U10" i="1" s="1"/>
  <c r="V10" i="1" s="1"/>
  <c r="W10" i="1" s="1"/>
  <c r="J11" i="8"/>
  <c r="J10" i="8"/>
  <c r="J9" i="8"/>
  <c r="J8" i="8"/>
  <c r="J7" i="8"/>
  <c r="J6" i="8"/>
  <c r="J5" i="8"/>
  <c r="P50" i="7"/>
  <c r="O50" i="7"/>
  <c r="Q50" i="7"/>
  <c r="N50" i="7"/>
  <c r="M50" i="7"/>
  <c r="L50" i="7"/>
  <c r="H11" i="8"/>
  <c r="H10" i="8"/>
  <c r="H9" i="8"/>
  <c r="H8" i="8"/>
  <c r="H7" i="8"/>
  <c r="H6" i="8"/>
  <c r="H5" i="8"/>
  <c r="P39" i="7"/>
  <c r="P29" i="7"/>
  <c r="P48" i="7"/>
  <c r="P47" i="7"/>
  <c r="P46" i="7"/>
  <c r="P45" i="7"/>
  <c r="P44" i="7"/>
  <c r="P43" i="7"/>
  <c r="P18" i="7"/>
  <c r="O63" i="7"/>
  <c r="O61" i="7"/>
  <c r="O60" i="7"/>
  <c r="O59" i="7"/>
  <c r="O58" i="7"/>
  <c r="Q48" i="7"/>
  <c r="N48" i="7"/>
  <c r="M48" i="7"/>
  <c r="L48" i="7"/>
  <c r="J48" i="7"/>
  <c r="I48" i="7"/>
  <c r="H48" i="7"/>
  <c r="G48" i="7"/>
  <c r="F48" i="7"/>
  <c r="E48" i="7"/>
  <c r="D48" i="7"/>
  <c r="C48" i="7"/>
  <c r="Q47" i="7"/>
  <c r="O47" i="7"/>
  <c r="N47" i="7"/>
  <c r="M47" i="7"/>
  <c r="L47" i="7"/>
  <c r="J47" i="7"/>
  <c r="I47" i="7"/>
  <c r="H47" i="7"/>
  <c r="G47" i="7"/>
  <c r="F47" i="7"/>
  <c r="E47" i="7"/>
  <c r="D47" i="7"/>
  <c r="C47" i="7"/>
  <c r="Q46" i="7"/>
  <c r="O46" i="7"/>
  <c r="N46" i="7"/>
  <c r="M46" i="7"/>
  <c r="L46" i="7"/>
  <c r="J46" i="7"/>
  <c r="I46" i="7"/>
  <c r="H46" i="7"/>
  <c r="G46" i="7"/>
  <c r="F46" i="7"/>
  <c r="E46" i="7"/>
  <c r="D46" i="7"/>
  <c r="C46" i="7"/>
  <c r="Q45" i="7"/>
  <c r="O45" i="7"/>
  <c r="N45" i="7"/>
  <c r="M45" i="7"/>
  <c r="L45" i="7"/>
  <c r="J45" i="7"/>
  <c r="I45" i="7"/>
  <c r="H45" i="7"/>
  <c r="G45" i="7"/>
  <c r="F45" i="7"/>
  <c r="E45" i="7"/>
  <c r="D45" i="7"/>
  <c r="C45" i="7"/>
  <c r="Q44" i="7"/>
  <c r="N44" i="7"/>
  <c r="M44" i="7"/>
  <c r="L44" i="7"/>
  <c r="J44" i="7"/>
  <c r="I44" i="7"/>
  <c r="H44" i="7"/>
  <c r="G44" i="7"/>
  <c r="F44" i="7"/>
  <c r="E44" i="7"/>
  <c r="D44" i="7"/>
  <c r="C44" i="7"/>
  <c r="Q43" i="7"/>
  <c r="N43" i="7"/>
  <c r="M43" i="7"/>
  <c r="L43" i="7"/>
  <c r="J43" i="7"/>
  <c r="I43" i="7"/>
  <c r="H43" i="7"/>
  <c r="G43" i="7"/>
  <c r="F43" i="7"/>
  <c r="E43" i="7"/>
  <c r="D43" i="7"/>
  <c r="C43" i="7"/>
  <c r="B48" i="7"/>
  <c r="B47" i="7"/>
  <c r="B46" i="7"/>
  <c r="B45" i="7"/>
  <c r="B44" i="7"/>
  <c r="B43" i="7"/>
  <c r="O37" i="7"/>
  <c r="O36" i="7"/>
  <c r="O35" i="7"/>
  <c r="O48" i="7" s="1"/>
  <c r="O34" i="7"/>
  <c r="O39" i="7" s="1"/>
  <c r="O33" i="7"/>
  <c r="O27" i="7"/>
  <c r="O26" i="7"/>
  <c r="O25" i="7"/>
  <c r="O23" i="7"/>
  <c r="O29" i="7" s="1"/>
  <c r="O22" i="7"/>
  <c r="O16" i="7"/>
  <c r="O15" i="7"/>
  <c r="O44" i="7" s="1"/>
  <c r="O14" i="7"/>
  <c r="O13" i="7"/>
  <c r="O12" i="7"/>
  <c r="O11" i="7"/>
  <c r="O43" i="7" s="1"/>
  <c r="O10" i="7"/>
  <c r="O9" i="7"/>
  <c r="O18" i="7" s="1"/>
  <c r="D42" i="1" l="1"/>
  <c r="D22" i="5"/>
  <c r="D24" i="5" s="1"/>
  <c r="O65" i="7"/>
  <c r="T6" i="8" l="1"/>
  <c r="P127" i="1"/>
  <c r="Q127" i="1" s="1"/>
  <c r="R127" i="1" s="1"/>
  <c r="S127" i="1" s="1"/>
  <c r="T127" i="1" s="1"/>
  <c r="U127" i="1" s="1"/>
  <c r="V127" i="1" s="1"/>
  <c r="W127" i="1" s="1"/>
  <c r="N57" i="10"/>
  <c r="J21" i="8"/>
  <c r="J20" i="8"/>
  <c r="J19" i="8"/>
  <c r="J18" i="8"/>
  <c r="J17" i="8"/>
  <c r="J16" i="8"/>
  <c r="L24" i="3"/>
  <c r="P65" i="7"/>
  <c r="N65" i="7"/>
  <c r="L65" i="7"/>
  <c r="M65" i="7"/>
  <c r="P9" i="5"/>
  <c r="P4" i="5" s="1"/>
  <c r="J15" i="1"/>
  <c r="K15" i="1"/>
  <c r="L15" i="1"/>
  <c r="F21" i="8"/>
  <c r="F22" i="8" s="1"/>
  <c r="F20" i="8"/>
  <c r="F19" i="8"/>
  <c r="F18" i="8"/>
  <c r="F17" i="8"/>
  <c r="F16" i="8"/>
  <c r="I21" i="8"/>
  <c r="I20" i="8"/>
  <c r="I19" i="8"/>
  <c r="I18" i="8"/>
  <c r="I17" i="8"/>
  <c r="I16" i="8"/>
  <c r="H21" i="8"/>
  <c r="H20" i="8"/>
  <c r="H19" i="8"/>
  <c r="H18" i="8"/>
  <c r="H17" i="8"/>
  <c r="H16" i="8"/>
  <c r="G20" i="8"/>
  <c r="G19" i="8"/>
  <c r="G18" i="8"/>
  <c r="G17" i="8"/>
  <c r="G16" i="8"/>
  <c r="I10" i="8"/>
  <c r="G10" i="8"/>
  <c r="I9" i="8"/>
  <c r="G9" i="8"/>
  <c r="I8" i="8"/>
  <c r="G8" i="8"/>
  <c r="I7" i="8"/>
  <c r="G7" i="8"/>
  <c r="I6" i="8"/>
  <c r="G6" i="8"/>
  <c r="I5" i="8"/>
  <c r="G5" i="8"/>
  <c r="F10" i="8"/>
  <c r="F9" i="8"/>
  <c r="F8" i="8"/>
  <c r="F7" i="8"/>
  <c r="F6" i="8"/>
  <c r="F5" i="8"/>
  <c r="E10" i="8"/>
  <c r="E21" i="8" s="1"/>
  <c r="E9" i="8"/>
  <c r="E20" i="8" s="1"/>
  <c r="E8" i="8"/>
  <c r="E7" i="8"/>
  <c r="E6" i="8"/>
  <c r="E5" i="8"/>
  <c r="E4" i="8"/>
  <c r="B10" i="8"/>
  <c r="B21" i="8" s="1"/>
  <c r="B9" i="8"/>
  <c r="B20" i="8" s="1"/>
  <c r="B8" i="8"/>
  <c r="B7" i="8"/>
  <c r="B6" i="8"/>
  <c r="B5" i="8"/>
  <c r="B4" i="8"/>
  <c r="L18" i="3"/>
  <c r="J22" i="8" l="1"/>
  <c r="G22" i="8"/>
  <c r="I22" i="8"/>
  <c r="G11" i="8"/>
  <c r="H22" i="8"/>
  <c r="J50" i="7"/>
  <c r="I50" i="7"/>
  <c r="H50" i="7"/>
  <c r="G50" i="7"/>
  <c r="F50" i="7"/>
  <c r="E50" i="7"/>
  <c r="D50" i="7"/>
  <c r="Q39" i="7"/>
  <c r="N39" i="7"/>
  <c r="M39" i="7"/>
  <c r="L39" i="7"/>
  <c r="J39" i="7"/>
  <c r="I39" i="7"/>
  <c r="H39" i="7"/>
  <c r="G39" i="7"/>
  <c r="F39" i="7"/>
  <c r="E39" i="7"/>
  <c r="D39" i="7"/>
  <c r="J29" i="7"/>
  <c r="I29" i="7"/>
  <c r="H29" i="7"/>
  <c r="G29" i="7"/>
  <c r="F29" i="7"/>
  <c r="E29" i="7"/>
  <c r="D29" i="7"/>
  <c r="J18" i="7"/>
  <c r="I18" i="7"/>
  <c r="H18" i="7"/>
  <c r="G18" i="7"/>
  <c r="F18" i="7"/>
  <c r="E18" i="7"/>
  <c r="D18" i="7"/>
  <c r="T2" i="8"/>
  <c r="F5" i="7" s="1"/>
  <c r="M18" i="7" l="1"/>
  <c r="M29" i="7"/>
  <c r="D5" i="7"/>
  <c r="Q29" i="7"/>
  <c r="N29" i="7"/>
  <c r="L29" i="7"/>
  <c r="Q18" i="7"/>
  <c r="N18" i="7"/>
  <c r="L18" i="7"/>
  <c r="C4" i="5" l="1"/>
  <c r="K73" i="5"/>
  <c r="J73" i="5"/>
  <c r="K72" i="5"/>
  <c r="J72" i="5"/>
  <c r="K71" i="5"/>
  <c r="J71" i="5"/>
  <c r="K70" i="5"/>
  <c r="J70" i="5"/>
  <c r="K69" i="5"/>
  <c r="J69" i="5"/>
  <c r="K68" i="5"/>
  <c r="J68" i="5"/>
  <c r="K67" i="5"/>
  <c r="J67" i="5"/>
  <c r="K66" i="5"/>
  <c r="J66" i="5"/>
  <c r="K65" i="5"/>
  <c r="J65" i="5"/>
  <c r="K64" i="5"/>
  <c r="J64" i="5"/>
  <c r="K63" i="5"/>
  <c r="J63" i="5"/>
  <c r="K62" i="5"/>
  <c r="J62" i="5"/>
  <c r="K61" i="5"/>
  <c r="J61" i="5"/>
  <c r="K60" i="5"/>
  <c r="J60" i="5"/>
  <c r="K59" i="5"/>
  <c r="J59" i="5"/>
  <c r="K58" i="5"/>
  <c r="J58" i="5"/>
  <c r="K57" i="5"/>
  <c r="J57" i="5"/>
  <c r="K56" i="5"/>
  <c r="J56" i="5"/>
  <c r="K55" i="5"/>
  <c r="J55" i="5"/>
  <c r="K54" i="5"/>
  <c r="J54" i="5"/>
  <c r="K53" i="5"/>
  <c r="J53" i="5"/>
  <c r="K52" i="5"/>
  <c r="J52" i="5"/>
  <c r="K51" i="5"/>
  <c r="J51" i="5"/>
  <c r="K50" i="5"/>
  <c r="J50" i="5"/>
  <c r="K49" i="5"/>
  <c r="J49" i="5"/>
  <c r="K48" i="5"/>
  <c r="J48" i="5"/>
  <c r="K47" i="5"/>
  <c r="J47" i="5"/>
  <c r="K46" i="5"/>
  <c r="J46" i="5"/>
  <c r="K45" i="5"/>
  <c r="J45" i="5"/>
  <c r="K44" i="5"/>
  <c r="J44" i="5"/>
  <c r="K43" i="5"/>
  <c r="J43" i="5"/>
  <c r="K42" i="5"/>
  <c r="J42" i="5"/>
  <c r="K41" i="5"/>
  <c r="J41" i="5"/>
  <c r="K40" i="5"/>
  <c r="J40" i="5"/>
  <c r="K39" i="5"/>
  <c r="J39" i="5"/>
  <c r="K38" i="5"/>
  <c r="J38" i="5"/>
  <c r="K37" i="5"/>
  <c r="J37" i="5"/>
  <c r="K36" i="5"/>
  <c r="J36" i="5"/>
  <c r="K35" i="5"/>
  <c r="J35" i="5"/>
  <c r="K34" i="5"/>
  <c r="J34" i="5"/>
  <c r="K33" i="5"/>
  <c r="J33" i="5"/>
  <c r="K32" i="5"/>
  <c r="J32" i="5"/>
  <c r="K31" i="5"/>
  <c r="J31" i="5"/>
  <c r="K30" i="5"/>
  <c r="J30" i="5"/>
  <c r="K29" i="5"/>
  <c r="J29" i="5"/>
  <c r="K28" i="5"/>
  <c r="J28" i="5"/>
  <c r="K27" i="5"/>
  <c r="J27" i="5"/>
  <c r="K26" i="5"/>
  <c r="J26" i="5"/>
  <c r="K25" i="5"/>
  <c r="J25" i="5"/>
  <c r="K24" i="5"/>
  <c r="J24" i="5"/>
  <c r="K23" i="5"/>
  <c r="J23" i="5"/>
  <c r="K22" i="5"/>
  <c r="J22" i="5"/>
  <c r="K21" i="5"/>
  <c r="J21" i="5"/>
  <c r="K20" i="5"/>
  <c r="J20" i="5"/>
  <c r="K19" i="5"/>
  <c r="J19" i="5"/>
  <c r="K18" i="5"/>
  <c r="J18" i="5"/>
  <c r="K17" i="5"/>
  <c r="J17" i="5"/>
  <c r="K16" i="5"/>
  <c r="J16" i="5"/>
  <c r="K15" i="5"/>
  <c r="J15" i="5"/>
  <c r="K14" i="5"/>
  <c r="J14" i="5"/>
  <c r="K13" i="5"/>
  <c r="J13" i="5"/>
  <c r="K12" i="5"/>
  <c r="J12" i="5"/>
  <c r="K11" i="5"/>
  <c r="J11" i="5"/>
  <c r="K10" i="5"/>
  <c r="J10" i="5"/>
  <c r="K9" i="5"/>
  <c r="J9" i="5"/>
  <c r="K8" i="5"/>
  <c r="J8" i="5"/>
  <c r="K7" i="5"/>
  <c r="J7" i="5"/>
  <c r="K6" i="5"/>
  <c r="J6" i="5"/>
  <c r="K5" i="5"/>
  <c r="J5" i="5"/>
  <c r="P5" i="5" l="1"/>
  <c r="P16" i="1"/>
  <c r="Q16" i="1" s="1"/>
  <c r="R16" i="1" s="1"/>
  <c r="S16" i="1" s="1"/>
  <c r="T16" i="1" s="1"/>
  <c r="U16" i="1" s="1"/>
  <c r="V16" i="1" s="1"/>
  <c r="W16" i="1" s="1"/>
  <c r="L155" i="1"/>
  <c r="L183" i="1" s="1"/>
  <c r="R56" i="10"/>
  <c r="S56" i="10" s="1"/>
  <c r="T56" i="10" s="1"/>
  <c r="U56" i="10" s="1"/>
  <c r="V56" i="10" s="1"/>
  <c r="I61" i="1"/>
  <c r="O7" i="8" l="1"/>
  <c r="O4" i="8"/>
  <c r="O2" i="8"/>
  <c r="E207" i="1" l="1"/>
  <c r="J76" i="1"/>
  <c r="H76" i="1"/>
  <c r="E76" i="1"/>
  <c r="I74" i="1"/>
  <c r="L29" i="1"/>
  <c r="K29" i="1"/>
  <c r="G29" i="1"/>
  <c r="F29" i="1"/>
  <c r="J150" i="1"/>
  <c r="H150" i="1"/>
  <c r="E150" i="1"/>
  <c r="D150" i="1"/>
  <c r="J116" i="1"/>
  <c r="H116" i="1"/>
  <c r="E116" i="1"/>
  <c r="D116" i="1"/>
  <c r="J35" i="10"/>
  <c r="C35" i="10"/>
  <c r="V35" i="10" s="1"/>
  <c r="V34" i="10"/>
  <c r="U34" i="10"/>
  <c r="T34" i="10"/>
  <c r="S34" i="10"/>
  <c r="R34" i="10"/>
  <c r="Q34" i="10"/>
  <c r="P34" i="10"/>
  <c r="O34" i="10"/>
  <c r="N34" i="10"/>
  <c r="M34" i="10"/>
  <c r="K34" i="10"/>
  <c r="J34" i="10"/>
  <c r="I34" i="10"/>
  <c r="H34" i="10"/>
  <c r="G34" i="10"/>
  <c r="F34" i="10"/>
  <c r="E34" i="10"/>
  <c r="D34" i="10"/>
  <c r="B34" i="10"/>
  <c r="C33" i="10"/>
  <c r="V33" i="10" s="1"/>
  <c r="B11" i="10"/>
  <c r="C9" i="10"/>
  <c r="C10" i="10" s="1"/>
  <c r="C11" i="10" s="1"/>
  <c r="C12" i="10" s="1"/>
  <c r="C7" i="10"/>
  <c r="C6" i="10" s="1"/>
  <c r="C5" i="10" s="1"/>
  <c r="C4" i="10" s="1"/>
  <c r="V34" i="9"/>
  <c r="U34" i="9"/>
  <c r="T34" i="9"/>
  <c r="S34" i="9"/>
  <c r="R34" i="9"/>
  <c r="Q34" i="9"/>
  <c r="P34" i="9"/>
  <c r="O34" i="9"/>
  <c r="N34" i="9"/>
  <c r="M34" i="9"/>
  <c r="K34" i="9"/>
  <c r="J34" i="9"/>
  <c r="I34" i="9"/>
  <c r="H34" i="9"/>
  <c r="G34" i="9"/>
  <c r="F34" i="9"/>
  <c r="E34" i="9"/>
  <c r="D34" i="9"/>
  <c r="C33" i="9"/>
  <c r="E33" i="9" s="1"/>
  <c r="C7" i="9"/>
  <c r="C6" i="9" s="1"/>
  <c r="C5" i="9" s="1"/>
  <c r="C4" i="9" s="1"/>
  <c r="C9" i="9"/>
  <c r="C10" i="9" s="1"/>
  <c r="C11" i="9" s="1"/>
  <c r="C12" i="9" s="1"/>
  <c r="C13" i="9" s="1"/>
  <c r="C14" i="9" s="1"/>
  <c r="C15" i="9" s="1"/>
  <c r="C16" i="9" s="1"/>
  <c r="C17" i="9" s="1"/>
  <c r="C18" i="9" s="1"/>
  <c r="C19" i="9" s="1"/>
  <c r="C20" i="9" s="1"/>
  <c r="C21" i="9" s="1"/>
  <c r="C22" i="9" s="1"/>
  <c r="D168" i="1"/>
  <c r="M167" i="1"/>
  <c r="L169" i="1"/>
  <c r="K169" i="1"/>
  <c r="J169" i="1"/>
  <c r="H169" i="1"/>
  <c r="G169" i="1"/>
  <c r="F169" i="1"/>
  <c r="B34" i="9"/>
  <c r="B33" i="9" s="1"/>
  <c r="B32" i="9" s="1"/>
  <c r="B31" i="9" s="1"/>
  <c r="C35" i="9"/>
  <c r="B11" i="9"/>
  <c r="J11" i="9" s="1"/>
  <c r="T11" i="10" l="1"/>
  <c r="P35" i="10"/>
  <c r="C32" i="10"/>
  <c r="R33" i="10"/>
  <c r="R35" i="10"/>
  <c r="I33" i="10"/>
  <c r="S33" i="10"/>
  <c r="G35" i="10"/>
  <c r="S35" i="10"/>
  <c r="M33" i="10"/>
  <c r="D33" i="10"/>
  <c r="O33" i="10"/>
  <c r="O35" i="10"/>
  <c r="F33" i="10"/>
  <c r="P33" i="10"/>
  <c r="D35" i="10"/>
  <c r="G33" i="10"/>
  <c r="F35" i="10"/>
  <c r="J33" i="10"/>
  <c r="I35" i="10"/>
  <c r="H11" i="9"/>
  <c r="G11" i="9"/>
  <c r="E11" i="9"/>
  <c r="V11" i="9"/>
  <c r="U11" i="9"/>
  <c r="M11" i="10"/>
  <c r="T11" i="9"/>
  <c r="D11" i="10"/>
  <c r="O11" i="10"/>
  <c r="V11" i="10"/>
  <c r="M11" i="9"/>
  <c r="E11" i="10"/>
  <c r="G11" i="10"/>
  <c r="P11" i="10"/>
  <c r="O11" i="9"/>
  <c r="D11" i="9"/>
  <c r="J11" i="10"/>
  <c r="S11" i="10"/>
  <c r="I11" i="10"/>
  <c r="Q11" i="10"/>
  <c r="N11" i="9"/>
  <c r="K11" i="10"/>
  <c r="U11" i="10"/>
  <c r="L34" i="10"/>
  <c r="B33" i="10"/>
  <c r="B32" i="10" s="1"/>
  <c r="B31" i="10" s="1"/>
  <c r="B30" i="10" s="1"/>
  <c r="B29" i="10" s="1"/>
  <c r="B28" i="10" s="1"/>
  <c r="B27" i="10" s="1"/>
  <c r="S11" i="9"/>
  <c r="K11" i="9"/>
  <c r="Q11" i="9"/>
  <c r="F11" i="9"/>
  <c r="L11" i="9"/>
  <c r="R11" i="9"/>
  <c r="P11" i="9"/>
  <c r="I11" i="9"/>
  <c r="F11" i="10"/>
  <c r="L11" i="10"/>
  <c r="R11" i="10"/>
  <c r="H11" i="10"/>
  <c r="N11" i="10"/>
  <c r="C13" i="10"/>
  <c r="C14" i="10" s="1"/>
  <c r="B10" i="10"/>
  <c r="E32" i="10"/>
  <c r="T32" i="10"/>
  <c r="N32" i="10"/>
  <c r="H32" i="10"/>
  <c r="C31" i="10"/>
  <c r="P32" i="10"/>
  <c r="G32" i="10"/>
  <c r="O32" i="10"/>
  <c r="M32" i="10"/>
  <c r="L32" i="10"/>
  <c r="T33" i="10"/>
  <c r="N33" i="10"/>
  <c r="H33" i="10"/>
  <c r="Q33" i="10"/>
  <c r="E33" i="10"/>
  <c r="L33" i="10"/>
  <c r="U33" i="10"/>
  <c r="C36" i="10"/>
  <c r="T35" i="10"/>
  <c r="N35" i="10"/>
  <c r="H35" i="10"/>
  <c r="Q35" i="10"/>
  <c r="K35" i="10"/>
  <c r="E35" i="10"/>
  <c r="L35" i="10"/>
  <c r="U35" i="10"/>
  <c r="U35" i="9"/>
  <c r="K35" i="9"/>
  <c r="V35" i="9"/>
  <c r="Q35" i="9"/>
  <c r="P35" i="9"/>
  <c r="V33" i="9"/>
  <c r="P33" i="9"/>
  <c r="I33" i="9"/>
  <c r="D33" i="9"/>
  <c r="S33" i="9"/>
  <c r="M33" i="9"/>
  <c r="F33" i="9"/>
  <c r="N33" i="9"/>
  <c r="U33" i="9"/>
  <c r="L33" i="9"/>
  <c r="C32" i="9"/>
  <c r="T33" i="9"/>
  <c r="J33" i="9"/>
  <c r="R33" i="9"/>
  <c r="H33" i="9"/>
  <c r="Q33" i="9"/>
  <c r="G33" i="9"/>
  <c r="O33" i="9"/>
  <c r="B10" i="9"/>
  <c r="J32" i="9"/>
  <c r="K33" i="9"/>
  <c r="E35" i="9"/>
  <c r="L34" i="9"/>
  <c r="J35" i="9"/>
  <c r="B30" i="9"/>
  <c r="L35" i="9"/>
  <c r="G35" i="9"/>
  <c r="S35" i="9"/>
  <c r="H35" i="9"/>
  <c r="N35" i="9"/>
  <c r="T35" i="9"/>
  <c r="D35" i="9"/>
  <c r="F35" i="9"/>
  <c r="R35" i="9"/>
  <c r="I35" i="9"/>
  <c r="O35" i="9"/>
  <c r="C36" i="9"/>
  <c r="V32" i="10" l="1"/>
  <c r="U32" i="10"/>
  <c r="D32" i="10"/>
  <c r="S32" i="10"/>
  <c r="I32" i="10"/>
  <c r="K32" i="10"/>
  <c r="F32" i="10"/>
  <c r="R32" i="10"/>
  <c r="Q32" i="10"/>
  <c r="J32" i="10"/>
  <c r="K33" i="10"/>
  <c r="D10" i="9"/>
  <c r="F10" i="9"/>
  <c r="L10" i="9"/>
  <c r="R10" i="9"/>
  <c r="E10" i="9"/>
  <c r="M10" i="9"/>
  <c r="T10" i="9"/>
  <c r="G10" i="9"/>
  <c r="N10" i="9"/>
  <c r="U10" i="9"/>
  <c r="H10" i="9"/>
  <c r="O10" i="9"/>
  <c r="V10" i="9"/>
  <c r="Q10" i="9"/>
  <c r="P10" i="9"/>
  <c r="S10" i="9"/>
  <c r="I10" i="9"/>
  <c r="J10" i="9"/>
  <c r="K10" i="9"/>
  <c r="V10" i="10"/>
  <c r="P10" i="10"/>
  <c r="J10" i="10"/>
  <c r="D10" i="10"/>
  <c r="U10" i="10"/>
  <c r="O10" i="10"/>
  <c r="I10" i="10"/>
  <c r="T10" i="10"/>
  <c r="N10" i="10"/>
  <c r="H10" i="10"/>
  <c r="S10" i="10"/>
  <c r="M10" i="10"/>
  <c r="G10" i="10"/>
  <c r="Q10" i="10"/>
  <c r="K10" i="10"/>
  <c r="E10" i="10"/>
  <c r="R10" i="10"/>
  <c r="L10" i="10"/>
  <c r="F10" i="10"/>
  <c r="B9" i="10"/>
  <c r="U36" i="10"/>
  <c r="O36" i="10"/>
  <c r="I36" i="10"/>
  <c r="S36" i="10"/>
  <c r="C37" i="10"/>
  <c r="R36" i="10"/>
  <c r="L36" i="10"/>
  <c r="F36" i="10"/>
  <c r="Q36" i="10"/>
  <c r="H36" i="10"/>
  <c r="P36" i="10"/>
  <c r="G36" i="10"/>
  <c r="E36" i="10"/>
  <c r="K36" i="10"/>
  <c r="J36" i="10"/>
  <c r="D36" i="10"/>
  <c r="V36" i="10"/>
  <c r="T36" i="10"/>
  <c r="M36" i="10"/>
  <c r="T31" i="10"/>
  <c r="N31" i="10"/>
  <c r="H31" i="10"/>
  <c r="Q31" i="10"/>
  <c r="K31" i="10"/>
  <c r="E31" i="10"/>
  <c r="U31" i="10"/>
  <c r="L31" i="10"/>
  <c r="S31" i="10"/>
  <c r="J31" i="10"/>
  <c r="R31" i="10"/>
  <c r="I31" i="10"/>
  <c r="C30" i="10"/>
  <c r="V31" i="10"/>
  <c r="D31" i="10"/>
  <c r="P31" i="10"/>
  <c r="O31" i="10"/>
  <c r="M31" i="10"/>
  <c r="G31" i="10"/>
  <c r="F31" i="10"/>
  <c r="C15" i="10"/>
  <c r="C31" i="9"/>
  <c r="U32" i="9"/>
  <c r="O32" i="9"/>
  <c r="H32" i="9"/>
  <c r="R32" i="9"/>
  <c r="L32" i="9"/>
  <c r="E32" i="9"/>
  <c r="V32" i="9"/>
  <c r="M32" i="9"/>
  <c r="T32" i="9"/>
  <c r="K32" i="9"/>
  <c r="I32" i="9"/>
  <c r="S32" i="9"/>
  <c r="Q32" i="9"/>
  <c r="G32" i="9"/>
  <c r="D32" i="9"/>
  <c r="P32" i="9"/>
  <c r="F32" i="9"/>
  <c r="N32" i="9"/>
  <c r="B9" i="9"/>
  <c r="B29" i="9"/>
  <c r="V36" i="9"/>
  <c r="P36" i="9"/>
  <c r="I36" i="9"/>
  <c r="T36" i="9"/>
  <c r="G36" i="9"/>
  <c r="L36" i="9"/>
  <c r="U36" i="9"/>
  <c r="O36" i="9"/>
  <c r="H36" i="9"/>
  <c r="M36" i="9"/>
  <c r="D36" i="9"/>
  <c r="S36" i="9"/>
  <c r="F36" i="9"/>
  <c r="R36" i="9"/>
  <c r="K36" i="9"/>
  <c r="J36" i="9"/>
  <c r="E36" i="9"/>
  <c r="Q36" i="9"/>
  <c r="C37" i="9"/>
  <c r="F9" i="9" l="1"/>
  <c r="L9" i="9"/>
  <c r="R9" i="9"/>
  <c r="I9" i="9"/>
  <c r="P9" i="9"/>
  <c r="J9" i="9"/>
  <c r="Q9" i="9"/>
  <c r="K9" i="9"/>
  <c r="S9" i="9"/>
  <c r="D9" i="9"/>
  <c r="G9" i="9"/>
  <c r="U9" i="9"/>
  <c r="E9" i="9"/>
  <c r="H9" i="9"/>
  <c r="V9" i="9"/>
  <c r="M9" i="9"/>
  <c r="N9" i="9"/>
  <c r="O9" i="9"/>
  <c r="T9" i="9"/>
  <c r="Q9" i="10"/>
  <c r="K9" i="10"/>
  <c r="E9" i="10"/>
  <c r="V9" i="10"/>
  <c r="P9" i="10"/>
  <c r="J9" i="10"/>
  <c r="D9" i="10"/>
  <c r="U9" i="10"/>
  <c r="O9" i="10"/>
  <c r="I9" i="10"/>
  <c r="T9" i="10"/>
  <c r="N9" i="10"/>
  <c r="H9" i="10"/>
  <c r="R9" i="10"/>
  <c r="L9" i="10"/>
  <c r="S9" i="10"/>
  <c r="M9" i="10"/>
  <c r="G9" i="10"/>
  <c r="F9" i="10"/>
  <c r="C16" i="10"/>
  <c r="B8" i="10"/>
  <c r="Q30" i="10"/>
  <c r="K30" i="10"/>
  <c r="E30" i="10"/>
  <c r="T30" i="10"/>
  <c r="N30" i="10"/>
  <c r="H30" i="10"/>
  <c r="O30" i="10"/>
  <c r="F30" i="10"/>
  <c r="V30" i="10"/>
  <c r="M30" i="10"/>
  <c r="D30" i="10"/>
  <c r="U30" i="10"/>
  <c r="L30" i="10"/>
  <c r="G30" i="10"/>
  <c r="S30" i="10"/>
  <c r="R30" i="10"/>
  <c r="C29" i="10"/>
  <c r="P30" i="10"/>
  <c r="J30" i="10"/>
  <c r="I30" i="10"/>
  <c r="C38" i="10"/>
  <c r="R37" i="10"/>
  <c r="L37" i="10"/>
  <c r="F37" i="10"/>
  <c r="V37" i="10"/>
  <c r="P37" i="10"/>
  <c r="J37" i="10"/>
  <c r="D37" i="10"/>
  <c r="U37" i="10"/>
  <c r="I37" i="10"/>
  <c r="T37" i="10"/>
  <c r="H37" i="10"/>
  <c r="S37" i="10"/>
  <c r="G37" i="10"/>
  <c r="Q37" i="10"/>
  <c r="E37" i="10"/>
  <c r="M37" i="10"/>
  <c r="K37" i="10"/>
  <c r="N37" i="10"/>
  <c r="B8" i="9"/>
  <c r="C30" i="9"/>
  <c r="T31" i="9"/>
  <c r="N31" i="9"/>
  <c r="G31" i="9"/>
  <c r="Q31" i="9"/>
  <c r="K31" i="9"/>
  <c r="U31" i="9"/>
  <c r="L31" i="9"/>
  <c r="S31" i="9"/>
  <c r="J31" i="9"/>
  <c r="R31" i="9"/>
  <c r="H31" i="9"/>
  <c r="P31" i="9"/>
  <c r="F31" i="9"/>
  <c r="O31" i="9"/>
  <c r="E31" i="9"/>
  <c r="D31" i="9"/>
  <c r="M31" i="9"/>
  <c r="V31" i="9"/>
  <c r="I31" i="9"/>
  <c r="Q37" i="9"/>
  <c r="J37" i="9"/>
  <c r="N37" i="9"/>
  <c r="T37" i="9"/>
  <c r="G37" i="9"/>
  <c r="V37" i="9"/>
  <c r="P37" i="9"/>
  <c r="I37" i="9"/>
  <c r="D37" i="9"/>
  <c r="U37" i="9"/>
  <c r="H37" i="9"/>
  <c r="M37" i="9"/>
  <c r="S37" i="9"/>
  <c r="E37" i="9"/>
  <c r="R37" i="9"/>
  <c r="L37" i="9"/>
  <c r="K37" i="9"/>
  <c r="F37" i="9"/>
  <c r="B28" i="9"/>
  <c r="C38" i="9"/>
  <c r="F8" i="9" l="1"/>
  <c r="L8" i="9"/>
  <c r="R8" i="9"/>
  <c r="E8" i="9"/>
  <c r="M8" i="9"/>
  <c r="T8" i="9"/>
  <c r="G8" i="9"/>
  <c r="N8" i="9"/>
  <c r="U8" i="9"/>
  <c r="D8" i="9"/>
  <c r="H8" i="9"/>
  <c r="O8" i="9"/>
  <c r="V8" i="9"/>
  <c r="J8" i="9"/>
  <c r="K8" i="9"/>
  <c r="P8" i="9"/>
  <c r="Q8" i="9"/>
  <c r="S8" i="9"/>
  <c r="I8" i="9"/>
  <c r="R8" i="10"/>
  <c r="L8" i="10"/>
  <c r="F8" i="10"/>
  <c r="Q8" i="10"/>
  <c r="K8" i="10"/>
  <c r="E8" i="10"/>
  <c r="V8" i="10"/>
  <c r="P8" i="10"/>
  <c r="J8" i="10"/>
  <c r="D8" i="10"/>
  <c r="U8" i="10"/>
  <c r="O8" i="10"/>
  <c r="I8" i="10"/>
  <c r="S8" i="10"/>
  <c r="M8" i="10"/>
  <c r="G8" i="10"/>
  <c r="T8" i="10"/>
  <c r="N8" i="10"/>
  <c r="H8" i="10"/>
  <c r="B7" i="10"/>
  <c r="T29" i="10"/>
  <c r="N29" i="10"/>
  <c r="H29" i="10"/>
  <c r="Q29" i="10"/>
  <c r="K29" i="10"/>
  <c r="E29" i="10"/>
  <c r="R29" i="10"/>
  <c r="I29" i="10"/>
  <c r="C28" i="10"/>
  <c r="P29" i="10"/>
  <c r="G29" i="10"/>
  <c r="O29" i="10"/>
  <c r="F29" i="10"/>
  <c r="J29" i="10"/>
  <c r="V29" i="10"/>
  <c r="D29" i="10"/>
  <c r="U29" i="10"/>
  <c r="S29" i="10"/>
  <c r="L29" i="10"/>
  <c r="M29" i="10"/>
  <c r="C17" i="10"/>
  <c r="U38" i="10"/>
  <c r="O38" i="10"/>
  <c r="I38" i="10"/>
  <c r="S38" i="10"/>
  <c r="M38" i="10"/>
  <c r="G38" i="10"/>
  <c r="C39" i="10"/>
  <c r="R38" i="10"/>
  <c r="L38" i="10"/>
  <c r="F38" i="10"/>
  <c r="K38" i="10"/>
  <c r="V38" i="10"/>
  <c r="J38" i="10"/>
  <c r="T38" i="10"/>
  <c r="H38" i="10"/>
  <c r="N38" i="10"/>
  <c r="E38" i="10"/>
  <c r="D38" i="10"/>
  <c r="Q38" i="10"/>
  <c r="C29" i="9"/>
  <c r="S30" i="9"/>
  <c r="M30" i="9"/>
  <c r="F30" i="9"/>
  <c r="V30" i="9"/>
  <c r="P30" i="9"/>
  <c r="J30" i="9"/>
  <c r="D30" i="9"/>
  <c r="T30" i="9"/>
  <c r="K30" i="9"/>
  <c r="R30" i="9"/>
  <c r="I30" i="9"/>
  <c r="Q30" i="9"/>
  <c r="G30" i="9"/>
  <c r="O30" i="9"/>
  <c r="E30" i="9"/>
  <c r="N30" i="9"/>
  <c r="U30" i="9"/>
  <c r="L30" i="9"/>
  <c r="H30" i="9"/>
  <c r="B7" i="9"/>
  <c r="B27" i="9"/>
  <c r="R38" i="9"/>
  <c r="K38" i="9"/>
  <c r="E38" i="9"/>
  <c r="D38" i="9"/>
  <c r="V38" i="9"/>
  <c r="I38" i="9"/>
  <c r="N38" i="9"/>
  <c r="Q38" i="9"/>
  <c r="J38" i="9"/>
  <c r="O38" i="9"/>
  <c r="U38" i="9"/>
  <c r="H38" i="9"/>
  <c r="T38" i="9"/>
  <c r="M38" i="9"/>
  <c r="L38" i="9"/>
  <c r="G38" i="9"/>
  <c r="F38" i="9"/>
  <c r="S38" i="9"/>
  <c r="C39" i="9"/>
  <c r="F7" i="9" l="1"/>
  <c r="L7" i="9"/>
  <c r="R7" i="9"/>
  <c r="I7" i="9"/>
  <c r="P7" i="9"/>
  <c r="D7" i="9"/>
  <c r="J7" i="9"/>
  <c r="Q7" i="9"/>
  <c r="K7" i="9"/>
  <c r="S7" i="9"/>
  <c r="N7" i="9"/>
  <c r="M7" i="9"/>
  <c r="O7" i="9"/>
  <c r="E7" i="9"/>
  <c r="T7" i="9"/>
  <c r="G7" i="9"/>
  <c r="U7" i="9"/>
  <c r="H7" i="9"/>
  <c r="V7" i="9"/>
  <c r="S7" i="10"/>
  <c r="M7" i="10"/>
  <c r="G7" i="10"/>
  <c r="R7" i="10"/>
  <c r="L7" i="10"/>
  <c r="F7" i="10"/>
  <c r="Q7" i="10"/>
  <c r="K7" i="10"/>
  <c r="E7" i="10"/>
  <c r="T7" i="10"/>
  <c r="V7" i="10"/>
  <c r="P7" i="10"/>
  <c r="J7" i="10"/>
  <c r="D7" i="10"/>
  <c r="I7" i="10"/>
  <c r="N7" i="10"/>
  <c r="U7" i="10"/>
  <c r="O7" i="10"/>
  <c r="H7" i="10"/>
  <c r="B6" i="10"/>
  <c r="C18" i="10"/>
  <c r="Q28" i="10"/>
  <c r="K28" i="10"/>
  <c r="E28" i="10"/>
  <c r="T28" i="10"/>
  <c r="N28" i="10"/>
  <c r="H28" i="10"/>
  <c r="U28" i="10"/>
  <c r="L28" i="10"/>
  <c r="S28" i="10"/>
  <c r="J28" i="10"/>
  <c r="R28" i="10"/>
  <c r="I28" i="10"/>
  <c r="C27" i="10"/>
  <c r="M28" i="10"/>
  <c r="G28" i="10"/>
  <c r="F28" i="10"/>
  <c r="V28" i="10"/>
  <c r="D28" i="10"/>
  <c r="P28" i="10"/>
  <c r="O28" i="10"/>
  <c r="C40" i="10"/>
  <c r="R39" i="10"/>
  <c r="L39" i="10"/>
  <c r="F39" i="10"/>
  <c r="V39" i="10"/>
  <c r="P39" i="10"/>
  <c r="J39" i="10"/>
  <c r="D39" i="10"/>
  <c r="U39" i="10"/>
  <c r="O39" i="10"/>
  <c r="I39" i="10"/>
  <c r="N39" i="10"/>
  <c r="M39" i="10"/>
  <c r="K39" i="10"/>
  <c r="S39" i="10"/>
  <c r="H39" i="10"/>
  <c r="G39" i="10"/>
  <c r="E39" i="10"/>
  <c r="T39" i="10"/>
  <c r="B6" i="9"/>
  <c r="C28" i="9"/>
  <c r="R29" i="9"/>
  <c r="L29" i="9"/>
  <c r="E29" i="9"/>
  <c r="U29" i="9"/>
  <c r="O29" i="9"/>
  <c r="I29" i="9"/>
  <c r="S29" i="9"/>
  <c r="J29" i="9"/>
  <c r="Q29" i="9"/>
  <c r="F29" i="9"/>
  <c r="H29" i="9"/>
  <c r="P29" i="9"/>
  <c r="N29" i="9"/>
  <c r="V29" i="9"/>
  <c r="M29" i="9"/>
  <c r="K29" i="9"/>
  <c r="D29" i="9"/>
  <c r="T29" i="9"/>
  <c r="G29" i="9"/>
  <c r="S39" i="9"/>
  <c r="L39" i="9"/>
  <c r="F39" i="9"/>
  <c r="P39" i="9"/>
  <c r="V39" i="9"/>
  <c r="I39" i="9"/>
  <c r="R39" i="9"/>
  <c r="K39" i="9"/>
  <c r="E39" i="9"/>
  <c r="J39" i="9"/>
  <c r="O39" i="9"/>
  <c r="U39" i="9"/>
  <c r="G39" i="9"/>
  <c r="T39" i="9"/>
  <c r="N39" i="9"/>
  <c r="M39" i="9"/>
  <c r="D39" i="9"/>
  <c r="H39" i="9"/>
  <c r="C40" i="9"/>
  <c r="D6" i="9" l="1"/>
  <c r="F6" i="9"/>
  <c r="L6" i="9"/>
  <c r="R6" i="9"/>
  <c r="E6" i="9"/>
  <c r="M6" i="9"/>
  <c r="T6" i="9"/>
  <c r="G6" i="9"/>
  <c r="N6" i="9"/>
  <c r="U6" i="9"/>
  <c r="H6" i="9"/>
  <c r="O6" i="9"/>
  <c r="V6" i="9"/>
  <c r="Q6" i="9"/>
  <c r="S6" i="9"/>
  <c r="I6" i="9"/>
  <c r="J6" i="9"/>
  <c r="K6" i="9"/>
  <c r="P6" i="9"/>
  <c r="T6" i="10"/>
  <c r="N6" i="10"/>
  <c r="H6" i="10"/>
  <c r="S6" i="10"/>
  <c r="M6" i="10"/>
  <c r="G6" i="10"/>
  <c r="R6" i="10"/>
  <c r="L6" i="10"/>
  <c r="F6" i="10"/>
  <c r="Q6" i="10"/>
  <c r="K6" i="10"/>
  <c r="E6" i="10"/>
  <c r="U6" i="10"/>
  <c r="O6" i="10"/>
  <c r="V6" i="10"/>
  <c r="P6" i="10"/>
  <c r="J6" i="10"/>
  <c r="D6" i="10"/>
  <c r="I6" i="10"/>
  <c r="T27" i="10"/>
  <c r="N27" i="10"/>
  <c r="H27" i="10"/>
  <c r="Q27" i="10"/>
  <c r="K27" i="10"/>
  <c r="E27" i="10"/>
  <c r="O27" i="10"/>
  <c r="F27" i="10"/>
  <c r="V27" i="10"/>
  <c r="M27" i="10"/>
  <c r="D27" i="10"/>
  <c r="U27" i="10"/>
  <c r="L27" i="10"/>
  <c r="P27" i="10"/>
  <c r="J27" i="10"/>
  <c r="I27" i="10"/>
  <c r="G27" i="10"/>
  <c r="S27" i="10"/>
  <c r="R27" i="10"/>
  <c r="C19" i="10"/>
  <c r="B5" i="10"/>
  <c r="U40" i="10"/>
  <c r="O40" i="10"/>
  <c r="I40" i="10"/>
  <c r="S40" i="10"/>
  <c r="M40" i="10"/>
  <c r="G40" i="10"/>
  <c r="C41" i="10"/>
  <c r="L40" i="10"/>
  <c r="F40" i="10"/>
  <c r="Q40" i="10"/>
  <c r="E40" i="10"/>
  <c r="P40" i="10"/>
  <c r="D40" i="10"/>
  <c r="N40" i="10"/>
  <c r="V40" i="10"/>
  <c r="T40" i="10"/>
  <c r="K40" i="10"/>
  <c r="J40" i="10"/>
  <c r="H40" i="10"/>
  <c r="C27" i="9"/>
  <c r="Q28" i="9"/>
  <c r="K28" i="9"/>
  <c r="T28" i="9"/>
  <c r="N28" i="9"/>
  <c r="H28" i="9"/>
  <c r="R28" i="9"/>
  <c r="I28" i="9"/>
  <c r="D28" i="9"/>
  <c r="P28" i="9"/>
  <c r="G28" i="9"/>
  <c r="O28" i="9"/>
  <c r="E28" i="9"/>
  <c r="V28" i="9"/>
  <c r="M28" i="9"/>
  <c r="U28" i="9"/>
  <c r="L28" i="9"/>
  <c r="J28" i="9"/>
  <c r="S28" i="9"/>
  <c r="F28" i="9"/>
  <c r="B5" i="9"/>
  <c r="T40" i="9"/>
  <c r="M40" i="9"/>
  <c r="G40" i="9"/>
  <c r="K40" i="9"/>
  <c r="S40" i="9"/>
  <c r="L40" i="9"/>
  <c r="F40" i="9"/>
  <c r="Q40" i="9"/>
  <c r="E40" i="9"/>
  <c r="P40" i="9"/>
  <c r="J40" i="9"/>
  <c r="V40" i="9"/>
  <c r="O40" i="9"/>
  <c r="D40" i="9"/>
  <c r="I40" i="9"/>
  <c r="H40" i="9"/>
  <c r="U40" i="9"/>
  <c r="N40" i="9"/>
  <c r="C41" i="9"/>
  <c r="F5" i="9" l="1"/>
  <c r="L5" i="9"/>
  <c r="R5" i="9"/>
  <c r="D5" i="9"/>
  <c r="I5" i="9"/>
  <c r="P5" i="9"/>
  <c r="J5" i="9"/>
  <c r="Q5" i="9"/>
  <c r="K5" i="9"/>
  <c r="S5" i="9"/>
  <c r="G5" i="9"/>
  <c r="U5" i="9"/>
  <c r="E5" i="9"/>
  <c r="H5" i="9"/>
  <c r="V5" i="9"/>
  <c r="M5" i="9"/>
  <c r="N5" i="9"/>
  <c r="O5" i="9"/>
  <c r="T5" i="9"/>
  <c r="U5" i="10"/>
  <c r="O5" i="10"/>
  <c r="I5" i="10"/>
  <c r="T5" i="10"/>
  <c r="N5" i="10"/>
  <c r="H5" i="10"/>
  <c r="S5" i="10"/>
  <c r="M5" i="10"/>
  <c r="G5" i="10"/>
  <c r="P5" i="10"/>
  <c r="R5" i="10"/>
  <c r="L5" i="10"/>
  <c r="F5" i="10"/>
  <c r="V5" i="10"/>
  <c r="J5" i="10"/>
  <c r="Q5" i="10"/>
  <c r="K5" i="10"/>
  <c r="E5" i="10"/>
  <c r="D5" i="10"/>
  <c r="C42" i="10"/>
  <c r="R41" i="10"/>
  <c r="L41" i="10"/>
  <c r="F41" i="10"/>
  <c r="V41" i="10"/>
  <c r="P41" i="10"/>
  <c r="J41" i="10"/>
  <c r="D41" i="10"/>
  <c r="U41" i="10"/>
  <c r="O41" i="10"/>
  <c r="I41" i="10"/>
  <c r="T41" i="10"/>
  <c r="H41" i="10"/>
  <c r="G41" i="10"/>
  <c r="Q41" i="10"/>
  <c r="E41" i="10"/>
  <c r="N41" i="10"/>
  <c r="M41" i="10"/>
  <c r="K41" i="10"/>
  <c r="C20" i="10"/>
  <c r="B4" i="10"/>
  <c r="B4" i="9"/>
  <c r="V27" i="9"/>
  <c r="P27" i="9"/>
  <c r="J27" i="9"/>
  <c r="D27" i="9"/>
  <c r="S27" i="9"/>
  <c r="M27" i="9"/>
  <c r="G27" i="9"/>
  <c r="Q27" i="9"/>
  <c r="H27" i="9"/>
  <c r="O27" i="9"/>
  <c r="F27" i="9"/>
  <c r="N27" i="9"/>
  <c r="U27" i="9"/>
  <c r="L27" i="9"/>
  <c r="T27" i="9"/>
  <c r="K27" i="9"/>
  <c r="R27" i="9"/>
  <c r="I27" i="9"/>
  <c r="E27" i="9"/>
  <c r="U41" i="9"/>
  <c r="N41" i="9"/>
  <c r="H41" i="9"/>
  <c r="R41" i="9"/>
  <c r="F41" i="9"/>
  <c r="K41" i="9"/>
  <c r="T41" i="9"/>
  <c r="M41" i="9"/>
  <c r="G41" i="9"/>
  <c r="L41" i="9"/>
  <c r="Q41" i="9"/>
  <c r="E41" i="9"/>
  <c r="D41" i="9"/>
  <c r="J41" i="9"/>
  <c r="I41" i="9"/>
  <c r="V41" i="9"/>
  <c r="P41" i="9"/>
  <c r="O41" i="9"/>
  <c r="C42" i="9"/>
  <c r="D4" i="9" l="1"/>
  <c r="F4" i="9"/>
  <c r="L4" i="9"/>
  <c r="R4" i="9"/>
  <c r="E4" i="9"/>
  <c r="M4" i="9"/>
  <c r="T4" i="9"/>
  <c r="G4" i="9"/>
  <c r="N4" i="9"/>
  <c r="U4" i="9"/>
  <c r="H4" i="9"/>
  <c r="O4" i="9"/>
  <c r="V4" i="9"/>
  <c r="J4" i="9"/>
  <c r="K4" i="9"/>
  <c r="P4" i="9"/>
  <c r="Q4" i="9"/>
  <c r="S4" i="9"/>
  <c r="I4" i="9"/>
  <c r="V4" i="10"/>
  <c r="P4" i="10"/>
  <c r="J4" i="10"/>
  <c r="D4" i="10"/>
  <c r="U4" i="10"/>
  <c r="O4" i="10"/>
  <c r="I4" i="10"/>
  <c r="T4" i="10"/>
  <c r="N4" i="10"/>
  <c r="H4" i="10"/>
  <c r="Q4" i="10"/>
  <c r="E4" i="10"/>
  <c r="S4" i="10"/>
  <c r="M4" i="10"/>
  <c r="G4" i="10"/>
  <c r="R4" i="10"/>
  <c r="F4" i="10"/>
  <c r="K4" i="10"/>
  <c r="L4" i="10"/>
  <c r="C21" i="10"/>
  <c r="U42" i="10"/>
  <c r="O42" i="10"/>
  <c r="I42" i="10"/>
  <c r="S42" i="10"/>
  <c r="M42" i="10"/>
  <c r="G42" i="10"/>
  <c r="C43" i="10"/>
  <c r="R42" i="10"/>
  <c r="L42" i="10"/>
  <c r="F42" i="10"/>
  <c r="K42" i="10"/>
  <c r="V42" i="10"/>
  <c r="J42" i="10"/>
  <c r="H42" i="10"/>
  <c r="D42" i="10"/>
  <c r="Q42" i="10"/>
  <c r="P42" i="10"/>
  <c r="N42" i="10"/>
  <c r="E42" i="10"/>
  <c r="V42" i="9"/>
  <c r="O42" i="9"/>
  <c r="I42" i="9"/>
  <c r="S42" i="9"/>
  <c r="M42" i="9"/>
  <c r="D42" i="9"/>
  <c r="U42" i="9"/>
  <c r="N42" i="9"/>
  <c r="H42" i="9"/>
  <c r="G42" i="9"/>
  <c r="R42" i="9"/>
  <c r="L42" i="9"/>
  <c r="F42" i="9"/>
  <c r="E42" i="9"/>
  <c r="K42" i="9"/>
  <c r="Q42" i="9"/>
  <c r="P42" i="9"/>
  <c r="J42" i="9"/>
  <c r="C43" i="9"/>
  <c r="C22" i="10" l="1"/>
  <c r="C44" i="10"/>
  <c r="R43" i="10"/>
  <c r="L43" i="10"/>
  <c r="F43" i="10"/>
  <c r="V43" i="10"/>
  <c r="P43" i="10"/>
  <c r="J43" i="10"/>
  <c r="D43" i="10"/>
  <c r="O43" i="10"/>
  <c r="I43" i="10"/>
  <c r="N43" i="10"/>
  <c r="M43" i="10"/>
  <c r="K43" i="10"/>
  <c r="G43" i="10"/>
  <c r="E43" i="10"/>
  <c r="T43" i="10"/>
  <c r="S43" i="10"/>
  <c r="Q43" i="10"/>
  <c r="H43" i="10"/>
  <c r="P43" i="9"/>
  <c r="J43" i="9"/>
  <c r="T43" i="9"/>
  <c r="N43" i="9"/>
  <c r="V43" i="9"/>
  <c r="O43" i="9"/>
  <c r="I43" i="9"/>
  <c r="D43" i="9"/>
  <c r="H43" i="9"/>
  <c r="S43" i="9"/>
  <c r="M43" i="9"/>
  <c r="G43" i="9"/>
  <c r="F43" i="9"/>
  <c r="R43" i="9"/>
  <c r="Q43" i="9"/>
  <c r="K43" i="9"/>
  <c r="E43" i="9"/>
  <c r="L43" i="9"/>
  <c r="C44" i="9"/>
  <c r="U44" i="10" l="1"/>
  <c r="O44" i="10"/>
  <c r="I44" i="10"/>
  <c r="S44" i="10"/>
  <c r="M44" i="10"/>
  <c r="G44" i="10"/>
  <c r="C45" i="10"/>
  <c r="R44" i="10"/>
  <c r="L44" i="10"/>
  <c r="F44" i="10"/>
  <c r="Q44" i="10"/>
  <c r="E44" i="10"/>
  <c r="P44" i="10"/>
  <c r="D44" i="10"/>
  <c r="N44" i="10"/>
  <c r="J44" i="10"/>
  <c r="H44" i="10"/>
  <c r="T44" i="10"/>
  <c r="K44" i="10"/>
  <c r="Q44" i="9"/>
  <c r="K44" i="9"/>
  <c r="E44" i="9"/>
  <c r="D44" i="9"/>
  <c r="U44" i="9"/>
  <c r="O44" i="9"/>
  <c r="I44" i="9"/>
  <c r="T44" i="9"/>
  <c r="G44" i="9"/>
  <c r="P44" i="9"/>
  <c r="J44" i="9"/>
  <c r="N44" i="9"/>
  <c r="H44" i="9"/>
  <c r="S44" i="9"/>
  <c r="M44" i="9"/>
  <c r="L44" i="9"/>
  <c r="R44" i="9"/>
  <c r="F44" i="9"/>
  <c r="C45" i="9"/>
  <c r="R45" i="10" l="1"/>
  <c r="L45" i="10"/>
  <c r="L46" i="10" s="1"/>
  <c r="F45" i="10"/>
  <c r="F46" i="10" s="1"/>
  <c r="V45" i="10"/>
  <c r="P45" i="10"/>
  <c r="J45" i="10"/>
  <c r="J46" i="10" s="1"/>
  <c r="D45" i="10"/>
  <c r="D46" i="10" s="1"/>
  <c r="U45" i="10"/>
  <c r="O45" i="10"/>
  <c r="I45" i="10"/>
  <c r="I46" i="10" s="1"/>
  <c r="T45" i="10"/>
  <c r="H45" i="10"/>
  <c r="H46" i="10" s="1"/>
  <c r="S45" i="10"/>
  <c r="G45" i="10"/>
  <c r="G46" i="10" s="1"/>
  <c r="Q45" i="10"/>
  <c r="E45" i="10"/>
  <c r="E46" i="10" s="1"/>
  <c r="N45" i="10"/>
  <c r="M45" i="10"/>
  <c r="K45" i="10"/>
  <c r="K46" i="10" s="1"/>
  <c r="R45" i="9"/>
  <c r="L45" i="9"/>
  <c r="L46" i="9" s="1"/>
  <c r="F45" i="9"/>
  <c r="F46" i="9" s="1"/>
  <c r="V45" i="9"/>
  <c r="J45" i="9"/>
  <c r="J46" i="9" s="1"/>
  <c r="N45" i="9"/>
  <c r="Q45" i="9"/>
  <c r="K45" i="9"/>
  <c r="K46" i="9" s="1"/>
  <c r="E45" i="9"/>
  <c r="E46" i="9" s="1"/>
  <c r="P45" i="9"/>
  <c r="U45" i="9"/>
  <c r="O45" i="9"/>
  <c r="I45" i="9"/>
  <c r="I46" i="9" s="1"/>
  <c r="T45" i="9"/>
  <c r="H45" i="9"/>
  <c r="H46" i="9" s="1"/>
  <c r="D45" i="9"/>
  <c r="D46" i="9" s="1"/>
  <c r="G45" i="9"/>
  <c r="G46" i="9" s="1"/>
  <c r="S45" i="9"/>
  <c r="M45" i="9"/>
  <c r="N173" i="1" l="1"/>
  <c r="O173" i="1" s="1"/>
  <c r="M135" i="1"/>
  <c r="N135" i="1" s="1"/>
  <c r="M146" i="1"/>
  <c r="N146" i="1" s="1"/>
  <c r="O146" i="1" s="1"/>
  <c r="P146" i="1" s="1"/>
  <c r="Q146" i="1" s="1"/>
  <c r="R146" i="1" s="1"/>
  <c r="S146" i="1" s="1"/>
  <c r="T146" i="1" s="1"/>
  <c r="U146" i="1" s="1"/>
  <c r="V146" i="1" s="1"/>
  <c r="W146" i="1" s="1"/>
  <c r="U145" i="1"/>
  <c r="T145" i="1"/>
  <c r="S145" i="1"/>
  <c r="R145" i="1"/>
  <c r="Q145" i="1"/>
  <c r="P145" i="1"/>
  <c r="M143" i="1"/>
  <c r="N143" i="1" s="1"/>
  <c r="P138" i="1"/>
  <c r="Q138" i="1" s="1"/>
  <c r="M137" i="1"/>
  <c r="M139" i="1" s="1"/>
  <c r="M131" i="1"/>
  <c r="M132" i="1" s="1"/>
  <c r="M129" i="1"/>
  <c r="N129" i="1" s="1"/>
  <c r="L127" i="1"/>
  <c r="K127" i="1"/>
  <c r="J127" i="1"/>
  <c r="H127" i="1"/>
  <c r="G127" i="1"/>
  <c r="F127" i="1"/>
  <c r="E127" i="1"/>
  <c r="D127" i="1"/>
  <c r="M124" i="1"/>
  <c r="N124" i="1" s="1"/>
  <c r="M120" i="1"/>
  <c r="N120" i="1" s="1"/>
  <c r="M118" i="1"/>
  <c r="N118" i="1" s="1"/>
  <c r="M115" i="1"/>
  <c r="M200" i="1"/>
  <c r="M202" i="1" s="1"/>
  <c r="M111" i="1"/>
  <c r="N111" i="1" s="1"/>
  <c r="O59" i="1" s="1"/>
  <c r="M109" i="1"/>
  <c r="N109" i="1" s="1"/>
  <c r="O109" i="1" s="1"/>
  <c r="P109" i="1" s="1"/>
  <c r="Q109" i="1" s="1"/>
  <c r="R109" i="1" s="1"/>
  <c r="S109" i="1" s="1"/>
  <c r="T109" i="1" s="1"/>
  <c r="U109" i="1" s="1"/>
  <c r="V109" i="1" s="1"/>
  <c r="W109" i="1" s="1"/>
  <c r="M107" i="1"/>
  <c r="N107" i="1" s="1"/>
  <c r="W91" i="1"/>
  <c r="V91" i="1"/>
  <c r="U91" i="1"/>
  <c r="T91" i="1"/>
  <c r="S91" i="1"/>
  <c r="R91" i="1"/>
  <c r="Q91" i="1"/>
  <c r="P91" i="1"/>
  <c r="O91" i="1"/>
  <c r="N85" i="1"/>
  <c r="N87" i="1" s="1"/>
  <c r="M87" i="1"/>
  <c r="I60" i="1"/>
  <c r="M59" i="1"/>
  <c r="W51" i="1"/>
  <c r="V51" i="1"/>
  <c r="U51" i="1"/>
  <c r="T51" i="1"/>
  <c r="S51" i="1"/>
  <c r="R51" i="1"/>
  <c r="Q51" i="1"/>
  <c r="P51" i="1"/>
  <c r="O51" i="1"/>
  <c r="N51" i="1"/>
  <c r="M51" i="1"/>
  <c r="P30" i="1"/>
  <c r="Q30" i="1" s="1"/>
  <c r="R30" i="1" s="1"/>
  <c r="S30" i="1" s="1"/>
  <c r="T30" i="1" s="1"/>
  <c r="U30" i="1" s="1"/>
  <c r="V30" i="1" s="1"/>
  <c r="W30" i="1" s="1"/>
  <c r="J39" i="1"/>
  <c r="H39" i="1"/>
  <c r="E39" i="1"/>
  <c r="D39" i="1"/>
  <c r="C39" i="1"/>
  <c r="P12" i="1"/>
  <c r="Q12" i="1" s="1"/>
  <c r="R12" i="1" s="1"/>
  <c r="S12" i="1" s="1"/>
  <c r="T12" i="1" s="1"/>
  <c r="U12" i="1" s="1"/>
  <c r="V12" i="1" s="1"/>
  <c r="W12" i="1" s="1"/>
  <c r="M13" i="1"/>
  <c r="D52" i="1"/>
  <c r="E9" i="4"/>
  <c r="I167" i="1"/>
  <c r="I189" i="1" s="1"/>
  <c r="H187" i="1"/>
  <c r="M11" i="1"/>
  <c r="N11" i="1" s="1"/>
  <c r="O11" i="1" s="1"/>
  <c r="I13" i="1"/>
  <c r="I15" i="1" s="1"/>
  <c r="D15" i="1"/>
  <c r="C15" i="1"/>
  <c r="L14" i="1"/>
  <c r="K14" i="1"/>
  <c r="J14" i="1"/>
  <c r="H14" i="1"/>
  <c r="G14" i="1"/>
  <c r="F14" i="1"/>
  <c r="D14" i="1"/>
  <c r="L12" i="1"/>
  <c r="K12" i="1"/>
  <c r="J12" i="1"/>
  <c r="H12" i="1"/>
  <c r="G12" i="1"/>
  <c r="F12" i="1"/>
  <c r="D12" i="1"/>
  <c r="L10" i="1"/>
  <c r="K10" i="1"/>
  <c r="J10" i="1"/>
  <c r="H10" i="1"/>
  <c r="G10" i="1"/>
  <c r="F10" i="1"/>
  <c r="D10" i="1"/>
  <c r="O124" i="1" l="1"/>
  <c r="P124" i="1" s="1"/>
  <c r="Q124" i="1" s="1"/>
  <c r="R124" i="1" s="1"/>
  <c r="S124" i="1" s="1"/>
  <c r="T124" i="1" s="1"/>
  <c r="U124" i="1" s="1"/>
  <c r="V124" i="1" s="1"/>
  <c r="W124" i="1" s="1"/>
  <c r="O107" i="1"/>
  <c r="P107" i="1" s="1"/>
  <c r="Q107" i="1" s="1"/>
  <c r="R107" i="1" s="1"/>
  <c r="S107" i="1" s="1"/>
  <c r="T107" i="1" s="1"/>
  <c r="U107" i="1" s="1"/>
  <c r="V107" i="1" s="1"/>
  <c r="W107" i="1" s="1"/>
  <c r="N13" i="1"/>
  <c r="N15" i="1" s="1"/>
  <c r="O15" i="1" s="1"/>
  <c r="M126" i="1"/>
  <c r="M128" i="1" s="1"/>
  <c r="I168" i="1"/>
  <c r="B35" i="10"/>
  <c r="I16" i="1"/>
  <c r="D16" i="1"/>
  <c r="I169" i="1"/>
  <c r="B35" i="9"/>
  <c r="M145" i="1"/>
  <c r="N131" i="1"/>
  <c r="O131" i="1" s="1"/>
  <c r="P131" i="1" s="1"/>
  <c r="Q131" i="1" s="1"/>
  <c r="R131" i="1" s="1"/>
  <c r="S131" i="1" s="1"/>
  <c r="T131" i="1" s="1"/>
  <c r="U131" i="1" s="1"/>
  <c r="V131" i="1" s="1"/>
  <c r="W131" i="1" s="1"/>
  <c r="N137" i="1"/>
  <c r="P173" i="1"/>
  <c r="N115" i="1"/>
  <c r="O129" i="1"/>
  <c r="P129" i="1" s="1"/>
  <c r="Q129" i="1" s="1"/>
  <c r="R129" i="1" s="1"/>
  <c r="S129" i="1" s="1"/>
  <c r="T129" i="1" s="1"/>
  <c r="U129" i="1" s="1"/>
  <c r="V129" i="1" s="1"/>
  <c r="W129" i="1" s="1"/>
  <c r="R138" i="1"/>
  <c r="O145" i="1"/>
  <c r="O120" i="1"/>
  <c r="O119" i="1"/>
  <c r="M119" i="1"/>
  <c r="M121" i="1"/>
  <c r="M108" i="1"/>
  <c r="N59" i="1"/>
  <c r="M201" i="1"/>
  <c r="P11" i="1"/>
  <c r="Q11" i="1" s="1"/>
  <c r="R11" i="1" s="1"/>
  <c r="S11" i="1" s="1"/>
  <c r="T11" i="1" s="1"/>
  <c r="U11" i="1" s="1"/>
  <c r="V11" i="1" s="1"/>
  <c r="W11" i="1" s="1"/>
  <c r="I170" i="1"/>
  <c r="J62" i="1"/>
  <c r="H62" i="1"/>
  <c r="E62" i="1"/>
  <c r="J69" i="1"/>
  <c r="L189" i="1"/>
  <c r="L187" i="1"/>
  <c r="C6" i="5"/>
  <c r="C8" i="5"/>
  <c r="R26" i="4"/>
  <c r="F9" i="4"/>
  <c r="G8" i="4"/>
  <c r="F8" i="4"/>
  <c r="E8" i="4"/>
  <c r="Q5" i="4"/>
  <c r="P5" i="4"/>
  <c r="O5" i="4"/>
  <c r="N5" i="4"/>
  <c r="M5" i="4"/>
  <c r="L5" i="4"/>
  <c r="K5" i="4"/>
  <c r="J5" i="4"/>
  <c r="I5" i="4"/>
  <c r="E19" i="8"/>
  <c r="B19" i="8"/>
  <c r="E18" i="8"/>
  <c r="B18" i="8"/>
  <c r="E17" i="8"/>
  <c r="B17" i="8"/>
  <c r="E16" i="8"/>
  <c r="B16" i="8"/>
  <c r="E15" i="8"/>
  <c r="B15" i="8"/>
  <c r="C16" i="5"/>
  <c r="C13" i="5"/>
  <c r="C14" i="5" s="1"/>
  <c r="E34" i="4"/>
  <c r="E35" i="4" s="1"/>
  <c r="E32" i="4"/>
  <c r="E31" i="4" s="1"/>
  <c r="I30" i="4"/>
  <c r="J30" i="4" s="1"/>
  <c r="G30" i="4"/>
  <c r="F30" i="4" s="1"/>
  <c r="F3" i="4"/>
  <c r="G3" i="4" s="1"/>
  <c r="H3" i="4" s="1"/>
  <c r="I3" i="4" s="1"/>
  <c r="J3" i="4" s="1"/>
  <c r="K3" i="4" s="1"/>
  <c r="L3" i="4" s="1"/>
  <c r="M3" i="4" s="1"/>
  <c r="N3" i="4" s="1"/>
  <c r="O3" i="4" s="1"/>
  <c r="P3" i="4" s="1"/>
  <c r="Q3" i="4" s="1"/>
  <c r="L22" i="3"/>
  <c r="N14" i="1" l="1"/>
  <c r="E5" i="7"/>
  <c r="F4" i="8" s="1"/>
  <c r="O5" i="8"/>
  <c r="R21" i="4"/>
  <c r="N16" i="1"/>
  <c r="C19" i="5"/>
  <c r="H8" i="4"/>
  <c r="M35" i="10"/>
  <c r="M46" i="10" s="1"/>
  <c r="A35" i="10"/>
  <c r="A35" i="9"/>
  <c r="M35" i="9"/>
  <c r="M46" i="9" s="1"/>
  <c r="Q173" i="1"/>
  <c r="R173" i="1" s="1"/>
  <c r="N126" i="1"/>
  <c r="M187" i="1"/>
  <c r="S138" i="1"/>
  <c r="O121" i="1"/>
  <c r="P120" i="1"/>
  <c r="C20" i="5"/>
  <c r="C22" i="5" l="1"/>
  <c r="C24" i="5" s="1"/>
  <c r="P15" i="1"/>
  <c r="O60" i="1"/>
  <c r="I8" i="4"/>
  <c r="N127" i="1"/>
  <c r="T138" i="1"/>
  <c r="S173" i="1"/>
  <c r="P121" i="1"/>
  <c r="Q120" i="1"/>
  <c r="Q15" i="1" l="1"/>
  <c r="T3" i="8"/>
  <c r="U138" i="1"/>
  <c r="T173" i="1"/>
  <c r="R120" i="1"/>
  <c r="Q121" i="1"/>
  <c r="R15" i="1" l="1"/>
  <c r="V138" i="1"/>
  <c r="U173" i="1"/>
  <c r="S120" i="1"/>
  <c r="R121" i="1"/>
  <c r="S15" i="1" l="1"/>
  <c r="W138" i="1"/>
  <c r="V173" i="1"/>
  <c r="S121" i="1"/>
  <c r="T120" i="1"/>
  <c r="T15" i="1" l="1"/>
  <c r="W173" i="1"/>
  <c r="T121" i="1"/>
  <c r="U120" i="1"/>
  <c r="U15" i="1" l="1"/>
  <c r="U121" i="1"/>
  <c r="V120" i="1"/>
  <c r="V15" i="1" l="1"/>
  <c r="V121" i="1"/>
  <c r="W120" i="1"/>
  <c r="W121" i="1" s="1"/>
  <c r="W15" i="1" l="1"/>
  <c r="E132" i="1"/>
  <c r="E130" i="1"/>
  <c r="E128" i="1"/>
  <c r="E125" i="1"/>
  <c r="E121" i="1"/>
  <c r="E119" i="1"/>
  <c r="E117" i="1"/>
  <c r="E114" i="1"/>
  <c r="E112" i="1"/>
  <c r="E110" i="1"/>
  <c r="E108" i="1"/>
  <c r="F151" i="1"/>
  <c r="G151" i="1"/>
  <c r="G194" i="1" s="1"/>
  <c r="H151" i="1"/>
  <c r="H194" i="1" s="1"/>
  <c r="J151" i="1"/>
  <c r="K151" i="1"/>
  <c r="L151" i="1"/>
  <c r="L194" i="1" s="1"/>
  <c r="F170" i="1"/>
  <c r="G170" i="1"/>
  <c r="H170" i="1"/>
  <c r="J170" i="1"/>
  <c r="K170" i="1"/>
  <c r="L170" i="1"/>
  <c r="L7" i="1"/>
  <c r="J7" i="1"/>
  <c r="G7" i="1"/>
  <c r="K189" i="1"/>
  <c r="H189" i="1"/>
  <c r="G189" i="1"/>
  <c r="F189" i="1"/>
  <c r="K187" i="1"/>
  <c r="G187" i="1"/>
  <c r="F187" i="1"/>
  <c r="L162" i="1"/>
  <c r="K162" i="1"/>
  <c r="J162" i="1"/>
  <c r="H162" i="1"/>
  <c r="G162" i="1"/>
  <c r="F162" i="1"/>
  <c r="L166" i="1"/>
  <c r="K166" i="1"/>
  <c r="J166" i="1"/>
  <c r="L177" i="1"/>
  <c r="K177" i="1"/>
  <c r="L159" i="1"/>
  <c r="K159" i="1"/>
  <c r="J177" i="1"/>
  <c r="J159" i="1"/>
  <c r="H166" i="1"/>
  <c r="G166" i="1"/>
  <c r="F166" i="1"/>
  <c r="H177" i="1"/>
  <c r="G177" i="1"/>
  <c r="F177" i="1"/>
  <c r="H159" i="1"/>
  <c r="G159" i="1"/>
  <c r="F159" i="1"/>
  <c r="L154" i="1"/>
  <c r="K154" i="1"/>
  <c r="L145" i="1"/>
  <c r="K145" i="1"/>
  <c r="J154" i="1"/>
  <c r="J145" i="1"/>
  <c r="H154" i="1"/>
  <c r="G154" i="1"/>
  <c r="F154" i="1"/>
  <c r="H145" i="1"/>
  <c r="G145" i="1"/>
  <c r="F145" i="1"/>
  <c r="L142" i="1"/>
  <c r="K142" i="1"/>
  <c r="J142" i="1"/>
  <c r="H142" i="1"/>
  <c r="G142" i="1"/>
  <c r="F142" i="1"/>
  <c r="L139" i="1"/>
  <c r="K139" i="1"/>
  <c r="J139" i="1"/>
  <c r="H139" i="1"/>
  <c r="G139" i="1"/>
  <c r="F139" i="1"/>
  <c r="D155" i="1"/>
  <c r="D183" i="1" s="1"/>
  <c r="H155" i="1"/>
  <c r="H183" i="1" s="1"/>
  <c r="G155" i="1"/>
  <c r="G183" i="1" s="1"/>
  <c r="F155" i="1"/>
  <c r="F183" i="1" s="1"/>
  <c r="E155" i="1"/>
  <c r="E183" i="1" s="1"/>
  <c r="K155" i="1"/>
  <c r="K183" i="1" s="1"/>
  <c r="J155" i="1"/>
  <c r="J183" i="1" s="1"/>
  <c r="I14" i="1"/>
  <c r="I11" i="1"/>
  <c r="I9" i="1"/>
  <c r="C7" i="1"/>
  <c r="D7" i="1"/>
  <c r="E7" i="1"/>
  <c r="H7" i="1"/>
  <c r="K7" i="1"/>
  <c r="F7" i="1"/>
  <c r="J206" i="1"/>
  <c r="J204" i="1"/>
  <c r="J202" i="1"/>
  <c r="J199" i="1"/>
  <c r="L206" i="1"/>
  <c r="K206" i="1"/>
  <c r="L204" i="1"/>
  <c r="K204" i="1"/>
  <c r="L202" i="1"/>
  <c r="K202" i="1"/>
  <c r="K199" i="1"/>
  <c r="H206" i="1"/>
  <c r="G206" i="1"/>
  <c r="F206" i="1"/>
  <c r="H204" i="1"/>
  <c r="G204" i="1"/>
  <c r="F204" i="1"/>
  <c r="H199" i="1"/>
  <c r="G199" i="1"/>
  <c r="F199" i="1"/>
  <c r="H202" i="1"/>
  <c r="G202" i="1"/>
  <c r="F202" i="1"/>
  <c r="D206" i="1"/>
  <c r="D202" i="1"/>
  <c r="L201" i="1"/>
  <c r="K201" i="1"/>
  <c r="J201" i="1"/>
  <c r="H201" i="1"/>
  <c r="G201" i="1"/>
  <c r="F201" i="1"/>
  <c r="E201" i="1"/>
  <c r="D201" i="1"/>
  <c r="C201" i="1"/>
  <c r="L165" i="1"/>
  <c r="K165" i="1"/>
  <c r="J165" i="1"/>
  <c r="H165" i="1"/>
  <c r="G165" i="1"/>
  <c r="F165" i="1"/>
  <c r="J161" i="1"/>
  <c r="H161" i="1"/>
  <c r="E161" i="1"/>
  <c r="E158" i="1"/>
  <c r="D161" i="1"/>
  <c r="D158" i="1"/>
  <c r="J158" i="1"/>
  <c r="H158" i="1"/>
  <c r="J149" i="1"/>
  <c r="H149" i="1"/>
  <c r="E149" i="1"/>
  <c r="J144" i="1"/>
  <c r="H144" i="1"/>
  <c r="E144" i="1"/>
  <c r="J138" i="1"/>
  <c r="H138" i="1"/>
  <c r="E138" i="1"/>
  <c r="L132" i="1"/>
  <c r="K132" i="1"/>
  <c r="L130" i="1"/>
  <c r="K130" i="1"/>
  <c r="L128" i="1"/>
  <c r="K128" i="1"/>
  <c r="L125" i="1"/>
  <c r="K125" i="1"/>
  <c r="L121" i="1"/>
  <c r="K121" i="1"/>
  <c r="L119" i="1"/>
  <c r="K119" i="1"/>
  <c r="L117" i="1"/>
  <c r="K117" i="1"/>
  <c r="L114" i="1"/>
  <c r="M114" i="1" s="1"/>
  <c r="M113" i="1" s="1"/>
  <c r="N113" i="1" s="1"/>
  <c r="K114" i="1"/>
  <c r="L112" i="1"/>
  <c r="K112" i="1"/>
  <c r="L110" i="1"/>
  <c r="K110" i="1"/>
  <c r="J132" i="1"/>
  <c r="J130" i="1"/>
  <c r="J128" i="1"/>
  <c r="J125" i="1"/>
  <c r="J121" i="1"/>
  <c r="J119" i="1"/>
  <c r="J117" i="1"/>
  <c r="J114" i="1"/>
  <c r="J112" i="1"/>
  <c r="J110" i="1"/>
  <c r="H132" i="1"/>
  <c r="G132" i="1"/>
  <c r="F132" i="1"/>
  <c r="H130" i="1"/>
  <c r="G130" i="1"/>
  <c r="F130" i="1"/>
  <c r="H128" i="1"/>
  <c r="G128" i="1"/>
  <c r="F128" i="1"/>
  <c r="H125" i="1"/>
  <c r="G125" i="1"/>
  <c r="F125" i="1"/>
  <c r="H121" i="1"/>
  <c r="G121" i="1"/>
  <c r="F121" i="1"/>
  <c r="H119" i="1"/>
  <c r="G119" i="1"/>
  <c r="F119" i="1"/>
  <c r="H117" i="1"/>
  <c r="G117" i="1"/>
  <c r="F117" i="1"/>
  <c r="H114" i="1"/>
  <c r="G114" i="1"/>
  <c r="F114" i="1"/>
  <c r="H112" i="1"/>
  <c r="G112" i="1"/>
  <c r="F112" i="1"/>
  <c r="H110" i="1"/>
  <c r="G110" i="1"/>
  <c r="F110" i="1"/>
  <c r="L108" i="1"/>
  <c r="K108" i="1"/>
  <c r="J108" i="1"/>
  <c r="H108" i="1"/>
  <c r="G108" i="1"/>
  <c r="F108" i="1"/>
  <c r="I205" i="1"/>
  <c r="I206" i="1" s="1"/>
  <c r="I203" i="1"/>
  <c r="I200" i="1"/>
  <c r="I202" i="1" s="1"/>
  <c r="N205" i="1"/>
  <c r="N203" i="1"/>
  <c r="N200" i="1"/>
  <c r="O200" i="1" s="1"/>
  <c r="N198" i="1"/>
  <c r="O198" i="1" s="1"/>
  <c r="P198" i="1" s="1"/>
  <c r="Q198" i="1" s="1"/>
  <c r="R198" i="1" s="1"/>
  <c r="S198" i="1" s="1"/>
  <c r="T198" i="1" s="1"/>
  <c r="U198" i="1" s="1"/>
  <c r="V198" i="1" s="1"/>
  <c r="W198" i="1" s="1"/>
  <c r="I198" i="1"/>
  <c r="I175" i="1"/>
  <c r="I177" i="1" s="1"/>
  <c r="I171" i="1"/>
  <c r="I163" i="1"/>
  <c r="I160" i="1"/>
  <c r="I162" i="1" s="1"/>
  <c r="I157" i="1"/>
  <c r="I159" i="1" s="1"/>
  <c r="I152" i="1"/>
  <c r="I154" i="1" s="1"/>
  <c r="I148" i="1"/>
  <c r="I146" i="1"/>
  <c r="I143" i="1"/>
  <c r="I140" i="1"/>
  <c r="I142" i="1" s="1"/>
  <c r="I137" i="1"/>
  <c r="I131" i="1"/>
  <c r="I129" i="1"/>
  <c r="I126" i="1"/>
  <c r="I124" i="1"/>
  <c r="I120" i="1"/>
  <c r="I118" i="1"/>
  <c r="I115" i="1"/>
  <c r="I113" i="1"/>
  <c r="I114" i="1" s="1"/>
  <c r="I111" i="1"/>
  <c r="N61" i="1" s="1"/>
  <c r="I109" i="1"/>
  <c r="I107" i="1"/>
  <c r="I135" i="1"/>
  <c r="D90" i="1"/>
  <c r="J89" i="1"/>
  <c r="H89" i="1"/>
  <c r="E89" i="1"/>
  <c r="L87" i="1"/>
  <c r="K87" i="1"/>
  <c r="J87" i="1"/>
  <c r="I87" i="1"/>
  <c r="F87" i="1"/>
  <c r="H87" i="1"/>
  <c r="G87" i="1"/>
  <c r="D87" i="1"/>
  <c r="J86" i="1"/>
  <c r="H86" i="1"/>
  <c r="E86" i="1"/>
  <c r="J51" i="1"/>
  <c r="J48" i="1"/>
  <c r="J45" i="1"/>
  <c r="J40" i="1"/>
  <c r="J31" i="1"/>
  <c r="J26" i="1"/>
  <c r="O207" i="1" l="1"/>
  <c r="P200" i="1"/>
  <c r="O201" i="1"/>
  <c r="B12" i="10"/>
  <c r="F12" i="10" s="1"/>
  <c r="I187" i="1"/>
  <c r="I191" i="1" s="1"/>
  <c r="I193" i="1" s="1"/>
  <c r="N187" i="1"/>
  <c r="I151" i="1"/>
  <c r="I194" i="1" s="1"/>
  <c r="B12" i="9"/>
  <c r="N117" i="1"/>
  <c r="I132" i="1"/>
  <c r="N132" i="1"/>
  <c r="I145" i="1"/>
  <c r="N145" i="1"/>
  <c r="I130" i="1"/>
  <c r="N130" i="1"/>
  <c r="I139" i="1"/>
  <c r="N139" i="1"/>
  <c r="I127" i="1"/>
  <c r="N128" i="1"/>
  <c r="I119" i="1"/>
  <c r="N119" i="1"/>
  <c r="I125" i="1"/>
  <c r="I121" i="1"/>
  <c r="N121" i="1"/>
  <c r="O112" i="1"/>
  <c r="N199" i="1"/>
  <c r="N204" i="1"/>
  <c r="N202" i="1"/>
  <c r="N201" i="1"/>
  <c r="O113" i="1"/>
  <c r="N114" i="1"/>
  <c r="N60" i="1"/>
  <c r="N108" i="1"/>
  <c r="I110" i="1"/>
  <c r="N110" i="1"/>
  <c r="I112" i="1"/>
  <c r="N112" i="1"/>
  <c r="I12" i="1"/>
  <c r="N12" i="1"/>
  <c r="I165" i="1"/>
  <c r="I166" i="1"/>
  <c r="J8" i="1"/>
  <c r="F194" i="1"/>
  <c r="I117" i="1"/>
  <c r="I128" i="1"/>
  <c r="L8" i="1"/>
  <c r="D8" i="1"/>
  <c r="F8" i="1"/>
  <c r="I10" i="1"/>
  <c r="K8" i="1"/>
  <c r="I7" i="1"/>
  <c r="I8" i="1" s="1"/>
  <c r="H8" i="1"/>
  <c r="G8" i="1"/>
  <c r="J189" i="1"/>
  <c r="J187" i="1"/>
  <c r="K194" i="1"/>
  <c r="L191" i="1"/>
  <c r="L181" i="1" s="1"/>
  <c r="F191" i="1"/>
  <c r="G191" i="1"/>
  <c r="G181" i="1" s="1"/>
  <c r="K191" i="1"/>
  <c r="J194" i="1"/>
  <c r="H191" i="1"/>
  <c r="I155" i="1"/>
  <c r="I183" i="1" s="1"/>
  <c r="I178" i="1"/>
  <c r="I184" i="1" s="1"/>
  <c r="I108" i="1"/>
  <c r="I201" i="1"/>
  <c r="I199" i="1"/>
  <c r="R12" i="10" l="1"/>
  <c r="P207" i="1"/>
  <c r="Q200" i="1"/>
  <c r="J12" i="10"/>
  <c r="T12" i="10"/>
  <c r="V12" i="10"/>
  <c r="G12" i="10"/>
  <c r="N12" i="10"/>
  <c r="P12" i="10"/>
  <c r="Q12" i="10"/>
  <c r="I12" i="10"/>
  <c r="U12" i="10"/>
  <c r="S12" i="10"/>
  <c r="O12" i="10"/>
  <c r="K12" i="10"/>
  <c r="A12" i="10"/>
  <c r="H12" i="10"/>
  <c r="L12" i="10"/>
  <c r="D12" i="10"/>
  <c r="E12" i="10"/>
  <c r="M12" i="10"/>
  <c r="P112" i="1"/>
  <c r="Q112" i="1" s="1"/>
  <c r="R112" i="1" s="1"/>
  <c r="S112" i="1" s="1"/>
  <c r="T112" i="1" s="1"/>
  <c r="U112" i="1" s="1"/>
  <c r="V112" i="1" s="1"/>
  <c r="W112" i="1" s="1"/>
  <c r="O111" i="1"/>
  <c r="P59" i="1" s="1"/>
  <c r="D12" i="9"/>
  <c r="F12" i="9"/>
  <c r="L12" i="9"/>
  <c r="R12" i="9"/>
  <c r="E12" i="9"/>
  <c r="M12" i="9"/>
  <c r="T12" i="9"/>
  <c r="G12" i="9"/>
  <c r="N12" i="9"/>
  <c r="U12" i="9"/>
  <c r="H12" i="9"/>
  <c r="O12" i="9"/>
  <c r="V12" i="9"/>
  <c r="J12" i="9"/>
  <c r="I12" i="9"/>
  <c r="K12" i="9"/>
  <c r="S12" i="9"/>
  <c r="P12" i="9"/>
  <c r="Q12" i="9"/>
  <c r="A12" i="9"/>
  <c r="I181" i="1"/>
  <c r="P113" i="1"/>
  <c r="O114" i="1"/>
  <c r="I179" i="1"/>
  <c r="F181" i="1"/>
  <c r="K181" i="1"/>
  <c r="H193" i="1"/>
  <c r="H181" i="1"/>
  <c r="G190" i="1"/>
  <c r="G193" i="1"/>
  <c r="F190" i="1"/>
  <c r="F193" i="1"/>
  <c r="H188" i="1"/>
  <c r="I188" i="1" s="1"/>
  <c r="L188" i="1"/>
  <c r="L193" i="1"/>
  <c r="K190" i="1"/>
  <c r="K193" i="1"/>
  <c r="K188" i="1"/>
  <c r="H190" i="1"/>
  <c r="I190" i="1" s="1"/>
  <c r="G188" i="1"/>
  <c r="J191" i="1"/>
  <c r="J181" i="1" s="1"/>
  <c r="L190" i="1"/>
  <c r="F188" i="1"/>
  <c r="Q207" i="1" l="1"/>
  <c r="R200" i="1"/>
  <c r="P111" i="1"/>
  <c r="Q59" i="1" s="1"/>
  <c r="K8" i="4" s="1"/>
  <c r="P60" i="1"/>
  <c r="J8" i="4"/>
  <c r="P201" i="1"/>
  <c r="Q113" i="1"/>
  <c r="P114" i="1"/>
  <c r="G9" i="4"/>
  <c r="J188" i="1"/>
  <c r="J193" i="1"/>
  <c r="J190" i="1"/>
  <c r="S200" i="1" l="1"/>
  <c r="R207" i="1"/>
  <c r="Q60" i="1"/>
  <c r="Q111" i="1"/>
  <c r="R59" i="1" s="1"/>
  <c r="Q201" i="1"/>
  <c r="R113" i="1"/>
  <c r="Q114" i="1"/>
  <c r="T200" i="1" l="1"/>
  <c r="S207" i="1"/>
  <c r="L8" i="4"/>
  <c r="R201" i="1"/>
  <c r="R60" i="1"/>
  <c r="R111" i="1"/>
  <c r="S59" i="1" s="1"/>
  <c r="S60" i="1" s="1"/>
  <c r="S113" i="1"/>
  <c r="R114" i="1"/>
  <c r="U200" i="1" l="1"/>
  <c r="T207" i="1"/>
  <c r="S111" i="1"/>
  <c r="T59" i="1" s="1"/>
  <c r="T60" i="1" s="1"/>
  <c r="S201" i="1"/>
  <c r="M8" i="4"/>
  <c r="T113" i="1"/>
  <c r="S114" i="1"/>
  <c r="T111" i="1" l="1"/>
  <c r="U59" i="1" s="1"/>
  <c r="U201" i="1" s="1"/>
  <c r="V200" i="1"/>
  <c r="U207" i="1"/>
  <c r="T201" i="1"/>
  <c r="N8" i="4"/>
  <c r="U60" i="1"/>
  <c r="O8" i="4"/>
  <c r="U111" i="1"/>
  <c r="V59" i="1" s="1"/>
  <c r="U113" i="1"/>
  <c r="T114" i="1"/>
  <c r="W200" i="1" l="1"/>
  <c r="W207" i="1" s="1"/>
  <c r="V207" i="1"/>
  <c r="V60" i="1"/>
  <c r="V201" i="1"/>
  <c r="P8" i="4"/>
  <c r="V111" i="1"/>
  <c r="W59" i="1" s="1"/>
  <c r="V113" i="1"/>
  <c r="U114" i="1"/>
  <c r="W60" i="1" l="1"/>
  <c r="Q8" i="4"/>
  <c r="W201" i="1"/>
  <c r="W111" i="1"/>
  <c r="W113" i="1"/>
  <c r="W114" i="1" s="1"/>
  <c r="V114" i="1"/>
  <c r="G46" i="1" l="1"/>
  <c r="H48" i="1" s="1"/>
  <c r="G37" i="1"/>
  <c r="L46" i="1"/>
  <c r="L37" i="1"/>
  <c r="L158" i="1"/>
  <c r="K37" i="1"/>
  <c r="F37" i="1"/>
  <c r="F46" i="1"/>
  <c r="K46" i="1"/>
  <c r="K48" i="1" s="1"/>
  <c r="D24" i="1"/>
  <c r="I24" i="1"/>
  <c r="I21" i="1"/>
  <c r="L51" i="1"/>
  <c r="K51" i="1"/>
  <c r="I51" i="1"/>
  <c r="H51" i="1"/>
  <c r="G51" i="1"/>
  <c r="F51" i="1"/>
  <c r="D51" i="1"/>
  <c r="J50" i="1"/>
  <c r="H50" i="1"/>
  <c r="E50" i="1"/>
  <c r="D48" i="1"/>
  <c r="J47" i="1"/>
  <c r="H47" i="1"/>
  <c r="E47" i="1"/>
  <c r="L45" i="1"/>
  <c r="K45" i="1"/>
  <c r="I45" i="1"/>
  <c r="H45" i="1"/>
  <c r="G45" i="1"/>
  <c r="F45" i="1"/>
  <c r="D45" i="1"/>
  <c r="J44" i="1"/>
  <c r="H44" i="1"/>
  <c r="E44" i="1"/>
  <c r="D40" i="1"/>
  <c r="J38" i="1"/>
  <c r="H38" i="1"/>
  <c r="E38" i="1"/>
  <c r="J30" i="1"/>
  <c r="H30" i="1"/>
  <c r="E30" i="1"/>
  <c r="D31" i="1"/>
  <c r="D21" i="1"/>
  <c r="J32" i="1"/>
  <c r="C155" i="1"/>
  <c r="N91" i="1"/>
  <c r="M91" i="1"/>
  <c r="L91" i="1"/>
  <c r="K91" i="1"/>
  <c r="J91" i="1"/>
  <c r="I91" i="1"/>
  <c r="H91" i="1"/>
  <c r="G91" i="1"/>
  <c r="F91" i="1"/>
  <c r="E91" i="1"/>
  <c r="D91" i="1"/>
  <c r="N207" i="1"/>
  <c r="M207" i="1"/>
  <c r="L207" i="1"/>
  <c r="K207" i="1"/>
  <c r="J207" i="1"/>
  <c r="I207" i="1"/>
  <c r="G10" i="4" s="1"/>
  <c r="H207" i="1"/>
  <c r="G207" i="1"/>
  <c r="F207" i="1"/>
  <c r="E208" i="1"/>
  <c r="D207" i="1"/>
  <c r="F10" i="4" s="1"/>
  <c r="C178" i="1"/>
  <c r="L178" i="1"/>
  <c r="L184" i="1" s="1"/>
  <c r="K178" i="1"/>
  <c r="K184" i="1" s="1"/>
  <c r="J178" i="1"/>
  <c r="H178" i="1"/>
  <c r="H184" i="1" s="1"/>
  <c r="G178" i="1"/>
  <c r="G184" i="1" s="1"/>
  <c r="F178" i="1"/>
  <c r="F184" i="1" s="1"/>
  <c r="E178" i="1"/>
  <c r="E184" i="1" s="1"/>
  <c r="J52" i="1"/>
  <c r="H52" i="1"/>
  <c r="E52" i="1"/>
  <c r="E32" i="1"/>
  <c r="E33" i="1" s="1"/>
  <c r="L25" i="1"/>
  <c r="K25" i="1"/>
  <c r="I25" i="1"/>
  <c r="L52" i="10" s="1"/>
  <c r="H32" i="1"/>
  <c r="G25" i="1"/>
  <c r="G76" i="1" s="1"/>
  <c r="F25" i="1"/>
  <c r="F76" i="1" s="1"/>
  <c r="K3" i="1"/>
  <c r="L3" i="1" s="1"/>
  <c r="M3" i="1" s="1"/>
  <c r="F3" i="1"/>
  <c r="G3" i="1" s="1"/>
  <c r="H3" i="1" s="1"/>
  <c r="C207" i="1"/>
  <c r="D178" i="1"/>
  <c r="D184" i="1" s="1"/>
  <c r="C91" i="1"/>
  <c r="C52" i="1"/>
  <c r="D25" i="1"/>
  <c r="C25" i="1"/>
  <c r="J52" i="10" s="1"/>
  <c r="D3" i="1"/>
  <c r="I3" i="1" s="1"/>
  <c r="N3" i="1" s="1"/>
  <c r="G150" i="1" l="1"/>
  <c r="G41" i="1"/>
  <c r="K150" i="1"/>
  <c r="K41" i="1"/>
  <c r="K42" i="1" s="1"/>
  <c r="M37" i="1"/>
  <c r="M41" i="1" s="1"/>
  <c r="L41" i="1"/>
  <c r="L42" i="1" s="1"/>
  <c r="F150" i="1"/>
  <c r="F41" i="1"/>
  <c r="F42" i="1" s="1"/>
  <c r="K76" i="1"/>
  <c r="L76" i="1"/>
  <c r="F15" i="8"/>
  <c r="B27" i="8"/>
  <c r="J179" i="1"/>
  <c r="J180" i="1" s="1"/>
  <c r="J184" i="1"/>
  <c r="D76" i="1"/>
  <c r="K52" i="10"/>
  <c r="I76" i="1"/>
  <c r="X3" i="8"/>
  <c r="C62" i="1"/>
  <c r="C76" i="1"/>
  <c r="L116" i="1"/>
  <c r="L150" i="1"/>
  <c r="F39" i="1"/>
  <c r="F116" i="1"/>
  <c r="G39" i="1"/>
  <c r="G116" i="1"/>
  <c r="K39" i="1"/>
  <c r="K116" i="1"/>
  <c r="O3" i="1"/>
  <c r="D27" i="1"/>
  <c r="M209" i="1"/>
  <c r="M208" i="1"/>
  <c r="H10" i="4"/>
  <c r="N208" i="1"/>
  <c r="N209" i="1"/>
  <c r="L39" i="1"/>
  <c r="G62" i="1"/>
  <c r="J27" i="1"/>
  <c r="K27" i="1"/>
  <c r="L27" i="1"/>
  <c r="M25" i="1"/>
  <c r="N25" i="1" s="1"/>
  <c r="I62" i="1"/>
  <c r="I27" i="1"/>
  <c r="D69" i="1"/>
  <c r="D62" i="1"/>
  <c r="L69" i="1"/>
  <c r="L62" i="1"/>
  <c r="F69" i="1"/>
  <c r="F62" i="1"/>
  <c r="K69" i="1"/>
  <c r="K62" i="1"/>
  <c r="H69" i="1"/>
  <c r="G69" i="1"/>
  <c r="I69" i="1"/>
  <c r="C208" i="1"/>
  <c r="E10" i="4"/>
  <c r="D138" i="1"/>
  <c r="D144" i="1"/>
  <c r="D149" i="1"/>
  <c r="F149" i="1"/>
  <c r="F144" i="1"/>
  <c r="F138" i="1"/>
  <c r="G149" i="1"/>
  <c r="G138" i="1"/>
  <c r="G144" i="1"/>
  <c r="I209" i="1"/>
  <c r="I208" i="1"/>
  <c r="F161" i="1"/>
  <c r="F158" i="1"/>
  <c r="D209" i="1"/>
  <c r="D208" i="1"/>
  <c r="J208" i="1"/>
  <c r="J209" i="1"/>
  <c r="K31" i="1"/>
  <c r="K161" i="1"/>
  <c r="K158" i="1"/>
  <c r="J153" i="1"/>
  <c r="J176" i="1"/>
  <c r="J174" i="1"/>
  <c r="J141" i="1"/>
  <c r="J164" i="1"/>
  <c r="J172" i="1"/>
  <c r="I149" i="1"/>
  <c r="I144" i="1"/>
  <c r="I138" i="1"/>
  <c r="D174" i="1"/>
  <c r="D153" i="1"/>
  <c r="D172" i="1"/>
  <c r="D176" i="1"/>
  <c r="D141" i="1"/>
  <c r="D164" i="1"/>
  <c r="K209" i="1"/>
  <c r="K208" i="1"/>
  <c r="L144" i="1"/>
  <c r="L149" i="1"/>
  <c r="L138" i="1"/>
  <c r="H53" i="1"/>
  <c r="H172" i="1"/>
  <c r="H164" i="1"/>
  <c r="H153" i="1"/>
  <c r="H176" i="1"/>
  <c r="H174" i="1"/>
  <c r="H141" i="1"/>
  <c r="G208" i="1"/>
  <c r="G209" i="1"/>
  <c r="H208" i="1"/>
  <c r="H209" i="1"/>
  <c r="H31" i="1"/>
  <c r="G161" i="1"/>
  <c r="G158" i="1"/>
  <c r="K138" i="1"/>
  <c r="K144" i="1"/>
  <c r="K149" i="1"/>
  <c r="E53" i="1"/>
  <c r="E153" i="1"/>
  <c r="E176" i="1"/>
  <c r="E174" i="1"/>
  <c r="E141" i="1"/>
  <c r="E172" i="1"/>
  <c r="E164" i="1"/>
  <c r="F208" i="1"/>
  <c r="F209" i="1"/>
  <c r="L209" i="1"/>
  <c r="L208" i="1"/>
  <c r="L161" i="1"/>
  <c r="I29" i="1"/>
  <c r="I32" i="1" s="1"/>
  <c r="I33" i="1" s="1"/>
  <c r="L86" i="1"/>
  <c r="L89" i="1"/>
  <c r="J33" i="1"/>
  <c r="J34" i="1"/>
  <c r="I23" i="1"/>
  <c r="I89" i="1"/>
  <c r="I86" i="1"/>
  <c r="D23" i="1"/>
  <c r="D89" i="1"/>
  <c r="D86" i="1"/>
  <c r="F50" i="1"/>
  <c r="F89" i="1"/>
  <c r="F86" i="1"/>
  <c r="J53" i="1"/>
  <c r="J54" i="1"/>
  <c r="G89" i="1"/>
  <c r="G86" i="1"/>
  <c r="C32" i="1"/>
  <c r="C89" i="1"/>
  <c r="C86" i="1"/>
  <c r="K89" i="1"/>
  <c r="K86" i="1"/>
  <c r="I20" i="1"/>
  <c r="G48" i="1"/>
  <c r="L32" i="1"/>
  <c r="L33" i="1" s="1"/>
  <c r="H179" i="1"/>
  <c r="H180" i="1" s="1"/>
  <c r="I44" i="1"/>
  <c r="D54" i="1"/>
  <c r="G179" i="1"/>
  <c r="G180" i="1" s="1"/>
  <c r="F44" i="1"/>
  <c r="D47" i="1"/>
  <c r="L38" i="1"/>
  <c r="D50" i="1"/>
  <c r="F38" i="1"/>
  <c r="G32" i="1"/>
  <c r="G33" i="1" s="1"/>
  <c r="L52" i="1"/>
  <c r="I26" i="1"/>
  <c r="G40" i="1"/>
  <c r="K32" i="1"/>
  <c r="K34" i="1" s="1"/>
  <c r="F40" i="1"/>
  <c r="L44" i="1"/>
  <c r="G26" i="1"/>
  <c r="K26" i="1"/>
  <c r="K30" i="1"/>
  <c r="C38" i="1"/>
  <c r="G50" i="1"/>
  <c r="H26" i="1"/>
  <c r="G30" i="1"/>
  <c r="L30" i="1"/>
  <c r="H33" i="1"/>
  <c r="D38" i="1"/>
  <c r="G44" i="1"/>
  <c r="C53" i="1"/>
  <c r="L47" i="1"/>
  <c r="I46" i="1"/>
  <c r="F26" i="1"/>
  <c r="L26" i="1"/>
  <c r="H40" i="1"/>
  <c r="C47" i="1"/>
  <c r="C50" i="1"/>
  <c r="I50" i="1"/>
  <c r="D53" i="1"/>
  <c r="F30" i="1"/>
  <c r="C179" i="1"/>
  <c r="C30" i="1"/>
  <c r="C44" i="1"/>
  <c r="K47" i="1"/>
  <c r="D32" i="1"/>
  <c r="D55" i="1" s="1"/>
  <c r="D64" i="1" s="1"/>
  <c r="D65" i="1" s="1"/>
  <c r="D30" i="1"/>
  <c r="D44" i="1"/>
  <c r="K50" i="1"/>
  <c r="G47" i="1"/>
  <c r="F52" i="1"/>
  <c r="D26" i="1"/>
  <c r="K44" i="1"/>
  <c r="F47" i="1"/>
  <c r="F48" i="1"/>
  <c r="L50" i="1"/>
  <c r="I37" i="1"/>
  <c r="G52" i="1"/>
  <c r="G38" i="1"/>
  <c r="L48" i="1"/>
  <c r="L40" i="1"/>
  <c r="L31" i="1"/>
  <c r="K38" i="1"/>
  <c r="K52" i="1"/>
  <c r="K40" i="1"/>
  <c r="F31" i="1"/>
  <c r="G31" i="1"/>
  <c r="F32" i="1"/>
  <c r="H55" i="1"/>
  <c r="H64" i="1" s="1"/>
  <c r="H65" i="1" s="1"/>
  <c r="I180" i="1"/>
  <c r="F179" i="1"/>
  <c r="F180" i="1" s="1"/>
  <c r="D20" i="1"/>
  <c r="C23" i="1"/>
  <c r="E179" i="1"/>
  <c r="E180" i="1" s="1"/>
  <c r="C20" i="1"/>
  <c r="E55" i="1"/>
  <c r="E64" i="1" s="1"/>
  <c r="J55" i="1"/>
  <c r="K179" i="1"/>
  <c r="K180" i="1" s="1"/>
  <c r="L179" i="1"/>
  <c r="L180" i="1" s="1"/>
  <c r="D179" i="1"/>
  <c r="D180" i="1" s="1"/>
  <c r="E101" i="1" l="1"/>
  <c r="E65" i="1"/>
  <c r="P3" i="1"/>
  <c r="Q3" i="1" s="1"/>
  <c r="R3" i="1" s="1"/>
  <c r="S3" i="1" s="1"/>
  <c r="T3" i="1" s="1"/>
  <c r="U3" i="1" s="1"/>
  <c r="V3" i="1" s="1"/>
  <c r="W3" i="1" s="1"/>
  <c r="P169" i="1"/>
  <c r="Q169" i="1" s="1"/>
  <c r="R169" i="1" s="1"/>
  <c r="S169" i="1" s="1"/>
  <c r="M42" i="1"/>
  <c r="G42" i="1"/>
  <c r="H42" i="1"/>
  <c r="I150" i="1"/>
  <c r="I41" i="1"/>
  <c r="I42" i="1" s="1"/>
  <c r="I10" i="4"/>
  <c r="O208" i="1"/>
  <c r="O209" i="1"/>
  <c r="H78" i="1"/>
  <c r="H92" i="1" s="1"/>
  <c r="H95" i="1" s="1"/>
  <c r="H101" i="1"/>
  <c r="I15" i="8"/>
  <c r="I5" i="7"/>
  <c r="M74" i="1"/>
  <c r="N74" i="1" s="1"/>
  <c r="D78" i="1"/>
  <c r="D92" i="1" s="1"/>
  <c r="D75" i="1"/>
  <c r="E66" i="1"/>
  <c r="E78" i="1"/>
  <c r="M39" i="1"/>
  <c r="M116" i="1"/>
  <c r="I39" i="1"/>
  <c r="I116" i="1"/>
  <c r="N37" i="1"/>
  <c r="M148" i="1"/>
  <c r="M144" i="1"/>
  <c r="M138" i="1"/>
  <c r="M46" i="1"/>
  <c r="N46" i="1" s="1"/>
  <c r="M30" i="1"/>
  <c r="M29" i="1" s="1"/>
  <c r="M31" i="1" s="1"/>
  <c r="M69" i="1"/>
  <c r="M43" i="1"/>
  <c r="M62" i="1"/>
  <c r="M86" i="1"/>
  <c r="M89" i="1"/>
  <c r="M50" i="1"/>
  <c r="M38" i="1"/>
  <c r="C33" i="1"/>
  <c r="C55" i="1"/>
  <c r="C64" i="1" s="1"/>
  <c r="C65" i="1" s="1"/>
  <c r="K33" i="1"/>
  <c r="L53" i="1"/>
  <c r="L176" i="1"/>
  <c r="L174" i="1"/>
  <c r="L164" i="1"/>
  <c r="L141" i="1"/>
  <c r="L172" i="1"/>
  <c r="M172" i="1" s="1"/>
  <c r="L153" i="1"/>
  <c r="M153" i="1" s="1"/>
  <c r="I158" i="1"/>
  <c r="I161" i="1"/>
  <c r="I30" i="1"/>
  <c r="K153" i="1"/>
  <c r="K176" i="1"/>
  <c r="K174" i="1"/>
  <c r="K164" i="1"/>
  <c r="K141" i="1"/>
  <c r="K172" i="1"/>
  <c r="G55" i="1"/>
  <c r="G64" i="1" s="1"/>
  <c r="G65" i="1" s="1"/>
  <c r="G174" i="1"/>
  <c r="G141" i="1"/>
  <c r="G172" i="1"/>
  <c r="G164" i="1"/>
  <c r="G176" i="1"/>
  <c r="G153" i="1"/>
  <c r="F53" i="1"/>
  <c r="F176" i="1"/>
  <c r="F174" i="1"/>
  <c r="F141" i="1"/>
  <c r="F172" i="1"/>
  <c r="F164" i="1"/>
  <c r="F153" i="1"/>
  <c r="I31" i="1"/>
  <c r="D66" i="1"/>
  <c r="H66" i="1"/>
  <c r="J64" i="1"/>
  <c r="J57" i="1"/>
  <c r="K55" i="1"/>
  <c r="F54" i="1"/>
  <c r="F55" i="1"/>
  <c r="L34" i="1"/>
  <c r="I34" i="1"/>
  <c r="H34" i="1"/>
  <c r="L55" i="1"/>
  <c r="D34" i="1"/>
  <c r="D33" i="1"/>
  <c r="I48" i="1"/>
  <c r="I47" i="1"/>
  <c r="J56" i="1"/>
  <c r="H56" i="1"/>
  <c r="I40" i="1"/>
  <c r="I38" i="1"/>
  <c r="I52" i="1"/>
  <c r="E56" i="1"/>
  <c r="H54" i="1"/>
  <c r="G53" i="1"/>
  <c r="G54" i="1"/>
  <c r="L54" i="1"/>
  <c r="K54" i="1"/>
  <c r="K53" i="1"/>
  <c r="F34" i="1"/>
  <c r="F33" i="1"/>
  <c r="G34" i="1"/>
  <c r="J101" i="1" l="1"/>
  <c r="J65" i="1"/>
  <c r="N40" i="1"/>
  <c r="J10" i="4"/>
  <c r="P208" i="1"/>
  <c r="P209" i="1"/>
  <c r="H79" i="1"/>
  <c r="G78" i="1"/>
  <c r="H80" i="1" s="1"/>
  <c r="G101" i="1"/>
  <c r="D79" i="1"/>
  <c r="T7" i="8"/>
  <c r="D27" i="8"/>
  <c r="N62" i="1"/>
  <c r="M5" i="7"/>
  <c r="M51" i="7" s="1"/>
  <c r="C75" i="1"/>
  <c r="F4" i="4"/>
  <c r="F6" i="4" s="1"/>
  <c r="F12" i="4" s="1"/>
  <c r="F13" i="4" s="1"/>
  <c r="F14" i="4" s="1"/>
  <c r="N76" i="1"/>
  <c r="Y3" i="8"/>
  <c r="Y4" i="8" s="1"/>
  <c r="E79" i="1"/>
  <c r="E92" i="1"/>
  <c r="E95" i="1" s="1"/>
  <c r="E94" i="1" s="1"/>
  <c r="J70" i="1"/>
  <c r="J68" i="1" s="1"/>
  <c r="J78" i="1"/>
  <c r="J92" i="1" s="1"/>
  <c r="J95" i="1" s="1"/>
  <c r="J97" i="1" s="1"/>
  <c r="M151" i="1"/>
  <c r="M194" i="1" s="1"/>
  <c r="M150" i="1"/>
  <c r="N39" i="1"/>
  <c r="N116" i="1"/>
  <c r="O116" i="1" s="1"/>
  <c r="N148" i="1"/>
  <c r="N151" i="1" s="1"/>
  <c r="N194" i="1" s="1"/>
  <c r="N27" i="1"/>
  <c r="M141" i="1"/>
  <c r="M164" i="1"/>
  <c r="M32" i="1"/>
  <c r="M34" i="1" s="1"/>
  <c r="M160" i="1"/>
  <c r="N144" i="1"/>
  <c r="N138" i="1"/>
  <c r="N29" i="1"/>
  <c r="N32" i="1" s="1"/>
  <c r="N33" i="1" s="1"/>
  <c r="M157" i="1"/>
  <c r="M48" i="1"/>
  <c r="N50" i="1"/>
  <c r="N86" i="1"/>
  <c r="M45" i="1"/>
  <c r="M52" i="1"/>
  <c r="N47" i="1"/>
  <c r="O47" i="1" s="1"/>
  <c r="P47" i="1" s="1"/>
  <c r="Q47" i="1" s="1"/>
  <c r="R47" i="1" s="1"/>
  <c r="S47" i="1" s="1"/>
  <c r="T47" i="1" s="1"/>
  <c r="U47" i="1" s="1"/>
  <c r="V47" i="1" s="1"/>
  <c r="W47" i="1" s="1"/>
  <c r="N48" i="1"/>
  <c r="M27" i="1"/>
  <c r="N26" i="1"/>
  <c r="N45" i="1" s="1"/>
  <c r="N43" i="1" s="1"/>
  <c r="N69" i="1"/>
  <c r="N38" i="1"/>
  <c r="H67" i="1"/>
  <c r="H70" i="1"/>
  <c r="H68" i="1" s="1"/>
  <c r="G66" i="1"/>
  <c r="C56" i="1"/>
  <c r="H57" i="1"/>
  <c r="G56" i="1"/>
  <c r="I174" i="1"/>
  <c r="I172" i="1"/>
  <c r="I164" i="1"/>
  <c r="I176" i="1"/>
  <c r="I141" i="1"/>
  <c r="I153" i="1"/>
  <c r="H94" i="1"/>
  <c r="H96" i="1"/>
  <c r="F64" i="1"/>
  <c r="L56" i="1"/>
  <c r="L64" i="1"/>
  <c r="L65" i="1" s="1"/>
  <c r="K64" i="1"/>
  <c r="J67" i="1"/>
  <c r="J66" i="1"/>
  <c r="F57" i="1"/>
  <c r="K57" i="1"/>
  <c r="L57" i="1"/>
  <c r="K56" i="1"/>
  <c r="F56" i="1"/>
  <c r="G57" i="1"/>
  <c r="I53" i="1"/>
  <c r="I54" i="1"/>
  <c r="I55" i="1"/>
  <c r="D95" i="1"/>
  <c r="D98" i="1" s="1"/>
  <c r="D57" i="1"/>
  <c r="D56" i="1"/>
  <c r="K101" i="1" l="1"/>
  <c r="K65" i="1"/>
  <c r="F101" i="1"/>
  <c r="F65" i="1"/>
  <c r="G92" i="1"/>
  <c r="G95" i="1" s="1"/>
  <c r="G79" i="1"/>
  <c r="K10" i="4"/>
  <c r="Q208" i="1"/>
  <c r="Q209" i="1"/>
  <c r="L78" i="1"/>
  <c r="L79" i="1" s="1"/>
  <c r="M66" i="7"/>
  <c r="J96" i="1"/>
  <c r="J94" i="1"/>
  <c r="I64" i="1"/>
  <c r="I65" i="1" s="1"/>
  <c r="X10" i="8"/>
  <c r="E96" i="1"/>
  <c r="K70" i="1"/>
  <c r="K68" i="1" s="1"/>
  <c r="K78" i="1"/>
  <c r="K92" i="1" s="1"/>
  <c r="K95" i="1" s="1"/>
  <c r="K97" i="1" s="1"/>
  <c r="F70" i="1"/>
  <c r="F68" i="1" s="1"/>
  <c r="F78" i="1"/>
  <c r="F92" i="1" s="1"/>
  <c r="F95" i="1" s="1"/>
  <c r="F97" i="1" s="1"/>
  <c r="J80" i="1"/>
  <c r="J79" i="1"/>
  <c r="D70" i="1"/>
  <c r="D68" i="1" s="1"/>
  <c r="C78" i="1"/>
  <c r="C92" i="1" s="1"/>
  <c r="C95" i="1" s="1"/>
  <c r="C98" i="1" s="1"/>
  <c r="N149" i="1"/>
  <c r="N150" i="1"/>
  <c r="O150" i="1" s="1"/>
  <c r="P116" i="1"/>
  <c r="N30" i="1"/>
  <c r="M33" i="1"/>
  <c r="M175" i="1"/>
  <c r="M174" i="1"/>
  <c r="N31" i="1"/>
  <c r="M171" i="1"/>
  <c r="N171" i="1" s="1"/>
  <c r="N160" i="1"/>
  <c r="M162" i="1"/>
  <c r="M159" i="1"/>
  <c r="N157" i="1"/>
  <c r="N158" i="1" s="1"/>
  <c r="M152" i="1"/>
  <c r="M140" i="1"/>
  <c r="M163" i="1"/>
  <c r="M54" i="1"/>
  <c r="M53" i="1"/>
  <c r="M55" i="1"/>
  <c r="M56" i="1" s="1"/>
  <c r="N44" i="1"/>
  <c r="N52" i="1"/>
  <c r="N55" i="1" s="1"/>
  <c r="N64" i="1" s="1"/>
  <c r="N34" i="1"/>
  <c r="G94" i="1"/>
  <c r="H97" i="1"/>
  <c r="G70" i="1"/>
  <c r="G68" i="1" s="1"/>
  <c r="L70" i="1"/>
  <c r="L68" i="1" s="1"/>
  <c r="C66" i="1"/>
  <c r="D67" i="1"/>
  <c r="G96" i="1"/>
  <c r="D94" i="1"/>
  <c r="D72" i="1" s="1"/>
  <c r="D96" i="1"/>
  <c r="K67" i="1"/>
  <c r="K66" i="1"/>
  <c r="L67" i="1"/>
  <c r="L66" i="1"/>
  <c r="J5" i="7" s="1"/>
  <c r="J15" i="8" s="1"/>
  <c r="F66" i="1"/>
  <c r="F67" i="1"/>
  <c r="G67" i="1"/>
  <c r="I56" i="1"/>
  <c r="I57" i="1"/>
  <c r="L92" i="1" l="1"/>
  <c r="L95" i="1" s="1"/>
  <c r="L94" i="1" s="1"/>
  <c r="L82" i="1" s="1"/>
  <c r="L10" i="4"/>
  <c r="R208" i="1"/>
  <c r="R209" i="1"/>
  <c r="I67" i="1"/>
  <c r="D82" i="1"/>
  <c r="D101" i="1"/>
  <c r="G97" i="1"/>
  <c r="F96" i="1"/>
  <c r="I66" i="1"/>
  <c r="I70" i="1"/>
  <c r="I68" i="1" s="1"/>
  <c r="D97" i="1"/>
  <c r="C96" i="1"/>
  <c r="F94" i="1"/>
  <c r="I78" i="1"/>
  <c r="X5" i="8"/>
  <c r="X7" i="8" s="1"/>
  <c r="I75" i="1"/>
  <c r="K96" i="1"/>
  <c r="K94" i="1"/>
  <c r="C94" i="1"/>
  <c r="C72" i="1" s="1"/>
  <c r="K79" i="1"/>
  <c r="K80" i="1"/>
  <c r="E4" i="4"/>
  <c r="E6" i="4" s="1"/>
  <c r="E12" i="4" s="1"/>
  <c r="E13" i="4" s="1"/>
  <c r="E14" i="4" s="1"/>
  <c r="C79" i="1"/>
  <c r="D80" i="1"/>
  <c r="F79" i="1"/>
  <c r="F80" i="1"/>
  <c r="G80" i="1"/>
  <c r="L80" i="1"/>
  <c r="P150" i="1"/>
  <c r="Q116" i="1"/>
  <c r="N172" i="1"/>
  <c r="O172" i="1" s="1"/>
  <c r="P172" i="1" s="1"/>
  <c r="N159" i="1"/>
  <c r="M142" i="1"/>
  <c r="N140" i="1"/>
  <c r="M155" i="1"/>
  <c r="M183" i="1" s="1"/>
  <c r="P5" i="7"/>
  <c r="J4" i="8" s="1"/>
  <c r="N174" i="1"/>
  <c r="N163" i="1"/>
  <c r="M165" i="1"/>
  <c r="M166" i="1"/>
  <c r="M154" i="1"/>
  <c r="N152" i="1"/>
  <c r="N161" i="1"/>
  <c r="O161" i="1" s="1"/>
  <c r="N162" i="1"/>
  <c r="N175" i="1"/>
  <c r="M177" i="1"/>
  <c r="M64" i="1"/>
  <c r="N53" i="1"/>
  <c r="N54" i="1"/>
  <c r="L96" i="1" l="1"/>
  <c r="M101" i="1"/>
  <c r="M65" i="1"/>
  <c r="L97" i="1"/>
  <c r="L101" i="1"/>
  <c r="M10" i="4"/>
  <c r="S208" i="1"/>
  <c r="S209" i="1"/>
  <c r="N155" i="1"/>
  <c r="N183" i="1" s="1"/>
  <c r="D103" i="1"/>
  <c r="C82" i="1"/>
  <c r="C101" i="1"/>
  <c r="C103" i="1" s="1"/>
  <c r="I92" i="1"/>
  <c r="I95" i="1" s="1"/>
  <c r="I98" i="1" s="1"/>
  <c r="I80" i="1"/>
  <c r="I79" i="1"/>
  <c r="G4" i="4"/>
  <c r="G6" i="4" s="1"/>
  <c r="G12" i="4" s="1"/>
  <c r="G13" i="4" s="1"/>
  <c r="G14" i="4" s="1"/>
  <c r="Y10" i="8"/>
  <c r="M67" i="1"/>
  <c r="M78" i="1"/>
  <c r="M92" i="1" s="1"/>
  <c r="M93" i="1" s="1"/>
  <c r="N93" i="1" s="1"/>
  <c r="Q150" i="1"/>
  <c r="R116" i="1"/>
  <c r="M70" i="1"/>
  <c r="M68" i="1" s="1"/>
  <c r="N154" i="1"/>
  <c r="N153" i="1"/>
  <c r="O153" i="1" s="1"/>
  <c r="M66" i="1"/>
  <c r="N56" i="1"/>
  <c r="N177" i="1"/>
  <c r="N176" i="1"/>
  <c r="N57" i="1"/>
  <c r="N166" i="1"/>
  <c r="N165" i="1"/>
  <c r="N164" i="1"/>
  <c r="P161" i="1"/>
  <c r="N142" i="1"/>
  <c r="N141" i="1"/>
  <c r="O141" i="1" s="1"/>
  <c r="Q172" i="1"/>
  <c r="N10" i="4" l="1"/>
  <c r="T209" i="1"/>
  <c r="T208" i="1"/>
  <c r="Q5" i="7"/>
  <c r="Q51" i="7" s="1"/>
  <c r="O5" i="7"/>
  <c r="H4" i="8" s="1"/>
  <c r="D104" i="1"/>
  <c r="D102" i="1"/>
  <c r="N78" i="1"/>
  <c r="Y5" i="8"/>
  <c r="N75" i="1"/>
  <c r="N67" i="1"/>
  <c r="N70" i="1"/>
  <c r="N68" i="1" s="1"/>
  <c r="N66" i="1"/>
  <c r="I97" i="1"/>
  <c r="I94" i="1"/>
  <c r="I72" i="1" s="1"/>
  <c r="I96" i="1"/>
  <c r="M95" i="1"/>
  <c r="M79" i="1"/>
  <c r="M80" i="1"/>
  <c r="R150" i="1"/>
  <c r="S116" i="1"/>
  <c r="P153" i="1"/>
  <c r="P141" i="1"/>
  <c r="R172" i="1"/>
  <c r="Q161" i="1"/>
  <c r="M7" i="1"/>
  <c r="N9" i="1"/>
  <c r="M10" i="1"/>
  <c r="N41" i="1" l="1"/>
  <c r="N42" i="1" s="1"/>
  <c r="N65" i="1"/>
  <c r="O10" i="4"/>
  <c r="U209" i="1"/>
  <c r="U208" i="1"/>
  <c r="P66" i="7"/>
  <c r="I82" i="1"/>
  <c r="I101" i="1"/>
  <c r="Y6" i="8"/>
  <c r="Y7" i="8"/>
  <c r="N92" i="1"/>
  <c r="N95" i="1" s="1"/>
  <c r="N98" i="1" s="1"/>
  <c r="H4" i="4"/>
  <c r="N79" i="1"/>
  <c r="N80" i="1"/>
  <c r="S150" i="1"/>
  <c r="T116" i="1"/>
  <c r="S172" i="1"/>
  <c r="R161" i="1"/>
  <c r="Q153" i="1"/>
  <c r="Q141" i="1"/>
  <c r="M8" i="1"/>
  <c r="N7" i="1"/>
  <c r="N8" i="1" s="1"/>
  <c r="N10" i="1"/>
  <c r="O9" i="1"/>
  <c r="O13" i="1" l="1"/>
  <c r="O41" i="1"/>
  <c r="O42" i="1" s="1"/>
  <c r="O126" i="1"/>
  <c r="O39" i="1"/>
  <c r="P10" i="4"/>
  <c r="V209" i="1"/>
  <c r="V208" i="1"/>
  <c r="O14" i="1"/>
  <c r="I102" i="1"/>
  <c r="I103" i="1"/>
  <c r="N94" i="1"/>
  <c r="N96" i="1"/>
  <c r="N97" i="1"/>
  <c r="T150" i="1"/>
  <c r="U116" i="1"/>
  <c r="R141" i="1"/>
  <c r="T172" i="1"/>
  <c r="R153" i="1"/>
  <c r="S161" i="1"/>
  <c r="P9" i="1"/>
  <c r="P13" i="1" s="1"/>
  <c r="P14" i="1" s="1"/>
  <c r="O7" i="1"/>
  <c r="O8" i="1" s="1"/>
  <c r="T10" i="8" l="1"/>
  <c r="Q10" i="4"/>
  <c r="W209" i="1"/>
  <c r="W208" i="1"/>
  <c r="N72" i="1"/>
  <c r="N101" i="1"/>
  <c r="T9" i="8" s="1"/>
  <c r="N82" i="1"/>
  <c r="I104" i="1"/>
  <c r="X8" i="8"/>
  <c r="X9" i="8" s="1"/>
  <c r="H5" i="4"/>
  <c r="U150" i="1"/>
  <c r="V116" i="1"/>
  <c r="S141" i="1"/>
  <c r="T161" i="1"/>
  <c r="U172" i="1"/>
  <c r="S153" i="1"/>
  <c r="Q9" i="1"/>
  <c r="Q13" i="1" s="1"/>
  <c r="Q14" i="1" s="1"/>
  <c r="P7" i="1"/>
  <c r="P8" i="1" s="1"/>
  <c r="H5" i="7" l="1"/>
  <c r="G15" i="8"/>
  <c r="G5" i="7"/>
  <c r="H15" i="8"/>
  <c r="N103" i="1"/>
  <c r="N5" i="7" s="1"/>
  <c r="T8" i="8"/>
  <c r="N102" i="1"/>
  <c r="H6" i="4"/>
  <c r="V150" i="1"/>
  <c r="W116" i="1"/>
  <c r="V172" i="1"/>
  <c r="T153" i="1"/>
  <c r="T141" i="1"/>
  <c r="U161" i="1"/>
  <c r="Q7" i="1"/>
  <c r="Q8" i="1" s="1"/>
  <c r="R9" i="1"/>
  <c r="V1" i="1" s="1"/>
  <c r="R13" i="1" l="1"/>
  <c r="R14" i="1" s="1"/>
  <c r="Y8" i="8"/>
  <c r="Y9" i="8" s="1"/>
  <c r="P51" i="7"/>
  <c r="K9" i="3" s="1"/>
  <c r="O51" i="7"/>
  <c r="K7" i="3" s="1"/>
  <c r="O66" i="7"/>
  <c r="N104" i="1"/>
  <c r="W150" i="1"/>
  <c r="U153" i="1"/>
  <c r="V161" i="1"/>
  <c r="W172" i="1"/>
  <c r="U141" i="1"/>
  <c r="S9" i="1"/>
  <c r="S13" i="1" s="1"/>
  <c r="R7" i="1"/>
  <c r="R8" i="1" s="1"/>
  <c r="S14" i="1" l="1"/>
  <c r="N51" i="7"/>
  <c r="K8" i="3" s="1"/>
  <c r="N66" i="7"/>
  <c r="I4" i="8"/>
  <c r="V141" i="1"/>
  <c r="W161" i="1"/>
  <c r="V153" i="1"/>
  <c r="S7" i="1"/>
  <c r="S8" i="1" s="1"/>
  <c r="T9" i="1"/>
  <c r="T13" i="1" s="1"/>
  <c r="T14" i="1" s="1"/>
  <c r="W153" i="1" l="1"/>
  <c r="W141" i="1"/>
  <c r="T7" i="1"/>
  <c r="T8" i="1" s="1"/>
  <c r="U9" i="1"/>
  <c r="U13" i="1" s="1"/>
  <c r="U14" i="1" s="1"/>
  <c r="V9" i="1" l="1"/>
  <c r="V13" i="1" s="1"/>
  <c r="V14" i="1" s="1"/>
  <c r="U7" i="1"/>
  <c r="U8" i="1" s="1"/>
  <c r="V7" i="1" l="1"/>
  <c r="V8" i="1" s="1"/>
  <c r="W9" i="1"/>
  <c r="W13" i="1" s="1"/>
  <c r="W14" i="1" s="1"/>
  <c r="W7" i="1" l="1"/>
  <c r="W8" i="1" s="1"/>
  <c r="M178" i="1" l="1"/>
  <c r="M170" i="1"/>
  <c r="M189" i="1"/>
  <c r="M191" i="1" s="1"/>
  <c r="N167" i="1"/>
  <c r="N189" i="1" s="1"/>
  <c r="M179" i="1" l="1"/>
  <c r="M180" i="1" s="1"/>
  <c r="M184" i="1"/>
  <c r="N168" i="1"/>
  <c r="N169" i="1"/>
  <c r="M190" i="1"/>
  <c r="N190" i="1" s="1"/>
  <c r="N170" i="1"/>
  <c r="N191" i="1"/>
  <c r="N178" i="1"/>
  <c r="N184" i="1" s="1"/>
  <c r="T13" i="8" s="1"/>
  <c r="M188" i="1"/>
  <c r="N188" i="1" s="1"/>
  <c r="M193" i="1"/>
  <c r="M181" i="1"/>
  <c r="T169" i="1" l="1"/>
  <c r="U169" i="1" s="1"/>
  <c r="V169" i="1" s="1"/>
  <c r="W169" i="1" s="1"/>
  <c r="N179" i="1"/>
  <c r="N193" i="1"/>
  <c r="N180" i="1" l="1"/>
  <c r="T14" i="8"/>
  <c r="O167" i="1"/>
  <c r="O170" i="1" s="1"/>
  <c r="N181" i="1"/>
  <c r="H9" i="4" s="1"/>
  <c r="H13" i="4" s="1"/>
  <c r="H14" i="4" s="1"/>
  <c r="L5" i="7" l="1"/>
  <c r="G4" i="8" s="1"/>
  <c r="K10" i="3"/>
  <c r="P167" i="1"/>
  <c r="Q167" i="1" s="1"/>
  <c r="O189" i="1"/>
  <c r="H12" i="4"/>
  <c r="H17" i="4" s="1"/>
  <c r="L66" i="7" l="1"/>
  <c r="L51" i="7"/>
  <c r="P170" i="1"/>
  <c r="P189" i="1"/>
  <c r="Q189" i="1"/>
  <c r="Q170" i="1"/>
  <c r="R167" i="1"/>
  <c r="R170" i="1" s="1"/>
  <c r="R189" i="1" l="1"/>
  <c r="S167" i="1"/>
  <c r="S170" i="1" l="1"/>
  <c r="S189" i="1"/>
  <c r="T167" i="1"/>
  <c r="T189" i="1" l="1"/>
  <c r="T170" i="1"/>
  <c r="U167" i="1"/>
  <c r="U189" i="1" l="1"/>
  <c r="U170" i="1"/>
  <c r="V167" i="1"/>
  <c r="V170" i="1" l="1"/>
  <c r="V189" i="1"/>
  <c r="W167" i="1"/>
  <c r="B36" i="10" l="1" a="1"/>
  <c r="B36" i="9" a="1"/>
  <c r="W189" i="1"/>
  <c r="W170" i="1"/>
  <c r="A41" i="10" l="1"/>
  <c r="A44" i="10"/>
  <c r="A40" i="10"/>
  <c r="A38" i="10"/>
  <c r="B36" i="10"/>
  <c r="A43" i="10"/>
  <c r="A45" i="10"/>
  <c r="A39" i="10"/>
  <c r="A42" i="10"/>
  <c r="O37" i="10"/>
  <c r="O46" i="10" s="1"/>
  <c r="P38" i="10"/>
  <c r="P46" i="10" s="1"/>
  <c r="Q39" i="10"/>
  <c r="Q46" i="10" s="1"/>
  <c r="R40" i="10"/>
  <c r="R46" i="10" s="1"/>
  <c r="S41" i="10"/>
  <c r="S46" i="10" s="1"/>
  <c r="T42" i="10"/>
  <c r="T46" i="10" s="1"/>
  <c r="U43" i="10"/>
  <c r="U46" i="10" s="1"/>
  <c r="V44" i="10"/>
  <c r="V46" i="10" s="1"/>
  <c r="S41" i="9"/>
  <c r="S46" i="9" s="1"/>
  <c r="A44" i="9"/>
  <c r="A38" i="9"/>
  <c r="R40" i="9"/>
  <c r="R46" i="9" s="1"/>
  <c r="Q39" i="9"/>
  <c r="Q46" i="9" s="1"/>
  <c r="A42" i="9"/>
  <c r="O37" i="9"/>
  <c r="O46" i="9" s="1"/>
  <c r="A40" i="9"/>
  <c r="T42" i="9"/>
  <c r="T46" i="9" s="1"/>
  <c r="A39" i="9"/>
  <c r="A43" i="9"/>
  <c r="V44" i="9"/>
  <c r="V46" i="9" s="1"/>
  <c r="P38" i="9"/>
  <c r="P46" i="9" s="1"/>
  <c r="A41" i="9"/>
  <c r="U43" i="9"/>
  <c r="U46" i="9" s="1"/>
  <c r="A45" i="9"/>
  <c r="B36" i="9"/>
  <c r="A36" i="10" l="1"/>
  <c r="N36" i="10"/>
  <c r="N46" i="10" s="1"/>
  <c r="A37" i="10"/>
  <c r="A36" i="9"/>
  <c r="N36" i="9"/>
  <c r="N46" i="9" s="1"/>
  <c r="A37" i="9"/>
  <c r="O57" i="10" l="1"/>
  <c r="P25" i="1" s="1"/>
  <c r="Q57" i="10"/>
  <c r="R25" i="1" s="1"/>
  <c r="R37" i="1" s="1"/>
  <c r="R39" i="1" l="1"/>
  <c r="R41" i="1"/>
  <c r="P62" i="1"/>
  <c r="P37" i="1"/>
  <c r="R144" i="1"/>
  <c r="H1" i="1"/>
  <c r="T1" i="1"/>
  <c r="P69" i="1"/>
  <c r="P144" i="1"/>
  <c r="AA3" i="8"/>
  <c r="P46" i="1"/>
  <c r="P50" i="1"/>
  <c r="R29" i="1"/>
  <c r="R157" i="1" s="1"/>
  <c r="P137" i="1"/>
  <c r="R50" i="1"/>
  <c r="R62" i="1"/>
  <c r="R69" i="1"/>
  <c r="R46" i="1"/>
  <c r="R137" i="1"/>
  <c r="P29" i="1"/>
  <c r="P160" i="1" s="1"/>
  <c r="T57" i="10"/>
  <c r="U25" i="1" s="1"/>
  <c r="U37" i="1" s="1"/>
  <c r="P57" i="10"/>
  <c r="Q25" i="1" s="1"/>
  <c r="U57" i="10"/>
  <c r="V25" i="1" s="1"/>
  <c r="V37" i="1" s="1"/>
  <c r="R57" i="10"/>
  <c r="S25" i="1" s="1"/>
  <c r="S57" i="10"/>
  <c r="T25" i="1" s="1"/>
  <c r="T37" i="1" s="1"/>
  <c r="V57" i="10"/>
  <c r="W25" i="1" s="1"/>
  <c r="W37" i="1" s="1"/>
  <c r="U39" i="1" l="1"/>
  <c r="U41" i="1"/>
  <c r="W39" i="1"/>
  <c r="W41" i="1"/>
  <c r="V39" i="1"/>
  <c r="V41" i="1"/>
  <c r="P39" i="1"/>
  <c r="P41" i="1"/>
  <c r="P42" i="1" s="1"/>
  <c r="T39" i="1"/>
  <c r="T41" i="1"/>
  <c r="T4" i="8"/>
  <c r="S37" i="1"/>
  <c r="R26" i="1"/>
  <c r="R45" i="1" s="1"/>
  <c r="Q37" i="1"/>
  <c r="R160" i="1"/>
  <c r="R32" i="1"/>
  <c r="W62" i="1"/>
  <c r="W46" i="1"/>
  <c r="W29" i="1"/>
  <c r="W69" i="1"/>
  <c r="W26" i="1"/>
  <c r="W45" i="1" s="1"/>
  <c r="W50" i="1"/>
  <c r="W137" i="1"/>
  <c r="V50" i="1"/>
  <c r="V62" i="1"/>
  <c r="V29" i="1"/>
  <c r="V26" i="1"/>
  <c r="V45" i="1" s="1"/>
  <c r="V137" i="1"/>
  <c r="V46" i="1"/>
  <c r="V69" i="1"/>
  <c r="U46" i="1"/>
  <c r="U26" i="1"/>
  <c r="U45" i="1" s="1"/>
  <c r="U50" i="1"/>
  <c r="U69" i="1"/>
  <c r="U62" i="1"/>
  <c r="U29" i="1"/>
  <c r="U144" i="1"/>
  <c r="U137" i="1"/>
  <c r="T62" i="1"/>
  <c r="T144" i="1"/>
  <c r="T137" i="1"/>
  <c r="T29" i="1"/>
  <c r="T26" i="1"/>
  <c r="T45" i="1" s="1"/>
  <c r="T50" i="1"/>
  <c r="T46" i="1"/>
  <c r="Q29" i="1"/>
  <c r="Q32" i="1" s="1"/>
  <c r="Q137" i="1"/>
  <c r="Q144" i="1"/>
  <c r="Q46" i="1"/>
  <c r="Q69" i="1"/>
  <c r="Q26" i="1"/>
  <c r="Q45" i="1" s="1"/>
  <c r="Q62" i="1"/>
  <c r="Q50" i="1"/>
  <c r="P157" i="1"/>
  <c r="S137" i="1"/>
  <c r="S139" i="1" s="1"/>
  <c r="S144" i="1"/>
  <c r="S62" i="1"/>
  <c r="S26" i="1"/>
  <c r="S45" i="1" s="1"/>
  <c r="S46" i="1"/>
  <c r="S48" i="1" s="1"/>
  <c r="S69" i="1"/>
  <c r="S29" i="1"/>
  <c r="S50" i="1"/>
  <c r="P32" i="1"/>
  <c r="P33" i="1" s="1"/>
  <c r="R33" i="1"/>
  <c r="O137" i="1"/>
  <c r="W42" i="1" l="1"/>
  <c r="U42" i="1"/>
  <c r="V42" i="1"/>
  <c r="Q39" i="1"/>
  <c r="Q41" i="1"/>
  <c r="S39" i="1"/>
  <c r="S41" i="1"/>
  <c r="S42" i="1" s="1"/>
  <c r="O62" i="1"/>
  <c r="Z3" i="8"/>
  <c r="T69" i="1"/>
  <c r="O69" i="1"/>
  <c r="P26" i="1"/>
  <c r="P45" i="1" s="1"/>
  <c r="O26" i="1"/>
  <c r="O45" i="1" s="1"/>
  <c r="O43" i="1" s="1"/>
  <c r="O44" i="1" s="1"/>
  <c r="O144" i="1"/>
  <c r="O29" i="1"/>
  <c r="O31" i="1" s="1"/>
  <c r="O139" i="1"/>
  <c r="P139" i="1"/>
  <c r="O50" i="1"/>
  <c r="O46" i="1"/>
  <c r="O27" i="1"/>
  <c r="T139" i="1"/>
  <c r="V139" i="1"/>
  <c r="Q33" i="1"/>
  <c r="Q34" i="1"/>
  <c r="R34" i="1"/>
  <c r="T48" i="1"/>
  <c r="W48" i="1"/>
  <c r="U157" i="1"/>
  <c r="U160" i="1"/>
  <c r="U31" i="1"/>
  <c r="W139" i="1"/>
  <c r="S160" i="1"/>
  <c r="S162" i="1" s="1"/>
  <c r="S31" i="1"/>
  <c r="S32" i="1"/>
  <c r="S157" i="1"/>
  <c r="S159" i="1" s="1"/>
  <c r="Q139" i="1"/>
  <c r="R139" i="1"/>
  <c r="U48" i="1"/>
  <c r="V32" i="1"/>
  <c r="V33" i="1" s="1"/>
  <c r="V157" i="1"/>
  <c r="V160" i="1"/>
  <c r="V162" i="1" s="1"/>
  <c r="V31" i="1"/>
  <c r="U32" i="1"/>
  <c r="T32" i="1"/>
  <c r="T157" i="1"/>
  <c r="T31" i="1"/>
  <c r="T160" i="1"/>
  <c r="U139" i="1"/>
  <c r="R48" i="1"/>
  <c r="Q48" i="1"/>
  <c r="Q157" i="1"/>
  <c r="Q160" i="1"/>
  <c r="Q31" i="1"/>
  <c r="R31" i="1"/>
  <c r="V48" i="1"/>
  <c r="W160" i="1"/>
  <c r="W157" i="1"/>
  <c r="W31" i="1"/>
  <c r="W32" i="1"/>
  <c r="T42" i="1" l="1"/>
  <c r="Q42" i="1"/>
  <c r="R42" i="1"/>
  <c r="P31" i="1"/>
  <c r="O157" i="1"/>
  <c r="O159" i="1" s="1"/>
  <c r="O160" i="1"/>
  <c r="P162" i="1" s="1"/>
  <c r="P43" i="1"/>
  <c r="P44" i="1" s="1"/>
  <c r="AA4" i="8"/>
  <c r="Z4" i="8"/>
  <c r="O32" i="1"/>
  <c r="P34" i="1" s="1"/>
  <c r="V159" i="1"/>
  <c r="P159" i="1"/>
  <c r="O48" i="1"/>
  <c r="P48" i="1"/>
  <c r="W162" i="1"/>
  <c r="T33" i="1"/>
  <c r="T34" i="1"/>
  <c r="V34" i="1"/>
  <c r="U34" i="1"/>
  <c r="U33" i="1"/>
  <c r="W34" i="1"/>
  <c r="W33" i="1"/>
  <c r="T162" i="1"/>
  <c r="U162" i="1"/>
  <c r="Q162" i="1"/>
  <c r="R162" i="1"/>
  <c r="S33" i="1"/>
  <c r="S34" i="1"/>
  <c r="W159" i="1"/>
  <c r="R159" i="1"/>
  <c r="Q159" i="1"/>
  <c r="U159" i="1"/>
  <c r="T159" i="1"/>
  <c r="O33" i="1"/>
  <c r="O162" i="1" l="1"/>
  <c r="Q43" i="1"/>
  <c r="Q44" i="1" s="1"/>
  <c r="O34" i="1"/>
  <c r="R43" i="1" l="1"/>
  <c r="R44" i="1" s="1"/>
  <c r="S43" i="1" l="1"/>
  <c r="S44" i="1" s="1"/>
  <c r="T43" i="1" l="1"/>
  <c r="U43" i="1" s="1"/>
  <c r="T44" i="1"/>
  <c r="U44" i="1"/>
  <c r="V43" i="1"/>
  <c r="V44" i="1" l="1"/>
  <c r="W43" i="1"/>
  <c r="W44" i="1" l="1"/>
  <c r="O168" i="1" l="1"/>
  <c r="P27" i="1"/>
  <c r="O187" i="1"/>
  <c r="O191" i="1" s="1"/>
  <c r="O193" i="1" s="1"/>
  <c r="O128" i="1" l="1"/>
  <c r="O40" i="1"/>
  <c r="O115" i="1"/>
  <c r="O52" i="1"/>
  <c r="O148" i="1"/>
  <c r="O149" i="1" l="1"/>
  <c r="O151" i="1"/>
  <c r="O194" i="1" s="1"/>
  <c r="O117" i="1"/>
  <c r="O174" i="1"/>
  <c r="O163" i="1"/>
  <c r="O54" i="1"/>
  <c r="O152" i="1"/>
  <c r="O154" i="1" s="1"/>
  <c r="O171" i="1"/>
  <c r="O55" i="1"/>
  <c r="O140" i="1"/>
  <c r="O175" i="1"/>
  <c r="O177" i="1" s="1"/>
  <c r="O53" i="1"/>
  <c r="O190" i="1"/>
  <c r="O188" i="1"/>
  <c r="O155" i="1" l="1"/>
  <c r="O142" i="1"/>
  <c r="Z10" i="8"/>
  <c r="O56" i="1"/>
  <c r="O57" i="1"/>
  <c r="O64" i="1"/>
  <c r="O165" i="1"/>
  <c r="O178" i="1"/>
  <c r="O184" i="1" s="1"/>
  <c r="O166" i="1"/>
  <c r="O72" i="1" l="1"/>
  <c r="O65" i="1"/>
  <c r="O101" i="1"/>
  <c r="O102" i="1" s="1"/>
  <c r="O181" i="1"/>
  <c r="O74" i="1"/>
  <c r="O78" i="1" s="1"/>
  <c r="I9" i="4"/>
  <c r="I13" i="4" s="1"/>
  <c r="I14" i="4" s="1"/>
  <c r="O70" i="1"/>
  <c r="O68" i="1" s="1"/>
  <c r="O67" i="1"/>
  <c r="Z5" i="8"/>
  <c r="O66" i="1"/>
  <c r="O179" i="1"/>
  <c r="O180" i="1" s="1"/>
  <c r="O183" i="1"/>
  <c r="O103" i="1" l="1"/>
  <c r="O104" i="1" s="1"/>
  <c r="O80" i="1"/>
  <c r="O92" i="1"/>
  <c r="I4" i="4"/>
  <c r="I6" i="4" s="1"/>
  <c r="O82" i="1"/>
  <c r="O135" i="1" s="1"/>
  <c r="O79" i="1"/>
  <c r="Z6" i="8"/>
  <c r="Z7" i="8"/>
  <c r="O76" i="1"/>
  <c r="Z8" i="8" l="1"/>
  <c r="I12" i="4"/>
  <c r="I17" i="4" s="1"/>
  <c r="O93" i="1"/>
  <c r="O95" i="1" s="1"/>
  <c r="O98" i="1" s="1"/>
  <c r="O96" i="1" l="1"/>
  <c r="O97" i="1"/>
  <c r="Z9" i="8"/>
  <c r="T168" i="1"/>
  <c r="U27" i="1"/>
  <c r="P168" i="1"/>
  <c r="Q27" i="1"/>
  <c r="T27" i="1"/>
  <c r="S168" i="1"/>
  <c r="Q168" i="1"/>
  <c r="R27" i="1"/>
  <c r="W168" i="1"/>
  <c r="V168" i="1"/>
  <c r="W27" i="1"/>
  <c r="W126" i="1"/>
  <c r="S126" i="1"/>
  <c r="S27" i="1"/>
  <c r="R168" i="1"/>
  <c r="T126" i="1"/>
  <c r="Q126" i="1"/>
  <c r="R126" i="1"/>
  <c r="V52" i="1"/>
  <c r="U126" i="1"/>
  <c r="V27" i="1"/>
  <c r="U168" i="1"/>
  <c r="V126" i="1"/>
  <c r="S148" i="1"/>
  <c r="Q148" i="1"/>
  <c r="U52" i="1"/>
  <c r="P115" i="1"/>
  <c r="P117" i="1" s="1"/>
  <c r="P126" i="1"/>
  <c r="T187" i="1" l="1"/>
  <c r="T191" i="1" s="1"/>
  <c r="V54" i="1"/>
  <c r="T128" i="1"/>
  <c r="P40" i="1"/>
  <c r="U187" i="1"/>
  <c r="U191" i="1" s="1"/>
  <c r="U190" i="1" s="1"/>
  <c r="W40" i="1"/>
  <c r="W115" i="1"/>
  <c r="Q187" i="1"/>
  <c r="Q191" i="1" s="1"/>
  <c r="W148" i="1"/>
  <c r="W149" i="1" s="1"/>
  <c r="U140" i="1"/>
  <c r="U174" i="1"/>
  <c r="V175" i="1"/>
  <c r="V55" i="1"/>
  <c r="B13" i="10" a="1"/>
  <c r="Q149" i="1"/>
  <c r="B13" i="9" a="1"/>
  <c r="R148" i="1"/>
  <c r="R40" i="1"/>
  <c r="R52" i="1"/>
  <c r="R115" i="1"/>
  <c r="T148" i="1"/>
  <c r="T52" i="1"/>
  <c r="U54" i="1" s="1"/>
  <c r="S40" i="1"/>
  <c r="U148" i="1"/>
  <c r="U40" i="1"/>
  <c r="U115" i="1"/>
  <c r="V163" i="1"/>
  <c r="V174" i="1"/>
  <c r="V140" i="1"/>
  <c r="V171" i="1"/>
  <c r="V152" i="1"/>
  <c r="T40" i="1"/>
  <c r="V40" i="1"/>
  <c r="P52" i="1"/>
  <c r="S52" i="1"/>
  <c r="V187" i="1"/>
  <c r="V128" i="1"/>
  <c r="V148" i="1"/>
  <c r="V115" i="1"/>
  <c r="P148" i="1"/>
  <c r="S149" i="1"/>
  <c r="Q115" i="1"/>
  <c r="Q52" i="1"/>
  <c r="Q40" i="1"/>
  <c r="S128" i="1"/>
  <c r="R128" i="1"/>
  <c r="S187" i="1"/>
  <c r="Q128" i="1"/>
  <c r="U152" i="1"/>
  <c r="U163" i="1"/>
  <c r="U175" i="1"/>
  <c r="U55" i="1"/>
  <c r="U171" i="1"/>
  <c r="R187" i="1"/>
  <c r="W52" i="1"/>
  <c r="U53" i="1"/>
  <c r="T115" i="1"/>
  <c r="V53" i="1"/>
  <c r="W187" i="1"/>
  <c r="W128" i="1"/>
  <c r="S115" i="1"/>
  <c r="P128" i="1"/>
  <c r="P187" i="1"/>
  <c r="U128" i="1"/>
  <c r="V155" i="1" l="1"/>
  <c r="U155" i="1"/>
  <c r="U183" i="1" s="1"/>
  <c r="U193" i="1"/>
  <c r="V57" i="1"/>
  <c r="U188" i="1"/>
  <c r="V177" i="1"/>
  <c r="U18" i="10"/>
  <c r="J19" i="10"/>
  <c r="D19" i="10"/>
  <c r="U15" i="10"/>
  <c r="F14" i="10"/>
  <c r="Q17" i="10"/>
  <c r="M17" i="10"/>
  <c r="A20" i="10"/>
  <c r="Q22" i="10"/>
  <c r="A22" i="10"/>
  <c r="F18" i="10"/>
  <c r="H20" i="10"/>
  <c r="A16" i="10"/>
  <c r="A19" i="10"/>
  <c r="J22" i="10"/>
  <c r="I18" i="10"/>
  <c r="O20" i="10"/>
  <c r="I15" i="10"/>
  <c r="H15" i="10"/>
  <c r="N22" i="10"/>
  <c r="J16" i="10"/>
  <c r="G22" i="10"/>
  <c r="Q18" i="10"/>
  <c r="L21" i="10"/>
  <c r="D18" i="10"/>
  <c r="V15" i="10"/>
  <c r="B13" i="10"/>
  <c r="A14" i="10" s="1"/>
  <c r="H19" i="10"/>
  <c r="P22" i="10"/>
  <c r="O22" i="10"/>
  <c r="O15" i="10"/>
  <c r="V19" i="10"/>
  <c r="R22" i="10"/>
  <c r="E16" i="10"/>
  <c r="R20" i="10"/>
  <c r="I21" i="10"/>
  <c r="U21" i="10"/>
  <c r="O18" i="10"/>
  <c r="F22" i="10"/>
  <c r="O21" i="10"/>
  <c r="T22" i="10"/>
  <c r="V16" i="10"/>
  <c r="E21" i="10"/>
  <c r="H18" i="10"/>
  <c r="F21" i="10"/>
  <c r="H17" i="10"/>
  <c r="J21" i="10"/>
  <c r="S14" i="10"/>
  <c r="L18" i="10"/>
  <c r="G21" i="10"/>
  <c r="F17" i="10"/>
  <c r="N17" i="10"/>
  <c r="K21" i="10"/>
  <c r="G20" i="10"/>
  <c r="K15" i="10"/>
  <c r="Q15" i="10"/>
  <c r="S19" i="10"/>
  <c r="I16" i="10"/>
  <c r="T17" i="10"/>
  <c r="H16" i="10"/>
  <c r="P17" i="10"/>
  <c r="D22" i="10"/>
  <c r="D14" i="10"/>
  <c r="M18" i="10"/>
  <c r="L17" i="10"/>
  <c r="F19" i="10"/>
  <c r="O17" i="10"/>
  <c r="N19" i="10"/>
  <c r="R21" i="10"/>
  <c r="Q14" i="10"/>
  <c r="J18" i="10"/>
  <c r="J20" i="10"/>
  <c r="E15" i="10"/>
  <c r="K14" i="10"/>
  <c r="E18" i="10"/>
  <c r="T18" i="10"/>
  <c r="F20" i="10"/>
  <c r="K22" i="10"/>
  <c r="I17" i="10"/>
  <c r="Q21" i="10"/>
  <c r="P14" i="10"/>
  <c r="K17" i="10"/>
  <c r="P16" i="10"/>
  <c r="T16" i="10"/>
  <c r="S21" i="10"/>
  <c r="N18" i="10"/>
  <c r="E14" i="10"/>
  <c r="R18" i="10"/>
  <c r="A21" i="10"/>
  <c r="T19" i="10"/>
  <c r="D15" i="10"/>
  <c r="P20" i="10"/>
  <c r="Q16" i="10"/>
  <c r="G15" i="10"/>
  <c r="E22" i="10"/>
  <c r="S20" i="10"/>
  <c r="D17" i="10"/>
  <c r="A15" i="10"/>
  <c r="T20" i="10"/>
  <c r="I14" i="10"/>
  <c r="V21" i="10"/>
  <c r="M22" i="10"/>
  <c r="K19" i="10"/>
  <c r="V18" i="10"/>
  <c r="R14" i="10"/>
  <c r="D20" i="10"/>
  <c r="P15" i="10"/>
  <c r="V22" i="10"/>
  <c r="N20" i="10"/>
  <c r="G16" i="10"/>
  <c r="M15" i="10"/>
  <c r="L14" i="10"/>
  <c r="L22" i="10"/>
  <c r="S15" i="10"/>
  <c r="J15" i="10"/>
  <c r="M19" i="10"/>
  <c r="I20" i="10"/>
  <c r="U20" i="10"/>
  <c r="U17" i="10"/>
  <c r="V14" i="10"/>
  <c r="N16" i="10"/>
  <c r="N21" i="10"/>
  <c r="T14" i="10"/>
  <c r="K20" i="10"/>
  <c r="N15" i="10"/>
  <c r="O16" i="10"/>
  <c r="N14" i="10"/>
  <c r="M20" i="10"/>
  <c r="M14" i="10"/>
  <c r="S16" i="10"/>
  <c r="I19" i="10"/>
  <c r="R16" i="10"/>
  <c r="P19" i="10"/>
  <c r="R19" i="10"/>
  <c r="T21" i="10"/>
  <c r="J14" i="10"/>
  <c r="P18" i="10"/>
  <c r="R15" i="10"/>
  <c r="A17" i="10"/>
  <c r="L19" i="10"/>
  <c r="L15" i="10"/>
  <c r="K16" i="10"/>
  <c r="U19" i="10"/>
  <c r="U22" i="10"/>
  <c r="L20" i="10"/>
  <c r="M21" i="10"/>
  <c r="I22" i="10"/>
  <c r="G19" i="10"/>
  <c r="G17" i="10"/>
  <c r="Q19" i="10"/>
  <c r="V56" i="1"/>
  <c r="V64" i="1"/>
  <c r="V65" i="1" s="1"/>
  <c r="L16" i="10"/>
  <c r="U14" i="10"/>
  <c r="U16" i="10"/>
  <c r="D21" i="10"/>
  <c r="E19" i="10"/>
  <c r="S22" i="10"/>
  <c r="O19" i="10"/>
  <c r="V17" i="10"/>
  <c r="R17" i="10"/>
  <c r="Q20" i="10"/>
  <c r="G18" i="10"/>
  <c r="E17" i="10"/>
  <c r="F16" i="10"/>
  <c r="D16" i="10"/>
  <c r="E20" i="10"/>
  <c r="S17" i="10"/>
  <c r="G14" i="10"/>
  <c r="P21" i="10"/>
  <c r="K18" i="10"/>
  <c r="J17" i="10"/>
  <c r="T15" i="10"/>
  <c r="V20" i="10"/>
  <c r="M16" i="10"/>
  <c r="H14" i="10"/>
  <c r="S18" i="10"/>
  <c r="H21" i="10"/>
  <c r="A18" i="10"/>
  <c r="O14" i="10"/>
  <c r="F15" i="10"/>
  <c r="H22" i="10"/>
  <c r="W191" i="1"/>
  <c r="W188" i="1" s="1"/>
  <c r="T193" i="1"/>
  <c r="T190" i="1"/>
  <c r="Q152" i="1"/>
  <c r="Q175" i="1"/>
  <c r="Q54" i="1"/>
  <c r="Q53" i="1"/>
  <c r="Q140" i="1"/>
  <c r="Q174" i="1"/>
  <c r="Q171" i="1"/>
  <c r="Q163" i="1"/>
  <c r="Q55" i="1"/>
  <c r="S152" i="1"/>
  <c r="S163" i="1"/>
  <c r="S171" i="1"/>
  <c r="S140" i="1"/>
  <c r="S175" i="1"/>
  <c r="S53" i="1"/>
  <c r="S55" i="1"/>
  <c r="S54" i="1"/>
  <c r="S174" i="1"/>
  <c r="P191" i="1"/>
  <c r="P188" i="1" s="1"/>
  <c r="U178" i="1"/>
  <c r="U184" i="1" s="1"/>
  <c r="Q117" i="1"/>
  <c r="T117" i="1"/>
  <c r="S191" i="1"/>
  <c r="S188" i="1" s="1"/>
  <c r="P151" i="1"/>
  <c r="P194" i="1" s="1"/>
  <c r="P149" i="1"/>
  <c r="P152" i="1"/>
  <c r="P154" i="1" s="1"/>
  <c r="P140" i="1"/>
  <c r="P175" i="1"/>
  <c r="P177" i="1" s="1"/>
  <c r="P171" i="1"/>
  <c r="P163" i="1"/>
  <c r="P174" i="1"/>
  <c r="P55" i="1"/>
  <c r="P54" i="1"/>
  <c r="P53" i="1"/>
  <c r="Q193" i="1"/>
  <c r="Q190" i="1"/>
  <c r="S117" i="1"/>
  <c r="U149" i="1"/>
  <c r="U151" i="1"/>
  <c r="U194" i="1" s="1"/>
  <c r="Q151" i="1"/>
  <c r="Q194" i="1" s="1"/>
  <c r="Q188" i="1"/>
  <c r="R191" i="1"/>
  <c r="R188" i="1" s="1"/>
  <c r="V117" i="1"/>
  <c r="W117" i="1"/>
  <c r="R117" i="1"/>
  <c r="V151" i="1"/>
  <c r="V194" i="1" s="1"/>
  <c r="V149" i="1"/>
  <c r="W151" i="1"/>
  <c r="W194" i="1" s="1"/>
  <c r="V178" i="1"/>
  <c r="V184" i="1" s="1"/>
  <c r="V165" i="1"/>
  <c r="V166" i="1"/>
  <c r="R152" i="1"/>
  <c r="R163" i="1"/>
  <c r="R53" i="1"/>
  <c r="R54" i="1"/>
  <c r="R55" i="1"/>
  <c r="R171" i="1"/>
  <c r="R175" i="1"/>
  <c r="R174" i="1"/>
  <c r="R140" i="1"/>
  <c r="T188" i="1"/>
  <c r="U117" i="1"/>
  <c r="T152" i="1"/>
  <c r="U154" i="1" s="1"/>
  <c r="T175" i="1"/>
  <c r="T140" i="1"/>
  <c r="T163" i="1"/>
  <c r="T55" i="1"/>
  <c r="U57" i="1" s="1"/>
  <c r="T171" i="1"/>
  <c r="T53" i="1"/>
  <c r="T174" i="1"/>
  <c r="T54" i="1"/>
  <c r="V154" i="1"/>
  <c r="T149" i="1"/>
  <c r="T151" i="1"/>
  <c r="T194" i="1" s="1"/>
  <c r="R151" i="1"/>
  <c r="R194" i="1" s="1"/>
  <c r="R149" i="1"/>
  <c r="W175" i="1"/>
  <c r="W177" i="1" s="1"/>
  <c r="W171" i="1"/>
  <c r="W152" i="1"/>
  <c r="W154" i="1" s="1"/>
  <c r="W163" i="1"/>
  <c r="W53" i="1"/>
  <c r="W55" i="1"/>
  <c r="W174" i="1"/>
  <c r="W54" i="1"/>
  <c r="W140" i="1"/>
  <c r="U64" i="1"/>
  <c r="U65" i="1" s="1"/>
  <c r="U56" i="1"/>
  <c r="V191" i="1"/>
  <c r="V188" i="1" s="1"/>
  <c r="S151" i="1"/>
  <c r="S194" i="1" s="1"/>
  <c r="V142" i="1"/>
  <c r="H21" i="9"/>
  <c r="T15" i="9"/>
  <c r="J17" i="9"/>
  <c r="D18" i="9"/>
  <c r="I20" i="9"/>
  <c r="J14" i="9"/>
  <c r="T14" i="9"/>
  <c r="F18" i="9"/>
  <c r="I15" i="9"/>
  <c r="D16" i="9"/>
  <c r="R22" i="9"/>
  <c r="U21" i="9"/>
  <c r="Q17" i="9"/>
  <c r="I22" i="9"/>
  <c r="E17" i="9"/>
  <c r="A16" i="9"/>
  <c r="R18" i="9"/>
  <c r="L15" i="9"/>
  <c r="I14" i="9"/>
  <c r="N18" i="9"/>
  <c r="G15" i="9"/>
  <c r="S22" i="9"/>
  <c r="A18" i="9"/>
  <c r="K16" i="9"/>
  <c r="R16" i="9"/>
  <c r="N17" i="9"/>
  <c r="F21" i="9"/>
  <c r="K20" i="9"/>
  <c r="K19" i="9"/>
  <c r="J22" i="9"/>
  <c r="M15" i="9"/>
  <c r="Q19" i="9"/>
  <c r="M19" i="9"/>
  <c r="H22" i="9"/>
  <c r="R17" i="9"/>
  <c r="S17" i="9"/>
  <c r="F19" i="9"/>
  <c r="S20" i="9"/>
  <c r="E20" i="9"/>
  <c r="P18" i="9"/>
  <c r="F20" i="9"/>
  <c r="Q14" i="9"/>
  <c r="H17" i="9"/>
  <c r="O17" i="9"/>
  <c r="U22" i="9"/>
  <c r="F15" i="9"/>
  <c r="N15" i="9"/>
  <c r="Q22" i="9"/>
  <c r="U14" i="9"/>
  <c r="E16" i="9"/>
  <c r="J20" i="9"/>
  <c r="L22" i="9"/>
  <c r="L19" i="9"/>
  <c r="E19" i="9"/>
  <c r="H15" i="9"/>
  <c r="O15" i="9"/>
  <c r="N14" i="9"/>
  <c r="S16" i="9"/>
  <c r="M20" i="9"/>
  <c r="V22" i="9"/>
  <c r="G22" i="9"/>
  <c r="R15" i="9"/>
  <c r="P14" i="9"/>
  <c r="E14" i="9"/>
  <c r="L18" i="9"/>
  <c r="H19" i="9"/>
  <c r="A17" i="9"/>
  <c r="L16" i="9"/>
  <c r="O16" i="9"/>
  <c r="T17" i="9"/>
  <c r="U18" i="9"/>
  <c r="T19" i="9"/>
  <c r="K18" i="9"/>
  <c r="A20" i="9"/>
  <c r="T18" i="9"/>
  <c r="H20" i="9"/>
  <c r="V17" i="9"/>
  <c r="I17" i="9"/>
  <c r="J19" i="9"/>
  <c r="V18" i="9"/>
  <c r="K22" i="9"/>
  <c r="F14" i="9"/>
  <c r="V20" i="9"/>
  <c r="V15" i="9"/>
  <c r="O21" i="9"/>
  <c r="I16" i="9"/>
  <c r="P17" i="9"/>
  <c r="U17" i="9"/>
  <c r="N20" i="9"/>
  <c r="U16" i="9"/>
  <c r="L21" i="9"/>
  <c r="V21" i="9"/>
  <c r="E21" i="9"/>
  <c r="P20" i="9"/>
  <c r="S18" i="9"/>
  <c r="Q18" i="9"/>
  <c r="M21" i="9"/>
  <c r="G19" i="9"/>
  <c r="E22" i="9"/>
  <c r="N22" i="9"/>
  <c r="S21" i="9"/>
  <c r="O14" i="9"/>
  <c r="Q21" i="9"/>
  <c r="Q15" i="9"/>
  <c r="O19" i="9"/>
  <c r="M17" i="9"/>
  <c r="O22" i="9"/>
  <c r="G14" i="9"/>
  <c r="N19" i="9"/>
  <c r="V19" i="9"/>
  <c r="G21" i="9"/>
  <c r="H18" i="9"/>
  <c r="L14" i="9"/>
  <c r="V14" i="9"/>
  <c r="J21" i="9"/>
  <c r="U19" i="9"/>
  <c r="N21" i="9"/>
  <c r="M22" i="9"/>
  <c r="D21" i="9"/>
  <c r="P21" i="9"/>
  <c r="L17" i="9"/>
  <c r="D19" i="9"/>
  <c r="D17" i="9"/>
  <c r="H14" i="9"/>
  <c r="D15" i="9"/>
  <c r="R21" i="9"/>
  <c r="Q16" i="9"/>
  <c r="T16" i="9"/>
  <c r="P22" i="9"/>
  <c r="O18" i="9"/>
  <c r="M16" i="9"/>
  <c r="D14" i="9"/>
  <c r="F22" i="9"/>
  <c r="F16" i="9"/>
  <c r="H16" i="9"/>
  <c r="K21" i="9"/>
  <c r="I21" i="9"/>
  <c r="P19" i="9"/>
  <c r="M18" i="9"/>
  <c r="J15" i="9"/>
  <c r="D22" i="9"/>
  <c r="E15" i="9"/>
  <c r="S15" i="9"/>
  <c r="R20" i="9"/>
  <c r="B13" i="9"/>
  <c r="A14" i="9" s="1"/>
  <c r="G16" i="9"/>
  <c r="L20" i="9"/>
  <c r="N16" i="9"/>
  <c r="A21" i="9"/>
  <c r="M14" i="9"/>
  <c r="G20" i="9"/>
  <c r="D20" i="9"/>
  <c r="T22" i="9"/>
  <c r="I18" i="9"/>
  <c r="P16" i="9"/>
  <c r="G17" i="9"/>
  <c r="K14" i="9"/>
  <c r="R14" i="9"/>
  <c r="A22" i="9"/>
  <c r="G18" i="9"/>
  <c r="A19" i="9"/>
  <c r="O20" i="9"/>
  <c r="U20" i="9"/>
  <c r="K15" i="9"/>
  <c r="V16" i="9"/>
  <c r="J16" i="9"/>
  <c r="P15" i="9"/>
  <c r="T20" i="9"/>
  <c r="T21" i="9"/>
  <c r="Q20" i="9"/>
  <c r="A15" i="9"/>
  <c r="K17" i="9"/>
  <c r="J18" i="9"/>
  <c r="R19" i="9"/>
  <c r="S14" i="9"/>
  <c r="U15" i="9"/>
  <c r="F17" i="9"/>
  <c r="S19" i="9"/>
  <c r="E18" i="9"/>
  <c r="I19" i="9"/>
  <c r="W155" i="1" l="1"/>
  <c r="T155" i="1"/>
  <c r="S155" i="1"/>
  <c r="U101" i="1"/>
  <c r="U103" i="1" s="1"/>
  <c r="U72" i="1"/>
  <c r="V101" i="1"/>
  <c r="V72" i="1"/>
  <c r="P155" i="1"/>
  <c r="R155" i="1"/>
  <c r="Q155" i="1"/>
  <c r="V179" i="1"/>
  <c r="V180" i="1" s="1"/>
  <c r="L13" i="10"/>
  <c r="L23" i="10" s="1"/>
  <c r="T13" i="10"/>
  <c r="T23" i="10" s="1"/>
  <c r="R13" i="10"/>
  <c r="R23" i="10" s="1"/>
  <c r="N13" i="10"/>
  <c r="N23" i="10" s="1"/>
  <c r="D13" i="10"/>
  <c r="D23" i="10" s="1"/>
  <c r="D49" i="10" s="1"/>
  <c r="S13" i="10"/>
  <c r="S23" i="10" s="1"/>
  <c r="U13" i="10"/>
  <c r="U23" i="10" s="1"/>
  <c r="J13" i="10"/>
  <c r="J23" i="10" s="1"/>
  <c r="Q13" i="10"/>
  <c r="Q23" i="10" s="1"/>
  <c r="T177" i="1"/>
  <c r="O13" i="10"/>
  <c r="O23" i="10" s="1"/>
  <c r="P13" i="10"/>
  <c r="P23" i="10" s="1"/>
  <c r="M13" i="10"/>
  <c r="M23" i="10" s="1"/>
  <c r="H13" i="10"/>
  <c r="H23" i="10" s="1"/>
  <c r="G13" i="10"/>
  <c r="G23" i="10" s="1"/>
  <c r="F13" i="10"/>
  <c r="F23" i="10" s="1"/>
  <c r="F49" i="10" s="1"/>
  <c r="E13" i="10"/>
  <c r="E23" i="10" s="1"/>
  <c r="E49" i="10" s="1"/>
  <c r="A13" i="10"/>
  <c r="K13" i="10"/>
  <c r="K23" i="10" s="1"/>
  <c r="V13" i="10"/>
  <c r="V23" i="10" s="1"/>
  <c r="I13" i="10"/>
  <c r="I23" i="10" s="1"/>
  <c r="S154" i="1"/>
  <c r="R177" i="1"/>
  <c r="V183" i="1"/>
  <c r="Q154" i="1"/>
  <c r="V74" i="1"/>
  <c r="V66" i="1"/>
  <c r="U179" i="1"/>
  <c r="U180" i="1" s="1"/>
  <c r="U177" i="1"/>
  <c r="W57" i="1"/>
  <c r="W64" i="1"/>
  <c r="W65" i="1" s="1"/>
  <c r="W56" i="1"/>
  <c r="S142" i="1"/>
  <c r="T178" i="1"/>
  <c r="T184" i="1" s="1"/>
  <c r="T165" i="1"/>
  <c r="T166" i="1"/>
  <c r="R57" i="1"/>
  <c r="R64" i="1"/>
  <c r="R65" i="1" s="1"/>
  <c r="R56" i="1"/>
  <c r="P178" i="1"/>
  <c r="P184" i="1" s="1"/>
  <c r="P165" i="1"/>
  <c r="P166" i="1"/>
  <c r="Q56" i="1"/>
  <c r="Q64" i="1"/>
  <c r="Q65" i="1" s="1"/>
  <c r="Q57" i="1"/>
  <c r="W193" i="1"/>
  <c r="W190" i="1"/>
  <c r="T57" i="1"/>
  <c r="T56" i="1"/>
  <c r="T64" i="1"/>
  <c r="T65" i="1" s="1"/>
  <c r="P142" i="1"/>
  <c r="U66" i="1"/>
  <c r="U74" i="1"/>
  <c r="U76" i="1" s="1"/>
  <c r="V67" i="1"/>
  <c r="W178" i="1"/>
  <c r="W184" i="1" s="1"/>
  <c r="W165" i="1"/>
  <c r="W166" i="1"/>
  <c r="T142" i="1"/>
  <c r="U142" i="1"/>
  <c r="R193" i="1"/>
  <c r="R190" i="1"/>
  <c r="P57" i="1"/>
  <c r="AA10" i="8"/>
  <c r="P64" i="1"/>
  <c r="P65" i="1" s="1"/>
  <c r="P56" i="1"/>
  <c r="U166" i="1"/>
  <c r="S165" i="1"/>
  <c r="S178" i="1"/>
  <c r="S184" i="1" s="1"/>
  <c r="S166" i="1"/>
  <c r="Q142" i="1"/>
  <c r="W142" i="1"/>
  <c r="R142" i="1"/>
  <c r="U165" i="1"/>
  <c r="S56" i="1"/>
  <c r="S57" i="1"/>
  <c r="S64" i="1"/>
  <c r="Q13" i="9"/>
  <c r="Q23" i="9" s="1"/>
  <c r="Q49" i="9" s="1"/>
  <c r="D13" i="9"/>
  <c r="D23" i="9" s="1"/>
  <c r="D49" i="9" s="1"/>
  <c r="G13" i="9"/>
  <c r="G23" i="9" s="1"/>
  <c r="G49" i="9" s="1"/>
  <c r="U13" i="9"/>
  <c r="U23" i="9" s="1"/>
  <c r="U49" i="9" s="1"/>
  <c r="T13" i="9"/>
  <c r="T23" i="9" s="1"/>
  <c r="T49" i="9" s="1"/>
  <c r="E13" i="9"/>
  <c r="E23" i="9" s="1"/>
  <c r="E49" i="9" s="1"/>
  <c r="K13" i="9"/>
  <c r="K23" i="9" s="1"/>
  <c r="K49" i="9" s="1"/>
  <c r="R13" i="9"/>
  <c r="R23" i="9" s="1"/>
  <c r="R49" i="9" s="1"/>
  <c r="M13" i="9"/>
  <c r="M23" i="9" s="1"/>
  <c r="M49" i="9" s="1"/>
  <c r="V13" i="9"/>
  <c r="V23" i="9" s="1"/>
  <c r="V49" i="9" s="1"/>
  <c r="A13" i="9"/>
  <c r="S13" i="9"/>
  <c r="S23" i="9" s="1"/>
  <c r="S49" i="9" s="1"/>
  <c r="N13" i="9"/>
  <c r="N23" i="9" s="1"/>
  <c r="N49" i="9" s="1"/>
  <c r="J13" i="9"/>
  <c r="J23" i="9" s="1"/>
  <c r="J49" i="9" s="1"/>
  <c r="I13" i="9"/>
  <c r="I23" i="9" s="1"/>
  <c r="I49" i="9" s="1"/>
  <c r="O13" i="9"/>
  <c r="O23" i="9" s="1"/>
  <c r="O49" i="9" s="1"/>
  <c r="F13" i="9"/>
  <c r="F23" i="9" s="1"/>
  <c r="F49" i="9" s="1"/>
  <c r="L13" i="9"/>
  <c r="L23" i="9" s="1"/>
  <c r="L49" i="9" s="1"/>
  <c r="P13" i="9"/>
  <c r="P23" i="9" s="1"/>
  <c r="P49" i="9" s="1"/>
  <c r="H13" i="9"/>
  <c r="H23" i="9" s="1"/>
  <c r="H49" i="9" s="1"/>
  <c r="T154" i="1"/>
  <c r="R166" i="1"/>
  <c r="R178" i="1"/>
  <c r="R184" i="1" s="1"/>
  <c r="R165" i="1"/>
  <c r="V190" i="1"/>
  <c r="V193" i="1"/>
  <c r="V181" i="1" s="1"/>
  <c r="P9" i="4" s="1"/>
  <c r="P13" i="4" s="1"/>
  <c r="P14" i="4" s="1"/>
  <c r="R154" i="1"/>
  <c r="S190" i="1"/>
  <c r="S193" i="1"/>
  <c r="P193" i="1"/>
  <c r="P190" i="1"/>
  <c r="S177" i="1"/>
  <c r="Q165" i="1"/>
  <c r="Q178" i="1"/>
  <c r="Q184" i="1" s="1"/>
  <c r="Q166" i="1"/>
  <c r="Q177" i="1"/>
  <c r="S72" i="1" l="1"/>
  <c r="S65" i="1"/>
  <c r="V102" i="1"/>
  <c r="V103" i="1"/>
  <c r="V104" i="1" s="1"/>
  <c r="W101" i="1"/>
  <c r="W102" i="1" s="1"/>
  <c r="W72" i="1"/>
  <c r="S101" i="1"/>
  <c r="P101" i="1"/>
  <c r="P102" i="1" s="1"/>
  <c r="P72" i="1"/>
  <c r="T101" i="1"/>
  <c r="T103" i="1" s="1"/>
  <c r="T72" i="1"/>
  <c r="Q101" i="1"/>
  <c r="Q103" i="1" s="1"/>
  <c r="Q72" i="1"/>
  <c r="R101" i="1"/>
  <c r="R72" i="1"/>
  <c r="V49" i="10"/>
  <c r="V54" i="10" s="1"/>
  <c r="V24" i="10"/>
  <c r="T49" i="10"/>
  <c r="U50" i="10" s="1"/>
  <c r="T24" i="10"/>
  <c r="M49" i="10"/>
  <c r="M54" i="10" s="1"/>
  <c r="M55" i="10" s="1"/>
  <c r="M24" i="10"/>
  <c r="U49" i="10"/>
  <c r="U54" i="10" s="1"/>
  <c r="U24" i="10"/>
  <c r="P49" i="10"/>
  <c r="P54" i="10" s="1"/>
  <c r="P24" i="10"/>
  <c r="O49" i="10"/>
  <c r="O24" i="10"/>
  <c r="J49" i="10"/>
  <c r="J54" i="10" s="1"/>
  <c r="J55" i="10" s="1"/>
  <c r="J24" i="10"/>
  <c r="L49" i="10"/>
  <c r="L54" i="10" s="1"/>
  <c r="L55" i="10" s="1"/>
  <c r="L24" i="10"/>
  <c r="N49" i="10"/>
  <c r="N54" i="10" s="1"/>
  <c r="N24" i="10"/>
  <c r="H49" i="10"/>
  <c r="H24" i="10"/>
  <c r="K49" i="10"/>
  <c r="K54" i="10" s="1"/>
  <c r="K55" i="10" s="1"/>
  <c r="K24" i="10"/>
  <c r="S49" i="10"/>
  <c r="S24" i="10"/>
  <c r="I49" i="10"/>
  <c r="I24" i="10"/>
  <c r="G49" i="10"/>
  <c r="G50" i="10" s="1"/>
  <c r="G24" i="10"/>
  <c r="Q49" i="10"/>
  <c r="Q24" i="10"/>
  <c r="R49" i="10"/>
  <c r="R54" i="10" s="1"/>
  <c r="R24" i="10"/>
  <c r="V50" i="9"/>
  <c r="I50" i="9"/>
  <c r="U78" i="1"/>
  <c r="O4" i="4" s="1"/>
  <c r="O6" i="4" s="1"/>
  <c r="S181" i="1"/>
  <c r="M9" i="4" s="1"/>
  <c r="M13" i="4" s="1"/>
  <c r="M14" i="4" s="1"/>
  <c r="F50" i="10"/>
  <c r="M50" i="9"/>
  <c r="G50" i="9"/>
  <c r="R50" i="9"/>
  <c r="O50" i="9"/>
  <c r="U50" i="9"/>
  <c r="T181" i="1"/>
  <c r="N9" i="4" s="1"/>
  <c r="N13" i="4" s="1"/>
  <c r="N14" i="4" s="1"/>
  <c r="V76" i="1"/>
  <c r="V78" i="1"/>
  <c r="Q181" i="1"/>
  <c r="K9" i="4" s="1"/>
  <c r="K13" i="4" s="1"/>
  <c r="K14" i="4" s="1"/>
  <c r="P70" i="1"/>
  <c r="P68" i="1" s="1"/>
  <c r="AA5" i="8"/>
  <c r="P66" i="1"/>
  <c r="P67" i="1"/>
  <c r="P74" i="1"/>
  <c r="P76" i="1" s="1"/>
  <c r="R179" i="1"/>
  <c r="R180" i="1" s="1"/>
  <c r="R183" i="1"/>
  <c r="U70" i="1"/>
  <c r="U68" i="1" s="1"/>
  <c r="T67" i="1"/>
  <c r="T70" i="1"/>
  <c r="T68" i="1" s="1"/>
  <c r="T66" i="1"/>
  <c r="T74" i="1"/>
  <c r="T76" i="1" s="1"/>
  <c r="Q66" i="1"/>
  <c r="Q70" i="1"/>
  <c r="Q68" i="1" s="1"/>
  <c r="Q67" i="1"/>
  <c r="Q74" i="1"/>
  <c r="Q76" i="1" s="1"/>
  <c r="V70" i="1"/>
  <c r="V68" i="1" s="1"/>
  <c r="S179" i="1"/>
  <c r="S180" i="1" s="1"/>
  <c r="S183" i="1"/>
  <c r="H50" i="9"/>
  <c r="T179" i="1"/>
  <c r="T180" i="1" s="1"/>
  <c r="T183" i="1"/>
  <c r="J50" i="9"/>
  <c r="R181" i="1"/>
  <c r="L9" i="4" s="1"/>
  <c r="L13" i="4" s="1"/>
  <c r="L14" i="4" s="1"/>
  <c r="U67" i="1"/>
  <c r="P50" i="9"/>
  <c r="N50" i="9"/>
  <c r="K50" i="9"/>
  <c r="Q50" i="9"/>
  <c r="S70" i="1"/>
  <c r="S68" i="1" s="1"/>
  <c r="S66" i="1"/>
  <c r="S67" i="1"/>
  <c r="S74" i="1"/>
  <c r="S76" i="1" s="1"/>
  <c r="W179" i="1"/>
  <c r="W180" i="1" s="1"/>
  <c r="W183" i="1"/>
  <c r="R66" i="1"/>
  <c r="R70" i="1"/>
  <c r="R68" i="1" s="1"/>
  <c r="R74" i="1"/>
  <c r="R76" i="1" s="1"/>
  <c r="R67" i="1"/>
  <c r="L50" i="9"/>
  <c r="S50" i="9"/>
  <c r="W181" i="1"/>
  <c r="Q9" i="4" s="1"/>
  <c r="Q13" i="4" s="1"/>
  <c r="Q14" i="4" s="1"/>
  <c r="P179" i="1"/>
  <c r="P180" i="1" s="1"/>
  <c r="P183" i="1"/>
  <c r="W74" i="1"/>
  <c r="W76" i="1" s="1"/>
  <c r="W67" i="1"/>
  <c r="W70" i="1"/>
  <c r="W68" i="1" s="1"/>
  <c r="W66" i="1"/>
  <c r="F50" i="9"/>
  <c r="T50" i="9"/>
  <c r="Q179" i="1"/>
  <c r="Q180" i="1" s="1"/>
  <c r="Q183" i="1"/>
  <c r="U181" i="1"/>
  <c r="O9" i="4" s="1"/>
  <c r="O13" i="4" s="1"/>
  <c r="O14" i="4" s="1"/>
  <c r="P181" i="1"/>
  <c r="J9" i="4" s="1"/>
  <c r="J13" i="4" s="1"/>
  <c r="J14" i="4" s="1"/>
  <c r="I50" i="10" l="1"/>
  <c r="T102" i="1"/>
  <c r="J50" i="10"/>
  <c r="W103" i="1"/>
  <c r="W104" i="1" s="1"/>
  <c r="U102" i="1"/>
  <c r="S103" i="1"/>
  <c r="T5" i="8" s="1"/>
  <c r="Q50" i="10"/>
  <c r="S50" i="10"/>
  <c r="S102" i="1"/>
  <c r="V50" i="10"/>
  <c r="R103" i="1"/>
  <c r="R104" i="1" s="1"/>
  <c r="R102" i="1"/>
  <c r="H50" i="10"/>
  <c r="Q102" i="1"/>
  <c r="P103" i="1"/>
  <c r="AA8" i="8" s="1"/>
  <c r="T50" i="10"/>
  <c r="T54" i="10"/>
  <c r="S54" i="10"/>
  <c r="M50" i="10"/>
  <c r="L50" i="10"/>
  <c r="Q54" i="10"/>
  <c r="O50" i="10"/>
  <c r="K50" i="10"/>
  <c r="O54" i="10"/>
  <c r="P50" i="10"/>
  <c r="R50" i="10"/>
  <c r="N50" i="10"/>
  <c r="U104" i="1"/>
  <c r="U92" i="1"/>
  <c r="U93" i="1" s="1"/>
  <c r="U95" i="1" s="1"/>
  <c r="U82" i="1"/>
  <c r="U79" i="1"/>
  <c r="O12" i="4"/>
  <c r="O17" i="4" s="1"/>
  <c r="S78" i="1"/>
  <c r="M4" i="4" s="1"/>
  <c r="M6" i="4" s="1"/>
  <c r="M12" i="4" s="1"/>
  <c r="M17" i="4" s="1"/>
  <c r="R78" i="1"/>
  <c r="R82" i="1" s="1"/>
  <c r="V79" i="1"/>
  <c r="V92" i="1"/>
  <c r="P4" i="4"/>
  <c r="P6" i="4" s="1"/>
  <c r="P12" i="4" s="1"/>
  <c r="P17" i="4" s="1"/>
  <c r="V82" i="1"/>
  <c r="AA7" i="8"/>
  <c r="AA6" i="8"/>
  <c r="T78" i="1"/>
  <c r="W78" i="1"/>
  <c r="Q78" i="1"/>
  <c r="P78" i="1"/>
  <c r="S104" i="1" l="1"/>
  <c r="Q104" i="1"/>
  <c r="T104" i="1"/>
  <c r="P104" i="1"/>
  <c r="S79" i="1"/>
  <c r="S82" i="1"/>
  <c r="R80" i="1"/>
  <c r="S92" i="1"/>
  <c r="S93" i="1" s="1"/>
  <c r="S95" i="1" s="1"/>
  <c r="S98" i="1" s="1"/>
  <c r="R79" i="1"/>
  <c r="V93" i="1"/>
  <c r="V95" i="1" s="1"/>
  <c r="L4" i="4"/>
  <c r="L6" i="4" s="1"/>
  <c r="L12" i="4" s="1"/>
  <c r="L17" i="4" s="1"/>
  <c r="R92" i="1"/>
  <c r="R93" i="1" s="1"/>
  <c r="R95" i="1" s="1"/>
  <c r="S80" i="1"/>
  <c r="U96" i="1"/>
  <c r="U98" i="1"/>
  <c r="N4" i="4"/>
  <c r="N6" i="4" s="1"/>
  <c r="N12" i="4" s="1"/>
  <c r="N17" i="4" s="1"/>
  <c r="T82" i="1"/>
  <c r="T79" i="1"/>
  <c r="T80" i="1"/>
  <c r="T92" i="1"/>
  <c r="P80" i="1"/>
  <c r="P82" i="1"/>
  <c r="P135" i="1" s="1"/>
  <c r="J4" i="4"/>
  <c r="J6" i="4" s="1"/>
  <c r="J12" i="4" s="1"/>
  <c r="J17" i="4" s="1"/>
  <c r="P92" i="1"/>
  <c r="P79" i="1"/>
  <c r="U80" i="1"/>
  <c r="Q92" i="1"/>
  <c r="K4" i="4"/>
  <c r="K6" i="4" s="1"/>
  <c r="K12" i="4" s="1"/>
  <c r="K17" i="4" s="1"/>
  <c r="Q79" i="1"/>
  <c r="Q82" i="1"/>
  <c r="Q80" i="1"/>
  <c r="V80" i="1"/>
  <c r="Q4" i="4"/>
  <c r="Q6" i="4" s="1"/>
  <c r="Q12" i="4" s="1"/>
  <c r="Q17" i="4" s="1"/>
  <c r="W80" i="1"/>
  <c r="W92" i="1"/>
  <c r="W79" i="1"/>
  <c r="W82" i="1"/>
  <c r="V96" i="1" l="1"/>
  <c r="V98" i="1"/>
  <c r="V97" i="1"/>
  <c r="R98" i="1"/>
  <c r="T2" i="1" s="1"/>
  <c r="R96" i="1"/>
  <c r="S97" i="1"/>
  <c r="S96" i="1"/>
  <c r="Q93" i="1"/>
  <c r="Q95" i="1" s="1"/>
  <c r="W93" i="1"/>
  <c r="W95" i="1" s="1"/>
  <c r="P93" i="1"/>
  <c r="P95" i="1" s="1"/>
  <c r="P98" i="1" s="1"/>
  <c r="T93" i="1"/>
  <c r="T95" i="1" s="1"/>
  <c r="R12" i="4"/>
  <c r="R17" i="4" s="1"/>
  <c r="Q135" i="1"/>
  <c r="R135" i="1" s="1"/>
  <c r="S135" i="1" s="1"/>
  <c r="T135" i="1" s="1"/>
  <c r="U135" i="1" s="1"/>
  <c r="V135" i="1" s="1"/>
  <c r="W135" i="1" s="1"/>
  <c r="R20" i="4" s="1"/>
  <c r="R97" i="1" l="1"/>
  <c r="Q98" i="1"/>
  <c r="R19" i="4"/>
  <c r="R22" i="4" s="1"/>
  <c r="R25" i="4" s="1"/>
  <c r="P96" i="1"/>
  <c r="P97" i="1"/>
  <c r="W97" i="1"/>
  <c r="W96" i="1"/>
  <c r="W98" i="1"/>
  <c r="T98" i="1"/>
  <c r="T96" i="1"/>
  <c r="T97" i="1"/>
  <c r="U97" i="1"/>
  <c r="Q96" i="1"/>
  <c r="Q97" i="1"/>
  <c r="H2" i="1"/>
  <c r="E38" i="4" l="1"/>
  <c r="AA9" i="8"/>
  <c r="K6" i="3"/>
  <c r="L11" i="3" s="1"/>
  <c r="E30" i="4"/>
  <c r="R27" i="4"/>
  <c r="O3" i="8" l="1"/>
  <c r="L1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August Peterson</author>
  </authors>
  <commentList>
    <comment ref="B62" authorId="0" shapeId="0" xr:uid="{CBD159D4-B3E5-438B-9012-8FFDBFFC983B}">
      <text>
        <r>
          <rPr>
            <b/>
            <sz val="9"/>
            <color indexed="81"/>
            <rFont val="Tahoma"/>
            <family val="2"/>
          </rPr>
          <t>August Peterson:</t>
        </r>
        <r>
          <rPr>
            <sz val="9"/>
            <color indexed="81"/>
            <rFont val="Tahoma"/>
            <family val="2"/>
          </rPr>
          <t xml:space="preserve">
Q3: We expect depreciation and amortization expenses to increase on an absolute dollar basis as our business grows, including as a result of new acquisitions, joint ventures, and other strategic transactions, but to remain generally consistent as a percentage of total net revenue.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August Peterson</author>
  </authors>
  <commentList>
    <comment ref="B21" authorId="0" shapeId="0" xr:uid="{FD20C683-4680-4E8B-A2B9-12B14FBE3962}">
      <text>
        <r>
          <rPr>
            <b/>
            <sz val="9"/>
            <color indexed="81"/>
            <rFont val="Tahoma"/>
            <family val="2"/>
          </rPr>
          <t>August Peterson:</t>
        </r>
        <r>
          <rPr>
            <sz val="9"/>
            <color indexed="81"/>
            <rFont val="Tahoma"/>
            <family val="2"/>
          </rPr>
          <t xml:space="preserve">
Brand recognition premium in relation to established financial content brands (ie FactSet, Reuters)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<sst xmlns="http://schemas.openxmlformats.org/spreadsheetml/2006/main" count="557" uniqueCount="400">
  <si>
    <t>Fiscal Year End (12/31)</t>
  </si>
  <si>
    <t>(In Thousands)</t>
  </si>
  <si>
    <t>Actual</t>
  </si>
  <si>
    <t>step</t>
  </si>
  <si>
    <t>Income Statement</t>
  </si>
  <si>
    <t>% total (revenue)</t>
  </si>
  <si>
    <t>% YoY change</t>
  </si>
  <si>
    <t>5-yr Revenue CAGR</t>
  </si>
  <si>
    <t>5-yr EPS CAGR</t>
  </si>
  <si>
    <t>Gross Profit</t>
  </si>
  <si>
    <t>% gross margin</t>
  </si>
  <si>
    <t>Operating Expenses</t>
  </si>
  <si>
    <t>Depreciation and amortization</t>
  </si>
  <si>
    <t>% of PPE prior year</t>
  </si>
  <si>
    <t>Nonoperating expenses</t>
  </si>
  <si>
    <t>% total debt</t>
  </si>
  <si>
    <t>Total non-operating income (expense)</t>
  </si>
  <si>
    <t>Income tax provision</t>
  </si>
  <si>
    <t>% effective tax</t>
  </si>
  <si>
    <t>EPS</t>
  </si>
  <si>
    <t>Balance Sheet - non NWC</t>
  </si>
  <si>
    <t>Cash and equivalents</t>
  </si>
  <si>
    <t>Property and equipment, net</t>
  </si>
  <si>
    <t>Balance Sheet - NWC</t>
  </si>
  <si>
    <t>Accounts Receivable - based on days receivable</t>
  </si>
  <si>
    <t>Days receivable (avg A/R / total revenue)*365</t>
  </si>
  <si>
    <t>% operating expenses</t>
  </si>
  <si>
    <t>Total current assets</t>
  </si>
  <si>
    <t>Accrued Expenses</t>
  </si>
  <si>
    <t>Other current liabilities</t>
  </si>
  <si>
    <t>Total current liabilities</t>
  </si>
  <si>
    <t>Net Working Capital</t>
  </si>
  <si>
    <t>Turnover ratio (revenue / nwc)</t>
  </si>
  <si>
    <t>Statement of CFs</t>
  </si>
  <si>
    <t>% D&amp;A</t>
  </si>
  <si>
    <t>Purchases of PPE</t>
  </si>
  <si>
    <t>Total CAPEX</t>
  </si>
  <si>
    <t>KPIs</t>
  </si>
  <si>
    <t>Net Revenue</t>
  </si>
  <si>
    <t>Related Party Revenue</t>
  </si>
  <si>
    <t>Total Net Revenue</t>
  </si>
  <si>
    <t>Research and Development</t>
  </si>
  <si>
    <t>Related Party Expense</t>
  </si>
  <si>
    <t>Other (expense) income, net</t>
  </si>
  <si>
    <t>Interest income, net</t>
  </si>
  <si>
    <t>Operating lease right-of-use assets</t>
  </si>
  <si>
    <t>Intangible assets, net</t>
  </si>
  <si>
    <t>Goodwill</t>
  </si>
  <si>
    <t>Deffered contract acquisition costs, noncurrent</t>
  </si>
  <si>
    <t>Related party notes receiveble, noncurrent</t>
  </si>
  <si>
    <t>Other Assets</t>
  </si>
  <si>
    <t>Long-term debt - related party</t>
  </si>
  <si>
    <t>Class B units - related party</t>
  </si>
  <si>
    <t>Deffered revenue and other contract libailities, noncurrent</t>
  </si>
  <si>
    <t>Derivative liabilities, noncurrent</t>
  </si>
  <si>
    <t>Operating lease liabilities, noncurrent</t>
  </si>
  <si>
    <t>Prepaid expenses</t>
  </si>
  <si>
    <t>Related party receivables</t>
  </si>
  <si>
    <t>Restriced cash</t>
  </si>
  <si>
    <t>Deffered contract acquisition costs</t>
  </si>
  <si>
    <t>Other current assets</t>
  </si>
  <si>
    <t>Trade and other payables</t>
  </si>
  <si>
    <t>Related party payables, net</t>
  </si>
  <si>
    <t>Deferred revenue and other contract liabilities</t>
  </si>
  <si>
    <t>Operating lease liabilities</t>
  </si>
  <si>
    <t>Current portion of long-term debt - related party</t>
  </si>
  <si>
    <t>Purchases of intangible assets</t>
  </si>
  <si>
    <t>Total operating expenses</t>
  </si>
  <si>
    <t>Acquisition of non-controlling interest, including transaction costs</t>
  </si>
  <si>
    <t>Capitalized software development costs</t>
  </si>
  <si>
    <t>-</t>
  </si>
  <si>
    <t>n/a</t>
  </si>
  <si>
    <t>Expected</t>
  </si>
  <si>
    <t>% total revenue</t>
  </si>
  <si>
    <t>Days RP receivable (avg RP / total revenue)*365</t>
  </si>
  <si>
    <t>Days outstanding (avg ToP / cost of rev)*365</t>
  </si>
  <si>
    <t>Days outstanding (avg RPP / cost of rev)*365</t>
  </si>
  <si>
    <t>Total subscribers</t>
  </si>
  <si>
    <t>Paid subscribers</t>
  </si>
  <si>
    <t>Free subscribers</t>
  </si>
  <si>
    <t>% billings</t>
  </si>
  <si>
    <t>Period change</t>
  </si>
  <si>
    <t>Deferred rev - seq change</t>
  </si>
  <si>
    <t>Deferred contract acq costs - seq change</t>
  </si>
  <si>
    <t>% of deferred</t>
  </si>
  <si>
    <t>Deferred Revenue Sequential Change</t>
  </si>
  <si>
    <t>LT deferred rev and other contract liabilities</t>
  </si>
  <si>
    <t>ST deferred rev and other contract liabilities</t>
  </si>
  <si>
    <t>Deferred rev and other contract laib - seq change</t>
  </si>
  <si>
    <t>Other contract liabilities</t>
  </si>
  <si>
    <t>August Peterson</t>
  </si>
  <si>
    <t>Summary Table</t>
  </si>
  <si>
    <t>Value</t>
  </si>
  <si>
    <t>Weight</t>
  </si>
  <si>
    <t>DCF</t>
  </si>
  <si>
    <t>Price Target</t>
  </si>
  <si>
    <t>Upside</t>
  </si>
  <si>
    <t>General Information</t>
  </si>
  <si>
    <t xml:space="preserve">Ticker: </t>
  </si>
  <si>
    <t>Trades on:</t>
  </si>
  <si>
    <t xml:space="preserve">Sector: </t>
  </si>
  <si>
    <t>Industry:</t>
  </si>
  <si>
    <t>Diluted Shares Outstanding (M):</t>
  </si>
  <si>
    <t>Fiscal Year End:</t>
  </si>
  <si>
    <t xml:space="preserve">Last Stock Price: </t>
  </si>
  <si>
    <t xml:space="preserve">Average Volume (3 Mo): </t>
  </si>
  <si>
    <t xml:space="preserve">Market Cap (M): </t>
  </si>
  <si>
    <t xml:space="preserve">Enterprise Value (M): </t>
  </si>
  <si>
    <t xml:space="preserve">52 Week H/L ($): </t>
  </si>
  <si>
    <t>ESG Score</t>
  </si>
  <si>
    <t>Discounted Cash Flow Analysis</t>
  </si>
  <si>
    <t>(In thousands)</t>
  </si>
  <si>
    <t>Terminal</t>
  </si>
  <si>
    <t>Total EBIT (Operating Income)</t>
  </si>
  <si>
    <t>(1 - Tax Rate)</t>
  </si>
  <si>
    <t>Net Operating Profit After Tax (NOPAT)</t>
  </si>
  <si>
    <t>(+) Total Depreciation &amp; Amortization</t>
  </si>
  <si>
    <t>(-) Capital Expenditures</t>
  </si>
  <si>
    <t>Free Cash Flow</t>
  </si>
  <si>
    <t>Years (Discount Factor)</t>
  </si>
  <si>
    <t>Net Present Value</t>
  </si>
  <si>
    <t>Enterprise Value</t>
  </si>
  <si>
    <t>(+) Cash</t>
  </si>
  <si>
    <t>(-) Debt</t>
  </si>
  <si>
    <t>Equity Value</t>
  </si>
  <si>
    <t>Shares Outstanding (thousands)</t>
  </si>
  <si>
    <t>Intrinsic Value</t>
  </si>
  <si>
    <t xml:space="preserve">Current Price </t>
  </si>
  <si>
    <t>DCF Upside</t>
  </si>
  <si>
    <t>WACC</t>
  </si>
  <si>
    <t>Terminal Growth Rate</t>
  </si>
  <si>
    <t xml:space="preserve">Beta </t>
  </si>
  <si>
    <t>Risk-Free Rate</t>
  </si>
  <si>
    <t>Market Rate</t>
  </si>
  <si>
    <t>Market Premium</t>
  </si>
  <si>
    <t>Cost of Equity (unweighted)</t>
  </si>
  <si>
    <t>Total Equity</t>
  </si>
  <si>
    <t xml:space="preserve">Interest Expense </t>
  </si>
  <si>
    <t xml:space="preserve">Long-Term Debt </t>
  </si>
  <si>
    <t>Total Debt</t>
  </si>
  <si>
    <t>Cost of Debt (before tax)</t>
  </si>
  <si>
    <t>Tax Rate</t>
  </si>
  <si>
    <t>Tax Shield</t>
  </si>
  <si>
    <t>Cost of Debt (after tax)</t>
  </si>
  <si>
    <t>Cost of Equity (Weighted)</t>
  </si>
  <si>
    <t>Cost of Debt (Weighted)</t>
  </si>
  <si>
    <t>Calculated WACC</t>
  </si>
  <si>
    <t>FactSet WACC</t>
  </si>
  <si>
    <t>WACC Used</t>
  </si>
  <si>
    <t>Date</t>
  </si>
  <si>
    <t>Peer Valuation</t>
  </si>
  <si>
    <t>Beta:</t>
  </si>
  <si>
    <t>FY: Dec</t>
  </si>
  <si>
    <t>2020A</t>
  </si>
  <si>
    <t>2021E</t>
  </si>
  <si>
    <t>2022E</t>
  </si>
  <si>
    <t>2023E</t>
  </si>
  <si>
    <t>Company</t>
  </si>
  <si>
    <t>Ticker</t>
  </si>
  <si>
    <t>Market Cap (Mil)</t>
  </si>
  <si>
    <t>Price Target ($):</t>
  </si>
  <si>
    <t>WACC (%):</t>
  </si>
  <si>
    <t>52WK H-L ($):</t>
  </si>
  <si>
    <t>M-Term Rev. Gr Rate Est (%):</t>
  </si>
  <si>
    <t xml:space="preserve">  Growth (%):</t>
  </si>
  <si>
    <t>Market Cap (Mil):</t>
  </si>
  <si>
    <t>M-Term EPS Gr Rate Est (%):</t>
  </si>
  <si>
    <t>Insider Holding (%):</t>
  </si>
  <si>
    <t>Avg. Daily Vol (3M):</t>
  </si>
  <si>
    <t>Net Debt/EBITDA (TTM):</t>
  </si>
  <si>
    <t>Operating Margin (%):</t>
  </si>
  <si>
    <t>Short Interest (%):</t>
  </si>
  <si>
    <t>Peer Average</t>
  </si>
  <si>
    <t>Yield (%):</t>
  </si>
  <si>
    <t>P/E (Cal):</t>
  </si>
  <si>
    <t>Source: FactSet</t>
  </si>
  <si>
    <t>ESG Rating:</t>
  </si>
  <si>
    <t>EV/EBITDA (Cal):</t>
  </si>
  <si>
    <t>Peer Fundamentals</t>
  </si>
  <si>
    <t>ROIC (%)</t>
  </si>
  <si>
    <t>ROE (%)</t>
  </si>
  <si>
    <t>Gross Margin (%)</t>
  </si>
  <si>
    <t>Source: FactSet (TTM)</t>
  </si>
  <si>
    <t xml:space="preserve">MarketWise, Inc. </t>
  </si>
  <si>
    <t>MKTW</t>
  </si>
  <si>
    <t>NASDAQ</t>
  </si>
  <si>
    <t>Technology</t>
  </si>
  <si>
    <t xml:space="preserve">Software-Application </t>
  </si>
  <si>
    <t>MKTW close</t>
  </si>
  <si>
    <t>RUT close</t>
  </si>
  <si>
    <t>Weekly Return (09/14/20 - 01/10/22)</t>
  </si>
  <si>
    <t>FactSet 3-yr Adjusted Beta</t>
  </si>
  <si>
    <t>Refinitiv 180-day Beta</t>
  </si>
  <si>
    <t>FactSet 52-wk Beta</t>
  </si>
  <si>
    <t>Operating margin</t>
  </si>
  <si>
    <t>% EBITDA margin</t>
  </si>
  <si>
    <t>Operating leverage</t>
  </si>
  <si>
    <t>$ change in revenue</t>
  </si>
  <si>
    <t>$ change in operating profit</t>
  </si>
  <si>
    <t>Billings</t>
  </si>
  <si>
    <t>% t-1 billings</t>
  </si>
  <si>
    <t>(+) Changes in Operating NWC</t>
  </si>
  <si>
    <t>Change in Operating NWC</t>
  </si>
  <si>
    <t xml:space="preserve"> </t>
  </si>
  <si>
    <t>Total</t>
  </si>
  <si>
    <t>Life (yrs)</t>
  </si>
  <si>
    <t>ST Deferred Rev</t>
  </si>
  <si>
    <t>LT Deferred Rev</t>
  </si>
  <si>
    <t>Total Deferred Revenue Recognized Currently</t>
  </si>
  <si>
    <t>% ad spend</t>
  </si>
  <si>
    <t>Cost of revenue (ex. SBC)</t>
  </si>
  <si>
    <t>Sales and Marketing (ex. SBC)</t>
  </si>
  <si>
    <t>General and Administrative (ex. SBC)</t>
  </si>
  <si>
    <t>EBIT (ex. SBC) Non-GAAP</t>
  </si>
  <si>
    <t>Stock-based compensation (SBC)</t>
  </si>
  <si>
    <t>EBIT (GAAP)</t>
  </si>
  <si>
    <t>Net income (GAAP)</t>
  </si>
  <si>
    <t>EBT (GAAP)</t>
  </si>
  <si>
    <t>EBITDA (ex. SBC) Non-GAAP</t>
  </si>
  <si>
    <t>% Cash from operations</t>
  </si>
  <si>
    <t>Op. Income (ex. SBC):</t>
  </si>
  <si>
    <t>($USD '000)</t>
  </si>
  <si>
    <t>% of intangible assets pior year</t>
  </si>
  <si>
    <t>Key:</t>
  </si>
  <si>
    <t>Input</t>
  </si>
  <si>
    <t>Assumption</t>
  </si>
  <si>
    <t>Calculation</t>
  </si>
  <si>
    <t>Actual Revenue Recognized</t>
  </si>
  <si>
    <t>Difference</t>
  </si>
  <si>
    <t>% current/missed revenue</t>
  </si>
  <si>
    <t>Adjusted Revenue Recognized</t>
  </si>
  <si>
    <t>% estimated missed</t>
  </si>
  <si>
    <t>(DCF v1 revenue)</t>
  </si>
  <si>
    <t>Total assets</t>
  </si>
  <si>
    <t>Total liabilities</t>
  </si>
  <si>
    <t>RUT</t>
  </si>
  <si>
    <t>Beta Used</t>
  </si>
  <si>
    <t>BETA</t>
  </si>
  <si>
    <t>Calculated RUT YTD Beta</t>
  </si>
  <si>
    <t>Adj. FCF</t>
  </si>
  <si>
    <t>Adj. FCF / Sh</t>
  </si>
  <si>
    <t>S&amp;P Global</t>
  </si>
  <si>
    <t>Share Price</t>
  </si>
  <si>
    <t>Evercore</t>
  </si>
  <si>
    <t>Piper Sandler</t>
  </si>
  <si>
    <t xml:space="preserve">Stifel Financial </t>
  </si>
  <si>
    <t>Cowen Inc</t>
  </si>
  <si>
    <t>Refinitiv Comps</t>
  </si>
  <si>
    <t>Envestnet Inc</t>
  </si>
  <si>
    <t>Porch Group Inc</t>
  </si>
  <si>
    <t>Zillow Group Inc</t>
  </si>
  <si>
    <t>Tradeweb Markets Inc</t>
  </si>
  <si>
    <t>Fair Isaac Corp</t>
  </si>
  <si>
    <t>Redfin Corp</t>
  </si>
  <si>
    <t>Ubisoft Entertainment</t>
  </si>
  <si>
    <t>P/E '21</t>
  </si>
  <si>
    <t>P/FCF '21</t>
  </si>
  <si>
    <t>EV/EBIT</t>
  </si>
  <si>
    <t>ENV</t>
  </si>
  <si>
    <t>PRCH</t>
  </si>
  <si>
    <t>Z</t>
  </si>
  <si>
    <t>TW</t>
  </si>
  <si>
    <t>FICO</t>
  </si>
  <si>
    <t>RDFN</t>
  </si>
  <si>
    <t>MSCI Inc</t>
  </si>
  <si>
    <t>FactSet Research Systems Inc.</t>
  </si>
  <si>
    <t>EVR</t>
  </si>
  <si>
    <t>PIPR</t>
  </si>
  <si>
    <t>COWN</t>
  </si>
  <si>
    <t>RJF</t>
  </si>
  <si>
    <t>SF</t>
  </si>
  <si>
    <t>MSCI</t>
  </si>
  <si>
    <t>FDS</t>
  </si>
  <si>
    <t>UBSFY</t>
  </si>
  <si>
    <t>ATVI</t>
  </si>
  <si>
    <t>EA</t>
  </si>
  <si>
    <t>Market Cap (M)</t>
  </si>
  <si>
    <t>Business Model Comps</t>
  </si>
  <si>
    <t>Average</t>
  </si>
  <si>
    <t>MarketWise, Inc.</t>
  </si>
  <si>
    <t>Net income (Non-GAAP)</t>
  </si>
  <si>
    <t>EPS (Non-GAAP)</t>
  </si>
  <si>
    <t>* Excludes SBC Expense</t>
  </si>
  <si>
    <t>P/S '21</t>
  </si>
  <si>
    <t>Beta</t>
  </si>
  <si>
    <t>ROE</t>
  </si>
  <si>
    <t>ROIC</t>
  </si>
  <si>
    <t>Gross Margin</t>
  </si>
  <si>
    <t>Comp figures as of 19 January, 2022</t>
  </si>
  <si>
    <t>MarketWise's management team cited FactSet as a comparable company based on its institutional client base</t>
  </si>
  <si>
    <t>Concentrated high-net-worth clientele; investment banking division advises on corporate transactions while investment management division provides wealth management solutions to high-net-worth individuals</t>
  </si>
  <si>
    <t>Operates through Index, Analytics, ESG, Real Estate, and Burgiss business segments. Similar to MKTW, MSCI offers both research and tools to investers, although subsciption revenue is largely generated from BlackRock (&gt;12% annum) and asset-based fees account for over 25% of total revenue</t>
  </si>
  <si>
    <t>~75% of total revenue is generated from investment banking services, of which ~64% is from financial advisory services. Not a great comp on business model as only a sliver of revenue is generated from financial advisory, of which revenue is drawn solely from insitutional investors</t>
  </si>
  <si>
    <t>With ~70% net revenues coming from private clients (majority non-high-net-worth; no minimum asset amount for financial pplanning services), RJF is a fair comp based on its current customer base</t>
  </si>
  <si>
    <t>MarketWise's management team cited ENV as a comparable company based on its subscription revenue model, offering distribution of data, analytics, third party research, market data, credit ratings-related information, real-time news, and other information services</t>
  </si>
  <si>
    <t>Poor comp with an immaterial amount of reported revenue from its advisory fees division. Few merits include ~16% of revenues generated from commissions and ~27% of revenues from brokerage services, otherwise not focused on the self-directed investor</t>
  </si>
  <si>
    <t>Comps Used</t>
  </si>
  <si>
    <t xml:space="preserve">Very high recurring revenues generated from wealth solutions and data &amp; analytics tools. Not quite as B2C as MKTW; primary customers include financial advisors and institutions, but still close comp in terms of subscription model and industry </t>
  </si>
  <si>
    <t>Over 66% revenue came from investment banking department; not great comp compared to PIPR or SF</t>
  </si>
  <si>
    <t>B2B business model offering analytics and software solutions. Needless to say, not an ideal business model comp but does operate in the financial services industry</t>
  </si>
  <si>
    <t>Another B2B model offering software solutions to small businesses. Similar in size and maturity as a public company, but otherwise devoid of margin comparability, industry, and business model</t>
  </si>
  <si>
    <t>Poor comp by most measures; few merits include size of company and maturity as a public entity</t>
  </si>
  <si>
    <t>While only 15% of total revenues are generated from subscriptions, TWs revenue from transaction fees and commissions (~78%) come from institutional, wholesale, and retial client sectors. Offering trading solutions in credit markets through analytical tools and data services, Tradeweb is much like the B2B version of MKTW. Comparable operating margins and maturity as a public company</t>
  </si>
  <si>
    <t xml:space="preserve">Considering ~28% of total revenue is not generated from directly buying and selling homes, Zillow's Internet, Media, &amp; Technology segment (IMT) is seemingly the real-estate parallel of MKTW. Bringing more power to the everyday consumer is how Zillow disrupted its market, though its introduction of real-estate underwriting was the primary catalyst </t>
  </si>
  <si>
    <t>Subscription and licensing revenues ~80% total revenue. Similar monetization structure to MKTW with high sub growth</t>
  </si>
  <si>
    <t>NFLX</t>
  </si>
  <si>
    <t>NTDOY</t>
  </si>
  <si>
    <t>High Intellectual Property &amp; Customer Facing Comps</t>
  </si>
  <si>
    <t>Develops and dsitributes games for consoles, PCs, and mobile devices. Growth, margins, and business model not as comparable as other video game companies</t>
  </si>
  <si>
    <t>High revenue retention and operating margins are biggest merits to Netflix as a comp, otherwise too large and mature as a FAANG</t>
  </si>
  <si>
    <t>High growth in the last few years and similar size (&lt;10B) are strongest similarities between the two companies</t>
  </si>
  <si>
    <t>Selected Comp Average</t>
  </si>
  <si>
    <t>Best Comparisons</t>
  </si>
  <si>
    <t>Decent Comparisons</t>
  </si>
  <si>
    <t>Bad Comparisons</t>
  </si>
  <si>
    <t>Relative Value of MarketWise</t>
  </si>
  <si>
    <t>FY '21 P/FCF</t>
  </si>
  <si>
    <t>FY '21 P/E</t>
  </si>
  <si>
    <t>EV/LTM Rev</t>
  </si>
  <si>
    <t>EV/LTM EBITDA</t>
  </si>
  <si>
    <t>RelEval - P/E '21</t>
  </si>
  <si>
    <t>ARPU (billings per paid sub)</t>
  </si>
  <si>
    <t>Premium</t>
  </si>
  <si>
    <t>Video game, educational and culture software, cartoons, and cinematographic and TV developer. Ubisoft makes more money from "player recurring investment," such as microtransactions and downloadable content (DLC), than it does from digital game sales. High customer retention and gross margin parallels that of MKTW</t>
  </si>
  <si>
    <t>SPAC Peers</t>
  </si>
  <si>
    <t>IPO Date</t>
  </si>
  <si>
    <t>Industry</t>
  </si>
  <si>
    <t>Software--Infrasctrure</t>
  </si>
  <si>
    <t>Software--Application</t>
  </si>
  <si>
    <t>Nextdoor Holdings Inc.</t>
  </si>
  <si>
    <t>Internet Content &amp; Info</t>
  </si>
  <si>
    <t>Sunlight Financial Holdings</t>
  </si>
  <si>
    <t>Credit Services</t>
  </si>
  <si>
    <t>Ascendant Digital Acq. Corp.</t>
  </si>
  <si>
    <t>Grab Holdings Limited</t>
  </si>
  <si>
    <t>Asset Management</t>
  </si>
  <si>
    <t>SoFi Technologies Inc.</t>
  </si>
  <si>
    <t>Nerdy Inc.</t>
  </si>
  <si>
    <t>Bakkt Holdings Inc.</t>
  </si>
  <si>
    <t>Cyxtera Technologies Inc.</t>
  </si>
  <si>
    <t>IT Services</t>
  </si>
  <si>
    <t>NextNav Inc.</t>
  </si>
  <si>
    <t>Vivid Seats Inc.</t>
  </si>
  <si>
    <t>SPAC Peer Average</t>
  </si>
  <si>
    <t>Internet Content &amp; Info. Comps on Life Cycle</t>
  </si>
  <si>
    <t>Netflix Inc</t>
  </si>
  <si>
    <t>FactSet Research Systems Inc</t>
  </si>
  <si>
    <t>Raymond James Financial Inc</t>
  </si>
  <si>
    <t>Activision Blizzard, Inc</t>
  </si>
  <si>
    <t>Electronic Arts Inc</t>
  </si>
  <si>
    <t>Nintendo Co</t>
  </si>
  <si>
    <t>CoStar Group Inc</t>
  </si>
  <si>
    <t>Arco Platform Ltd</t>
  </si>
  <si>
    <t>P/FCF</t>
  </si>
  <si>
    <t>P/S</t>
  </si>
  <si>
    <t>P/E</t>
  </si>
  <si>
    <t>Op. Margin</t>
  </si>
  <si>
    <t>SPGI</t>
  </si>
  <si>
    <t>CSGP</t>
  </si>
  <si>
    <t>ARCE</t>
  </si>
  <si>
    <t>IPO Year</t>
  </si>
  <si>
    <t>Operating margin (Non-GAAP)</t>
  </si>
  <si>
    <t>Revenue (Mil)</t>
  </si>
  <si>
    <t>1986*</t>
  </si>
  <si>
    <t>*Excludes Envestnet</t>
  </si>
  <si>
    <t>**Excludes Tradeweb</t>
  </si>
  <si>
    <t>NOT USED COLLAPSED</t>
  </si>
  <si>
    <t>$4.84 - 16.97</t>
  </si>
  <si>
    <t>EPS (ex. SBC):</t>
  </si>
  <si>
    <t>Op. Margin (%)</t>
  </si>
  <si>
    <t>Revenue:</t>
  </si>
  <si>
    <t>Debt/Equity:</t>
  </si>
  <si>
    <t>ROA '21E:</t>
  </si>
  <si>
    <t>ROE '21E:</t>
  </si>
  <si>
    <t>ROIC '21E:</t>
  </si>
  <si>
    <t>NOPAT = EBIT(1-Tax)</t>
  </si>
  <si>
    <t>BBB</t>
  </si>
  <si>
    <t>P/OP '21</t>
  </si>
  <si>
    <t>P/OP</t>
  </si>
  <si>
    <t>EV/EBITDA</t>
  </si>
  <si>
    <t>RelEval - EV/EBITDA</t>
  </si>
  <si>
    <t>RelEval - P/OP '21</t>
  </si>
  <si>
    <t>FY '21 P/OP</t>
  </si>
  <si>
    <t>*Excludes Tradeweb</t>
  </si>
  <si>
    <t>FY '21 EV/EBITDA</t>
  </si>
  <si>
    <t>M-Term: '22 - '26</t>
  </si>
  <si>
    <t>per paid sub</t>
  </si>
  <si>
    <t>'21 - '25</t>
  </si>
  <si>
    <t>'26 - '30</t>
  </si>
  <si>
    <t>WACC '26 - '30</t>
  </si>
  <si>
    <t>WACC '21 - '25</t>
  </si>
  <si>
    <t>Current Price (2/01/22)</t>
  </si>
  <si>
    <t>Date: 2/01/2022</t>
  </si>
  <si>
    <t>'21 - '25 WACC</t>
  </si>
  <si>
    <t>'26 - '30 WACC</t>
  </si>
  <si>
    <t>Growth</t>
  </si>
  <si>
    <t>BV '21E ROIC</t>
  </si>
  <si>
    <t>BV '21E ROE</t>
  </si>
  <si>
    <t>Per paid sub</t>
  </si>
  <si>
    <t>Price (2/01/22)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</si>
</sst>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2">
    <numFmt numFmtId="44" formatCode="_(&quot;$&quot;* #,##0.00_);_(&quot;$&quot;* \(#,##0.00\);_(&quot;$&quot;* &quot;-&quot;??_);_(@_)"/>
    <numFmt numFmtId="43" formatCode="_(* #,##0.00_);_(* \(#,##0.00\);_(* &quot;-&quot;??_);_(@_)"/>
    <numFmt numFmtId="164" formatCode="&quot;FY '&quot;#"/>
    <numFmt numFmtId="165" formatCode="#,##0.0%_);\(#,##0.0%\)"/>
    <numFmt numFmtId="166" formatCode="#,##0.00%_);\(#,##0.00%\)"/>
    <numFmt numFmtId="167" formatCode="&quot;$&quot;#,##0.0_);\(&quot;$&quot;#,##0.0\)"/>
    <numFmt numFmtId="168" formatCode="#,##0.000%_);\(#,##0.000%\)"/>
    <numFmt numFmtId="169" formatCode="#,##0.0_);\(#,##0.0\)"/>
    <numFmt numFmtId="170" formatCode="_(&quot;$&quot;* #,##0_);_(&quot;$&quot;* \(#,##0\);_(&quot;$&quot;* &quot;-&quot;??_);_(@_)"/>
    <numFmt numFmtId="171" formatCode="&quot;Q&quot;#\ &quot;'20&quot;"/>
    <numFmt numFmtId="172" formatCode="&quot;Q&quot;#\ &quot;'21&quot;"/>
    <numFmt numFmtId="173" formatCode="_(&quot;$&quot;* #,##0.0_);_(&quot;$&quot;* \(#,##0.0\);_(&quot;$&quot;* &quot;-&quot;?_);_(@_)"/>
    <numFmt numFmtId="174" formatCode="&quot;$&quot;#,##0.00"/>
    <numFmt numFmtId="175" formatCode="0.0%_);\(0.0%\);0.0%_);@_)"/>
    <numFmt numFmtId="176" formatCode="0.0%"/>
    <numFmt numFmtId="177" formatCode="m/d;@"/>
    <numFmt numFmtId="178" formatCode="_(* #,##0_);_(* \(#,##0\);_(* &quot;-&quot;??_);_(@_)"/>
    <numFmt numFmtId="179" formatCode="&quot;FY '&quot;#&quot;A&quot;"/>
    <numFmt numFmtId="180" formatCode="&quot;FY '&quot;#&quot;E&quot;"/>
    <numFmt numFmtId="181" formatCode="0.0"/>
    <numFmt numFmtId="182" formatCode="&quot;$&quot;#,##0"/>
    <numFmt numFmtId="183" formatCode="_(* #,##0.0_);_(* \(#,##0.0\);_(* &quot;-&quot;??_);_(@_)"/>
    <numFmt numFmtId="184" formatCode="#,##0.00\x"/>
    <numFmt numFmtId="185" formatCode="#,##0.0\x"/>
    <numFmt numFmtId="186" formatCode="#,##0.0\x&quot;*&quot;"/>
    <numFmt numFmtId="187" formatCode="0.0%&quot;*&quot;"/>
    <numFmt numFmtId="188" formatCode="_(&quot;$&quot;* #,##0.00&quot;**&quot;;_(&quot;$&quot;* \(#,##0.00\);_(&quot;$&quot;* &quot;-&quot;??_);_(@_)"/>
    <numFmt numFmtId="189" formatCode="_(&quot;$&quot;* #,##0.00&quot;*&quot;;_(&quot;$&quot;* \(#,##0.00\);_(&quot;$&quot;* &quot;-&quot;??_);_(@_)"/>
    <numFmt numFmtId="190" formatCode="#,##0.0&quot;*&quot;;\(#,##0.0\)"/>
    <numFmt numFmtId="191" formatCode="##&quot;x P/Adj. FCF '21&quot;"/>
    <numFmt numFmtId="192" formatCode="_(&quot;$&quot;* #,##0.00;_(&quot;$&quot;* \(#,##0.00\);_(&quot;$&quot;* &quot;-&quot;??_);_(@_)"/>
    <numFmt numFmtId="193" formatCode="#,##0.0;\(#,##0.0\)"/>
  </numFmts>
  <fonts count="36" x14ac:knownFonts="1">
    <font>
      <sz val="11"/>
      <color theme="1"/>
      <name val="Calibri"/>
      <family val="2"/>
      <scheme val="minor"/>
    </font>
    <font>
      <i/>
      <sz val="12"/>
      <color theme="1"/>
      <name val="Times New Roman"/>
      <family val="1"/>
    </font>
    <font>
      <b/>
      <i/>
      <sz val="12"/>
      <color rgb="FF000000"/>
      <name val="Times New Roman"/>
      <family val="1"/>
    </font>
    <font>
      <b/>
      <i/>
      <sz val="12"/>
      <name val="Times New Roman"/>
      <family val="1"/>
    </font>
    <font>
      <b/>
      <i/>
      <sz val="12"/>
      <color theme="1"/>
      <name val="Times New Roman"/>
      <family val="1"/>
    </font>
    <font>
      <b/>
      <i/>
      <sz val="12"/>
      <color rgb="FFFF0000"/>
      <name val="Times New Roman"/>
      <family val="1"/>
    </font>
    <font>
      <i/>
      <sz val="12"/>
      <color rgb="FFFF0000"/>
      <name val="Times New Roman"/>
      <family val="1"/>
    </font>
    <font>
      <i/>
      <sz val="12"/>
      <name val="Times New Roman"/>
      <family val="1"/>
    </font>
    <font>
      <i/>
      <sz val="12"/>
      <color rgb="FF000000"/>
      <name val="Times New Roman"/>
      <family val="1"/>
    </font>
    <font>
      <sz val="11"/>
      <color theme="1"/>
      <name val="Calibri"/>
      <family val="2"/>
      <scheme val="minor"/>
    </font>
    <font>
      <sz val="11"/>
      <color rgb="FFFF0000"/>
      <name val="Calibri"/>
      <family val="2"/>
      <scheme val="minor"/>
    </font>
    <font>
      <b/>
      <sz val="11"/>
      <color theme="1"/>
      <name val="Calibri"/>
      <family val="2"/>
      <scheme val="minor"/>
    </font>
    <font>
      <i/>
      <sz val="12"/>
      <color rgb="FF0000FF"/>
      <name val="Times New Roman"/>
      <family val="1"/>
    </font>
    <font>
      <b/>
      <i/>
      <sz val="12"/>
      <color rgb="FF0000FF"/>
      <name val="Times New Roman"/>
      <family val="1"/>
    </font>
    <font>
      <sz val="11"/>
      <color theme="1"/>
      <name val="Garamond"/>
      <family val="2"/>
    </font>
    <font>
      <sz val="12"/>
      <color theme="1"/>
      <name val="Times New Roman"/>
      <family val="1"/>
    </font>
    <font>
      <b/>
      <sz val="12"/>
      <name val="Times New Roman"/>
      <family val="1"/>
    </font>
    <font>
      <b/>
      <sz val="12"/>
      <color theme="1"/>
      <name val="Times New Roman"/>
      <family val="1"/>
    </font>
    <font>
      <sz val="12"/>
      <name val="Times New Roman"/>
      <family val="1"/>
    </font>
    <font>
      <sz val="12"/>
      <color rgb="FFFF0000"/>
      <name val="Times New Roman"/>
      <family val="1"/>
    </font>
    <font>
      <sz val="12"/>
      <color rgb="FF0000FF"/>
      <name val="Times New Roman"/>
      <family val="1"/>
    </font>
    <font>
      <b/>
      <sz val="12"/>
      <color rgb="FF000000"/>
      <name val="Times New Roman"/>
      <family val="1"/>
    </font>
    <font>
      <sz val="12"/>
      <color rgb="FF000000"/>
      <name val="Times New Roman"/>
      <family val="1"/>
    </font>
    <font>
      <sz val="12"/>
      <color rgb="FF0070C0"/>
      <name val="Times New Roman"/>
      <family val="1"/>
    </font>
    <font>
      <sz val="11"/>
      <color theme="1"/>
      <name val="Times New Roman"/>
      <family val="1"/>
    </font>
    <font>
      <sz val="11"/>
      <color rgb="FF000000"/>
      <name val="Calibri"/>
      <family val="2"/>
      <scheme val="minor"/>
    </font>
    <font>
      <sz val="10"/>
      <color theme="1"/>
      <name val="Arial"/>
      <family val="2"/>
    </font>
    <font>
      <u/>
      <sz val="12"/>
      <color rgb="FF000000"/>
      <name val="Times New Roman"/>
      <family val="1"/>
    </font>
    <font>
      <u/>
      <sz val="12"/>
      <color theme="1"/>
      <name val="Times New Roman"/>
      <family val="1"/>
    </font>
    <font>
      <sz val="8"/>
      <color theme="1"/>
      <name val="Times New Roman"/>
      <family val="1"/>
    </font>
    <font>
      <sz val="11"/>
      <color rgb="FF000000"/>
      <name val="Times New Roman"/>
      <family val="1"/>
    </font>
    <font>
      <sz val="9"/>
      <color indexed="81"/>
      <name val="Tahoma"/>
      <family val="2"/>
    </font>
    <font>
      <b/>
      <sz val="9"/>
      <color indexed="81"/>
      <name val="Tahoma"/>
      <family val="2"/>
    </font>
    <font>
      <b/>
      <sz val="12"/>
      <color rgb="FFFF0000"/>
      <name val="Times New Roman"/>
      <family val="1"/>
    </font>
    <font>
      <i/>
      <sz val="11"/>
      <color theme="1"/>
      <name val="Times New Roman"/>
      <family val="1"/>
    </font>
    <font>
      <i/>
      <sz val="11"/>
      <color rgb="FF000000"/>
      <name val="Times New Roman"/>
      <family val="1"/>
    </font>
  </fonts>
  <fills count="14">
    <fill>
      <patternFill patternType="none"/>
    </fill>
    <fill>
      <patternFill patternType="gray125"/>
    </fill>
    <fill>
      <patternFill patternType="solid">
        <fgColor rgb="FFC0C0C0"/>
        <bgColor indexed="64"/>
      </patternFill>
    </fill>
    <fill>
      <patternFill patternType="solid">
        <fgColor theme="0"/>
        <bgColor indexed="64"/>
      </patternFill>
    </fill>
    <fill>
      <patternFill patternType="solid">
        <fgColor rgb="FFFFFF99"/>
        <bgColor indexed="64"/>
      </patternFill>
    </fill>
    <fill>
      <patternFill patternType="solid">
        <fgColor theme="0" tint="-0.14999847407452621"/>
        <bgColor indexed="64"/>
      </patternFill>
    </fill>
    <fill>
      <patternFill patternType="solid">
        <fgColor rgb="FF95B3D7"/>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FF7C8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59999389629810485"/>
        <bgColor indexed="64"/>
      </patternFill>
    </fill>
  </fills>
  <borders count="45">
    <border>
      <left/>
      <right/>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auto="1"/>
      </left>
      <right/>
      <top/>
      <bottom style="medium">
        <color auto="1"/>
      </bottom>
      <diagonal/>
    </border>
    <border>
      <left/>
      <right/>
      <top/>
      <bottom style="medium">
        <color indexed="64"/>
      </bottom>
      <diagonal/>
    </border>
    <border>
      <left/>
      <right style="medium">
        <color auto="1"/>
      </right>
      <top/>
      <bottom style="medium">
        <color auto="1"/>
      </bottom>
      <diagonal/>
    </border>
    <border>
      <left/>
      <right style="medium">
        <color indexed="64"/>
      </right>
      <top style="medium">
        <color indexed="64"/>
      </top>
      <bottom style="medium">
        <color indexed="64"/>
      </bottom>
      <diagonal/>
    </border>
    <border>
      <left/>
      <right style="thin">
        <color indexed="64"/>
      </right>
      <top/>
      <bottom/>
      <diagonal/>
    </border>
    <border>
      <left/>
      <right/>
      <top style="thin">
        <color indexed="64"/>
      </top>
      <bottom style="double">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medium">
        <color auto="1"/>
      </left>
      <right/>
      <top/>
      <bottom/>
      <diagonal/>
    </border>
    <border>
      <left/>
      <right/>
      <top/>
      <bottom style="thin">
        <color indexed="64"/>
      </bottom>
      <diagonal/>
    </border>
    <border>
      <left/>
      <right style="medium">
        <color auto="1"/>
      </right>
      <top/>
      <bottom style="thin">
        <color auto="1"/>
      </bottom>
      <diagonal/>
    </border>
    <border>
      <left style="medium">
        <color indexed="64"/>
      </left>
      <right/>
      <top style="thin">
        <color indexed="64"/>
      </top>
      <bottom/>
      <diagonal/>
    </border>
    <border>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double">
        <color indexed="64"/>
      </bottom>
      <diagonal/>
    </border>
    <border>
      <left/>
      <right/>
      <top/>
      <bottom style="double">
        <color indexed="64"/>
      </bottom>
      <diagonal/>
    </border>
    <border>
      <left/>
      <right style="medium">
        <color auto="1"/>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s>
  <cellStyleXfs count="15">
    <xf numFmtId="0" fontId="0"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14" fillId="0" borderId="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9" fontId="9" fillId="0" borderId="0" applyFont="0" applyFill="0" applyBorder="0" applyAlignment="0" applyProtection="0"/>
    <xf numFmtId="43" fontId="26" fillId="0" borderId="0" applyFont="0" applyFill="0" applyBorder="0" applyAlignment="0" applyProtection="0"/>
    <xf numFmtId="44" fontId="9" fillId="0" borderId="0" applyFont="0" applyFill="0" applyBorder="0" applyAlignment="0" applyProtection="0"/>
    <xf numFmtId="44" fontId="26" fillId="0" borderId="0" applyFont="0" applyFill="0" applyBorder="0" applyAlignment="0" applyProtection="0"/>
    <xf numFmtId="9" fontId="26" fillId="0" borderId="0" applyFont="0" applyFill="0" applyBorder="0" applyAlignment="0" applyProtection="0"/>
  </cellStyleXfs>
  <cellXfs count="725">
    <xf numFmtId="0" fontId="0" fillId="0" borderId="0" xfId="0"/>
    <xf numFmtId="0" fontId="2" fillId="2" borderId="1" xfId="0" applyFont="1" applyFill="1" applyBorder="1" applyAlignment="1">
      <alignment horizontal="left"/>
    </xf>
    <xf numFmtId="164" fontId="2" fillId="2" borderId="2" xfId="0" applyNumberFormat="1" applyFont="1" applyFill="1" applyBorder="1" applyAlignment="1">
      <alignment horizontal="center"/>
    </xf>
    <xf numFmtId="164" fontId="2" fillId="2" borderId="3" xfId="0" applyNumberFormat="1" applyFont="1" applyFill="1" applyBorder="1" applyAlignment="1">
      <alignment horizontal="center"/>
    </xf>
    <xf numFmtId="0" fontId="1" fillId="3" borderId="0" xfId="0" applyFont="1" applyFill="1"/>
    <xf numFmtId="0" fontId="2" fillId="3" borderId="1" xfId="0" applyFont="1" applyFill="1" applyBorder="1" applyAlignment="1">
      <alignment horizontal="left"/>
    </xf>
    <xf numFmtId="0" fontId="2" fillId="3" borderId="0" xfId="0" applyFont="1" applyFill="1" applyAlignment="1">
      <alignment horizontal="center"/>
    </xf>
    <xf numFmtId="164" fontId="2" fillId="3" borderId="4" xfId="0" applyNumberFormat="1" applyFont="1" applyFill="1" applyBorder="1" applyAlignment="1">
      <alignment horizontal="center"/>
    </xf>
    <xf numFmtId="0" fontId="4" fillId="3" borderId="0" xfId="0" applyFont="1" applyFill="1" applyAlignment="1">
      <alignment horizontal="centerContinuous"/>
    </xf>
    <xf numFmtId="0" fontId="2" fillId="3" borderId="0" xfId="0" applyFont="1" applyFill="1" applyAlignment="1">
      <alignment horizontal="left"/>
    </xf>
    <xf numFmtId="0" fontId="5" fillId="3" borderId="0" xfId="0" applyFont="1" applyFill="1" applyAlignment="1">
      <alignment horizontal="centerContinuous"/>
    </xf>
    <xf numFmtId="0" fontId="3" fillId="3" borderId="0" xfId="0" applyFont="1" applyFill="1" applyAlignment="1">
      <alignment horizontal="left"/>
    </xf>
    <xf numFmtId="0" fontId="7" fillId="3" borderId="0" xfId="0" applyFont="1" applyFill="1" applyAlignment="1">
      <alignment horizontal="left" indent="1"/>
    </xf>
    <xf numFmtId="165" fontId="1" fillId="3" borderId="0" xfId="0" applyNumberFormat="1" applyFont="1" applyFill="1"/>
    <xf numFmtId="0" fontId="2" fillId="3" borderId="6" xfId="0" applyFont="1" applyFill="1" applyBorder="1" applyAlignment="1">
      <alignment horizontal="left"/>
    </xf>
    <xf numFmtId="0" fontId="4" fillId="3" borderId="0" xfId="0" applyFont="1" applyFill="1"/>
    <xf numFmtId="0" fontId="2" fillId="3" borderId="7" xfId="0" applyFont="1" applyFill="1" applyBorder="1"/>
    <xf numFmtId="0" fontId="1" fillId="3" borderId="8" xfId="0" applyFont="1" applyFill="1" applyBorder="1"/>
    <xf numFmtId="165" fontId="4" fillId="3" borderId="9" xfId="0" applyNumberFormat="1" applyFont="1" applyFill="1" applyBorder="1"/>
    <xf numFmtId="0" fontId="2" fillId="3" borderId="10" xfId="0" applyFont="1" applyFill="1" applyBorder="1"/>
    <xf numFmtId="0" fontId="1" fillId="3" borderId="11" xfId="0" applyFont="1" applyFill="1" applyBorder="1"/>
    <xf numFmtId="165" fontId="4" fillId="3" borderId="12" xfId="0" applyNumberFormat="1" applyFont="1" applyFill="1" applyBorder="1"/>
    <xf numFmtId="166" fontId="1" fillId="3" borderId="0" xfId="0" applyNumberFormat="1" applyFont="1" applyFill="1"/>
    <xf numFmtId="0" fontId="8" fillId="3" borderId="0" xfId="0" applyFont="1" applyFill="1" applyAlignment="1">
      <alignment horizontal="left" indent="1"/>
    </xf>
    <xf numFmtId="0" fontId="8" fillId="3" borderId="0" xfId="0" applyFont="1" applyFill="1" applyAlignment="1">
      <alignment horizontal="left"/>
    </xf>
    <xf numFmtId="167" fontId="5" fillId="3" borderId="0" xfId="0" applyNumberFormat="1" applyFont="1" applyFill="1" applyAlignment="1">
      <alignment horizontal="centerContinuous"/>
    </xf>
    <xf numFmtId="0" fontId="1" fillId="3" borderId="0" xfId="0" applyFont="1" applyFill="1" applyAlignment="1">
      <alignment horizontal="left" indent="1"/>
    </xf>
    <xf numFmtId="0" fontId="7" fillId="3" borderId="0" xfId="0" applyFont="1" applyFill="1" applyAlignment="1">
      <alignment horizontal="left" wrapText="1" indent="1"/>
    </xf>
    <xf numFmtId="0" fontId="4" fillId="3" borderId="15" xfId="0" applyFont="1" applyFill="1" applyBorder="1"/>
    <xf numFmtId="168" fontId="1" fillId="3" borderId="0" xfId="0" applyNumberFormat="1" applyFont="1" applyFill="1"/>
    <xf numFmtId="0" fontId="4" fillId="3" borderId="6" xfId="0" applyFont="1" applyFill="1" applyBorder="1"/>
    <xf numFmtId="0" fontId="2" fillId="3" borderId="0" xfId="0" applyFont="1" applyFill="1" applyAlignment="1">
      <alignment horizontal="centerContinuous"/>
    </xf>
    <xf numFmtId="0" fontId="4" fillId="3" borderId="0" xfId="0" applyFont="1" applyFill="1" applyBorder="1"/>
    <xf numFmtId="0" fontId="1" fillId="3" borderId="0" xfId="0" applyFont="1" applyFill="1" applyBorder="1"/>
    <xf numFmtId="0" fontId="2" fillId="3" borderId="0" xfId="0" applyFont="1" applyFill="1" applyBorder="1" applyAlignment="1">
      <alignment horizontal="left"/>
    </xf>
    <xf numFmtId="0" fontId="2" fillId="3" borderId="0" xfId="0" applyFont="1" applyFill="1" applyBorder="1" applyAlignment="1">
      <alignment horizontal="centerContinuous"/>
    </xf>
    <xf numFmtId="0" fontId="1" fillId="3" borderId="17" xfId="0" applyFont="1" applyFill="1" applyBorder="1"/>
    <xf numFmtId="0" fontId="1" fillId="3" borderId="4" xfId="0" applyFont="1" applyFill="1" applyBorder="1"/>
    <xf numFmtId="0" fontId="1" fillId="3" borderId="20" xfId="0" applyFont="1" applyFill="1" applyBorder="1"/>
    <xf numFmtId="0" fontId="1" fillId="3" borderId="14" xfId="0" applyFont="1" applyFill="1" applyBorder="1"/>
    <xf numFmtId="170" fontId="1" fillId="3" borderId="4" xfId="0" applyNumberFormat="1" applyFont="1" applyFill="1" applyBorder="1"/>
    <xf numFmtId="165" fontId="1" fillId="3" borderId="4" xfId="0" applyNumberFormat="1" applyFont="1" applyFill="1" applyBorder="1"/>
    <xf numFmtId="170" fontId="1" fillId="3" borderId="17" xfId="0" applyNumberFormat="1" applyFont="1" applyFill="1" applyBorder="1"/>
    <xf numFmtId="170" fontId="1" fillId="3" borderId="18" xfId="0" applyNumberFormat="1" applyFont="1" applyFill="1" applyBorder="1"/>
    <xf numFmtId="170" fontId="1" fillId="3" borderId="21" xfId="0" applyNumberFormat="1" applyFont="1" applyFill="1" applyBorder="1"/>
    <xf numFmtId="170" fontId="1" fillId="3" borderId="22" xfId="0" applyNumberFormat="1" applyFont="1" applyFill="1" applyBorder="1"/>
    <xf numFmtId="0" fontId="1" fillId="5" borderId="0" xfId="0" applyFont="1" applyFill="1"/>
    <xf numFmtId="0" fontId="1" fillId="5" borderId="0" xfId="0" applyFont="1" applyFill="1" applyBorder="1"/>
    <xf numFmtId="170" fontId="1" fillId="5" borderId="0" xfId="0" applyNumberFormat="1" applyFont="1" applyFill="1" applyBorder="1"/>
    <xf numFmtId="165" fontId="1" fillId="5" borderId="0" xfId="0" applyNumberFormat="1" applyFont="1" applyFill="1"/>
    <xf numFmtId="170" fontId="1" fillId="5" borderId="6" xfId="0" applyNumberFormat="1" applyFont="1" applyFill="1" applyBorder="1"/>
    <xf numFmtId="0" fontId="1" fillId="5" borderId="16" xfId="0" applyFont="1" applyFill="1" applyBorder="1"/>
    <xf numFmtId="170" fontId="1" fillId="5" borderId="15" xfId="0" applyNumberFormat="1" applyFont="1" applyFill="1" applyBorder="1"/>
    <xf numFmtId="0" fontId="4" fillId="5" borderId="0" xfId="0" applyFont="1" applyFill="1" applyBorder="1"/>
    <xf numFmtId="44" fontId="1" fillId="5" borderId="0" xfId="0" applyNumberFormat="1" applyFont="1" applyFill="1"/>
    <xf numFmtId="165" fontId="1" fillId="5" borderId="0" xfId="0" applyNumberFormat="1" applyFont="1" applyFill="1" applyBorder="1"/>
    <xf numFmtId="170" fontId="4" fillId="3" borderId="17" xfId="0" applyNumberFormat="1" applyFont="1" applyFill="1" applyBorder="1"/>
    <xf numFmtId="170" fontId="4" fillId="5" borderId="6" xfId="0" applyNumberFormat="1" applyFont="1" applyFill="1" applyBorder="1"/>
    <xf numFmtId="170" fontId="4" fillId="3" borderId="4" xfId="0" applyNumberFormat="1" applyFont="1" applyFill="1" applyBorder="1"/>
    <xf numFmtId="170" fontId="4" fillId="5" borderId="0" xfId="0" applyNumberFormat="1" applyFont="1" applyFill="1" applyBorder="1"/>
    <xf numFmtId="166" fontId="1" fillId="3" borderId="4" xfId="0" applyNumberFormat="1" applyFont="1" applyFill="1" applyBorder="1"/>
    <xf numFmtId="166" fontId="1" fillId="5" borderId="0" xfId="0" applyNumberFormat="1" applyFont="1" applyFill="1" applyBorder="1"/>
    <xf numFmtId="170" fontId="1" fillId="5" borderId="0" xfId="0" applyNumberFormat="1" applyFont="1" applyFill="1" applyBorder="1" applyAlignment="1">
      <alignment horizontal="right"/>
    </xf>
    <xf numFmtId="165" fontId="1" fillId="0" borderId="0" xfId="0" applyNumberFormat="1" applyFont="1" applyFill="1"/>
    <xf numFmtId="165" fontId="2" fillId="0" borderId="0" xfId="0" applyNumberFormat="1" applyFont="1" applyFill="1" applyAlignment="1">
      <alignment horizontal="left"/>
    </xf>
    <xf numFmtId="170" fontId="1" fillId="0" borderId="4" xfId="0" applyNumberFormat="1" applyFont="1" applyFill="1" applyBorder="1"/>
    <xf numFmtId="173" fontId="4" fillId="3" borderId="14" xfId="0" applyNumberFormat="1" applyFont="1" applyFill="1" applyBorder="1"/>
    <xf numFmtId="0" fontId="1" fillId="5" borderId="14" xfId="0" applyFont="1" applyFill="1" applyBorder="1"/>
    <xf numFmtId="165" fontId="1" fillId="6" borderId="0" xfId="0" applyNumberFormat="1" applyFont="1" applyFill="1" applyBorder="1"/>
    <xf numFmtId="0" fontId="1" fillId="5" borderId="6" xfId="0" applyFont="1" applyFill="1" applyBorder="1"/>
    <xf numFmtId="165" fontId="1" fillId="0" borderId="4" xfId="0" applyNumberFormat="1" applyFont="1" applyFill="1" applyBorder="1"/>
    <xf numFmtId="166" fontId="1" fillId="5" borderId="0" xfId="0" applyNumberFormat="1" applyFont="1" applyFill="1" applyBorder="1" applyAlignment="1">
      <alignment horizontal="right"/>
    </xf>
    <xf numFmtId="39" fontId="1" fillId="3" borderId="4" xfId="0" applyNumberFormat="1" applyFont="1" applyFill="1" applyBorder="1"/>
    <xf numFmtId="39" fontId="1" fillId="5" borderId="0" xfId="0" applyNumberFormat="1" applyFont="1" applyFill="1" applyBorder="1" applyAlignment="1">
      <alignment horizontal="right"/>
    </xf>
    <xf numFmtId="39" fontId="1" fillId="5" borderId="0" xfId="0" applyNumberFormat="1" applyFont="1" applyFill="1" applyBorder="1"/>
    <xf numFmtId="39" fontId="1" fillId="3" borderId="4" xfId="0" applyNumberFormat="1" applyFont="1" applyFill="1" applyBorder="1" applyAlignment="1">
      <alignment horizontal="right"/>
    </xf>
    <xf numFmtId="171" fontId="2" fillId="7" borderId="2" xfId="0" applyNumberFormat="1" applyFont="1" applyFill="1" applyBorder="1" applyAlignment="1">
      <alignment horizontal="center"/>
    </xf>
    <xf numFmtId="164" fontId="2" fillId="0" borderId="4" xfId="0" applyNumberFormat="1" applyFont="1" applyFill="1" applyBorder="1" applyAlignment="1">
      <alignment horizontal="center"/>
    </xf>
    <xf numFmtId="172" fontId="2" fillId="7" borderId="2" xfId="0" applyNumberFormat="1" applyFont="1" applyFill="1" applyBorder="1" applyAlignment="1">
      <alignment horizontal="center"/>
    </xf>
    <xf numFmtId="170" fontId="12" fillId="3" borderId="4" xfId="0" applyNumberFormat="1" applyFont="1" applyFill="1" applyBorder="1"/>
    <xf numFmtId="170" fontId="12" fillId="5" borderId="0" xfId="0" applyNumberFormat="1" applyFont="1" applyFill="1" applyBorder="1" applyAlignment="1">
      <alignment horizontal="centerContinuous"/>
    </xf>
    <xf numFmtId="170" fontId="12" fillId="5" borderId="0" xfId="0" applyNumberFormat="1" applyFont="1" applyFill="1" applyBorder="1"/>
    <xf numFmtId="170" fontId="13" fillId="3" borderId="17" xfId="0" applyNumberFormat="1" applyFont="1" applyFill="1" applyBorder="1"/>
    <xf numFmtId="170" fontId="13" fillId="5" borderId="6" xfId="0" applyNumberFormat="1" applyFont="1" applyFill="1" applyBorder="1"/>
    <xf numFmtId="170" fontId="3" fillId="5" borderId="6" xfId="0" applyNumberFormat="1" applyFont="1" applyFill="1" applyBorder="1"/>
    <xf numFmtId="170" fontId="3" fillId="3" borderId="17" xfId="0" applyNumberFormat="1" applyFont="1" applyFill="1" applyBorder="1"/>
    <xf numFmtId="170" fontId="12" fillId="0" borderId="4" xfId="0" applyNumberFormat="1" applyFont="1" applyFill="1" applyBorder="1"/>
    <xf numFmtId="165" fontId="6" fillId="3" borderId="4" xfId="0" applyNumberFormat="1" applyFont="1" applyFill="1" applyBorder="1"/>
    <xf numFmtId="165" fontId="7" fillId="3" borderId="4" xfId="0" applyNumberFormat="1" applyFont="1" applyFill="1" applyBorder="1"/>
    <xf numFmtId="37" fontId="1" fillId="3" borderId="4" xfId="0" applyNumberFormat="1" applyFont="1" applyFill="1" applyBorder="1"/>
    <xf numFmtId="37" fontId="1" fillId="5" borderId="0" xfId="0" applyNumberFormat="1" applyFont="1" applyFill="1" applyBorder="1"/>
    <xf numFmtId="0" fontId="1" fillId="3" borderId="21" xfId="0" applyFont="1" applyFill="1" applyBorder="1"/>
    <xf numFmtId="0" fontId="1" fillId="3" borderId="22" xfId="0" applyFont="1" applyFill="1" applyBorder="1"/>
    <xf numFmtId="0" fontId="7" fillId="0" borderId="0" xfId="0" applyFont="1" applyFill="1" applyAlignment="1">
      <alignment horizontal="left" wrapText="1" indent="1"/>
    </xf>
    <xf numFmtId="0" fontId="1" fillId="0" borderId="4" xfId="0" applyFont="1" applyFill="1" applyBorder="1"/>
    <xf numFmtId="39" fontId="1" fillId="0" borderId="4" xfId="0" applyNumberFormat="1" applyFont="1" applyFill="1" applyBorder="1"/>
    <xf numFmtId="39" fontId="1" fillId="0" borderId="4" xfId="0" applyNumberFormat="1" applyFont="1" applyFill="1" applyBorder="1" applyAlignment="1">
      <alignment horizontal="right"/>
    </xf>
    <xf numFmtId="11" fontId="7" fillId="3" borderId="0" xfId="0" applyNumberFormat="1" applyFont="1" applyFill="1" applyBorder="1" applyAlignment="1">
      <alignment horizontal="left" indent="3"/>
    </xf>
    <xf numFmtId="170" fontId="4" fillId="0" borderId="4" xfId="0" applyNumberFormat="1" applyFont="1" applyFill="1" applyBorder="1"/>
    <xf numFmtId="170" fontId="6" fillId="5" borderId="0" xfId="0" applyNumberFormat="1" applyFont="1" applyFill="1" applyBorder="1"/>
    <xf numFmtId="170" fontId="6" fillId="3" borderId="4" xfId="0" applyNumberFormat="1" applyFont="1" applyFill="1" applyBorder="1"/>
    <xf numFmtId="166" fontId="1" fillId="0" borderId="4" xfId="0" applyNumberFormat="1" applyFont="1" applyFill="1" applyBorder="1"/>
    <xf numFmtId="165" fontId="1" fillId="6" borderId="4" xfId="0" applyNumberFormat="1" applyFont="1" applyFill="1" applyBorder="1"/>
    <xf numFmtId="0" fontId="15" fillId="0" borderId="0" xfId="4" applyFont="1"/>
    <xf numFmtId="0" fontId="15" fillId="0" borderId="0" xfId="0" applyFont="1"/>
    <xf numFmtId="0" fontId="16" fillId="2" borderId="16" xfId="4" applyFont="1" applyFill="1" applyBorder="1" applyAlignment="1">
      <alignment horizontal="center" vertical="center"/>
    </xf>
    <xf numFmtId="0" fontId="16" fillId="2" borderId="23" xfId="4" applyFont="1" applyFill="1" applyBorder="1" applyAlignment="1">
      <alignment horizontal="left" vertical="center"/>
    </xf>
    <xf numFmtId="0" fontId="16" fillId="2" borderId="0" xfId="4" applyFont="1" applyFill="1"/>
    <xf numFmtId="0" fontId="16" fillId="2" borderId="0" xfId="4" applyFont="1" applyFill="1" applyAlignment="1">
      <alignment horizontal="center"/>
    </xf>
    <xf numFmtId="0" fontId="16" fillId="2" borderId="24" xfId="4" applyFont="1" applyFill="1" applyBorder="1" applyAlignment="1">
      <alignment horizontal="center" vertical="center"/>
    </xf>
    <xf numFmtId="175" fontId="19" fillId="5" borderId="27" xfId="4" applyNumberFormat="1" applyFont="1" applyFill="1" applyBorder="1" applyAlignment="1">
      <alignment horizontal="center" vertical="center"/>
    </xf>
    <xf numFmtId="0" fontId="17" fillId="5" borderId="23" xfId="4" applyFont="1" applyFill="1" applyBorder="1"/>
    <xf numFmtId="0" fontId="15" fillId="5" borderId="0" xfId="4" applyFont="1" applyFill="1"/>
    <xf numFmtId="37" fontId="15" fillId="5" borderId="0" xfId="4" applyNumberFormat="1" applyFont="1" applyFill="1" applyAlignment="1">
      <alignment horizontal="right"/>
    </xf>
    <xf numFmtId="0" fontId="17" fillId="8" borderId="23" xfId="4" applyFont="1" applyFill="1" applyBorder="1"/>
    <xf numFmtId="0" fontId="15" fillId="8" borderId="0" xfId="4" applyFont="1" applyFill="1"/>
    <xf numFmtId="174" fontId="15" fillId="5" borderId="0" xfId="5" applyNumberFormat="1" applyFont="1" applyFill="1" applyBorder="1" applyAlignment="1">
      <alignment horizontal="center"/>
    </xf>
    <xf numFmtId="0" fontId="16" fillId="2" borderId="23" xfId="4" applyFont="1" applyFill="1" applyBorder="1"/>
    <xf numFmtId="0" fontId="18" fillId="2" borderId="0" xfId="4" applyFont="1" applyFill="1"/>
    <xf numFmtId="2" fontId="18" fillId="2" borderId="0" xfId="4" applyNumberFormat="1" applyFont="1" applyFill="1"/>
    <xf numFmtId="174" fontId="18" fillId="2" borderId="27" xfId="5" applyNumberFormat="1" applyFont="1" applyFill="1" applyBorder="1" applyAlignment="1">
      <alignment horizontal="right"/>
    </xf>
    <xf numFmtId="175" fontId="15" fillId="0" borderId="0" xfId="0" applyNumberFormat="1" applyFont="1"/>
    <xf numFmtId="174" fontId="20" fillId="2" borderId="27" xfId="5" applyNumberFormat="1" applyFont="1" applyFill="1" applyBorder="1" applyAlignment="1">
      <alignment horizontal="right"/>
    </xf>
    <xf numFmtId="0" fontId="16" fillId="2" borderId="10" xfId="4" applyFont="1" applyFill="1" applyBorder="1"/>
    <xf numFmtId="0" fontId="18" fillId="2" borderId="11" xfId="4" applyFont="1" applyFill="1" applyBorder="1"/>
    <xf numFmtId="175" fontId="18" fillId="2" borderId="11" xfId="4" applyNumberFormat="1" applyFont="1" applyFill="1" applyBorder="1"/>
    <xf numFmtId="176" fontId="16" fillId="2" borderId="12" xfId="6" applyNumberFormat="1" applyFont="1" applyFill="1" applyBorder="1" applyAlignment="1">
      <alignment horizontal="right"/>
    </xf>
    <xf numFmtId="0" fontId="17" fillId="0" borderId="0" xfId="4" applyFont="1"/>
    <xf numFmtId="0" fontId="15" fillId="3" borderId="0" xfId="4" applyFont="1" applyFill="1" applyAlignment="1">
      <alignment horizontal="right"/>
    </xf>
    <xf numFmtId="0" fontId="16" fillId="2" borderId="28" xfId="4" applyFont="1" applyFill="1" applyBorder="1" applyAlignment="1">
      <alignment horizontal="left" vertical="center"/>
    </xf>
    <xf numFmtId="0" fontId="15" fillId="2" borderId="29" xfId="4" applyFont="1" applyFill="1" applyBorder="1"/>
    <xf numFmtId="0" fontId="15" fillId="2" borderId="30" xfId="4" applyFont="1" applyFill="1" applyBorder="1" applyAlignment="1">
      <alignment horizontal="right"/>
    </xf>
    <xf numFmtId="0" fontId="20" fillId="8" borderId="27" xfId="7" applyFont="1" applyFill="1" applyBorder="1" applyAlignment="1">
      <alignment horizontal="right"/>
    </xf>
    <xf numFmtId="0" fontId="20" fillId="5" borderId="27" xfId="7" applyFont="1" applyFill="1" applyBorder="1" applyAlignment="1">
      <alignment horizontal="right"/>
    </xf>
    <xf numFmtId="0" fontId="21" fillId="8" borderId="23" xfId="4" applyFont="1" applyFill="1" applyBorder="1"/>
    <xf numFmtId="0" fontId="22" fillId="8" borderId="0" xfId="4" applyFont="1" applyFill="1"/>
    <xf numFmtId="0" fontId="21" fillId="5" borderId="23" xfId="4" applyFont="1" applyFill="1" applyBorder="1"/>
    <xf numFmtId="0" fontId="22" fillId="5" borderId="0" xfId="4" applyFont="1" applyFill="1"/>
    <xf numFmtId="169" fontId="20" fillId="8" borderId="27" xfId="8" applyNumberFormat="1" applyFont="1" applyFill="1" applyBorder="1" applyAlignment="1">
      <alignment horizontal="right"/>
    </xf>
    <xf numFmtId="177" fontId="20" fillId="5" borderId="27" xfId="2" applyNumberFormat="1" applyFont="1" applyFill="1" applyBorder="1" applyAlignment="1">
      <alignment horizontal="right"/>
    </xf>
    <xf numFmtId="44" fontId="20" fillId="8" borderId="27" xfId="7" applyNumberFormat="1" applyFont="1" applyFill="1" applyBorder="1" applyAlignment="1">
      <alignment horizontal="right"/>
    </xf>
    <xf numFmtId="43" fontId="15" fillId="0" borderId="0" xfId="0" applyNumberFormat="1" applyFont="1"/>
    <xf numFmtId="178" fontId="20" fillId="5" borderId="27" xfId="8" applyNumberFormat="1" applyFont="1" applyFill="1" applyBorder="1" applyAlignment="1">
      <alignment horizontal="right"/>
    </xf>
    <xf numFmtId="44" fontId="20" fillId="8" borderId="27" xfId="8" applyNumberFormat="1" applyFont="1" applyFill="1" applyBorder="1" applyAlignment="1">
      <alignment horizontal="right"/>
    </xf>
    <xf numFmtId="44" fontId="18" fillId="5" borderId="27" xfId="8" applyNumberFormat="1" applyFont="1" applyFill="1" applyBorder="1" applyAlignment="1">
      <alignment horizontal="right"/>
    </xf>
    <xf numFmtId="43" fontId="20" fillId="8" borderId="27" xfId="8" applyFont="1" applyFill="1" applyBorder="1" applyAlignment="1">
      <alignment horizontal="right"/>
    </xf>
    <xf numFmtId="0" fontId="17" fillId="5" borderId="10" xfId="4" applyFont="1" applyFill="1" applyBorder="1"/>
    <xf numFmtId="0" fontId="15" fillId="5" borderId="11" xfId="4" applyFont="1" applyFill="1" applyBorder="1"/>
    <xf numFmtId="43" fontId="20" fillId="5" borderId="12" xfId="8" applyFont="1" applyFill="1" applyBorder="1" applyAlignment="1">
      <alignment horizontal="right"/>
    </xf>
    <xf numFmtId="0" fontId="17" fillId="2" borderId="7" xfId="0" applyFont="1" applyFill="1" applyBorder="1"/>
    <xf numFmtId="0" fontId="15" fillId="2" borderId="8" xfId="0" applyFont="1" applyFill="1" applyBorder="1"/>
    <xf numFmtId="0" fontId="15" fillId="2" borderId="9" xfId="0" applyFont="1" applyFill="1" applyBorder="1"/>
    <xf numFmtId="0" fontId="4" fillId="2" borderId="10" xfId="0" applyFont="1" applyFill="1" applyBorder="1"/>
    <xf numFmtId="179" fontId="2" fillId="2" borderId="11" xfId="0" applyNumberFormat="1" applyFont="1" applyFill="1" applyBorder="1" applyAlignment="1">
      <alignment horizontal="center"/>
    </xf>
    <xf numFmtId="180" fontId="2" fillId="2" borderId="11" xfId="0" applyNumberFormat="1" applyFont="1" applyFill="1" applyBorder="1" applyAlignment="1">
      <alignment horizontal="center"/>
    </xf>
    <xf numFmtId="177" fontId="17" fillId="2" borderId="12" xfId="0" quotePrefix="1" applyNumberFormat="1" applyFont="1" applyFill="1" applyBorder="1" applyAlignment="1">
      <alignment horizontal="center"/>
    </xf>
    <xf numFmtId="0" fontId="15" fillId="8" borderId="7" xfId="0" applyFont="1" applyFill="1" applyBorder="1"/>
    <xf numFmtId="174" fontId="15" fillId="8" borderId="9" xfId="0" applyNumberFormat="1" applyFont="1" applyFill="1" applyBorder="1"/>
    <xf numFmtId="0" fontId="15" fillId="5" borderId="23" xfId="0" applyFont="1" applyFill="1" applyBorder="1" applyAlignment="1">
      <alignment horizontal="left" indent="2"/>
    </xf>
    <xf numFmtId="176" fontId="15" fillId="5" borderId="0" xfId="3" applyNumberFormat="1" applyFont="1" applyFill="1" applyBorder="1"/>
    <xf numFmtId="174" fontId="15" fillId="5" borderId="27" xfId="0" applyNumberFormat="1" applyFont="1" applyFill="1" applyBorder="1"/>
    <xf numFmtId="0" fontId="15" fillId="8" borderId="31" xfId="0" applyFont="1" applyFill="1" applyBorder="1"/>
    <xf numFmtId="174" fontId="15" fillId="8" borderId="33" xfId="0" applyNumberFormat="1" applyFont="1" applyFill="1" applyBorder="1"/>
    <xf numFmtId="0" fontId="15" fillId="5" borderId="23" xfId="0" applyFont="1" applyFill="1" applyBorder="1"/>
    <xf numFmtId="0" fontId="15" fillId="8" borderId="23" xfId="0" applyFont="1" applyFill="1" applyBorder="1" applyAlignment="1">
      <alignment horizontal="left" indent="2"/>
    </xf>
    <xf numFmtId="2" fontId="23" fillId="5" borderId="27" xfId="0" applyNumberFormat="1" applyFont="1" applyFill="1" applyBorder="1"/>
    <xf numFmtId="0" fontId="15" fillId="5" borderId="27" xfId="0" applyFont="1" applyFill="1" applyBorder="1"/>
    <xf numFmtId="0" fontId="15" fillId="8" borderId="23" xfId="0" applyFont="1" applyFill="1" applyBorder="1"/>
    <xf numFmtId="0" fontId="15" fillId="5" borderId="31" xfId="0" applyFont="1" applyFill="1" applyBorder="1"/>
    <xf numFmtId="0" fontId="15" fillId="5" borderId="32" xfId="0" applyFont="1" applyFill="1" applyBorder="1"/>
    <xf numFmtId="0" fontId="15" fillId="8" borderId="10" xfId="0" applyFont="1" applyFill="1" applyBorder="1"/>
    <xf numFmtId="0" fontId="15" fillId="8" borderId="11" xfId="0" applyFont="1" applyFill="1" applyBorder="1"/>
    <xf numFmtId="0" fontId="17" fillId="2" borderId="8" xfId="0" applyFont="1" applyFill="1" applyBorder="1"/>
    <xf numFmtId="166" fontId="17" fillId="2" borderId="9" xfId="0" applyNumberFormat="1" applyFont="1" applyFill="1" applyBorder="1"/>
    <xf numFmtId="0" fontId="15" fillId="0" borderId="0" xfId="0" applyFont="1" applyAlignment="1">
      <alignment horizontal="centerContinuous"/>
    </xf>
    <xf numFmtId="0" fontId="17" fillId="2" borderId="10" xfId="0" applyFont="1" applyFill="1" applyBorder="1"/>
    <xf numFmtId="0" fontId="17" fillId="2" borderId="11" xfId="0" applyFont="1" applyFill="1" applyBorder="1"/>
    <xf numFmtId="166" fontId="17" fillId="2" borderId="12" xfId="0" applyNumberFormat="1" applyFont="1" applyFill="1" applyBorder="1"/>
    <xf numFmtId="174" fontId="15" fillId="0" borderId="0" xfId="0" applyNumberFormat="1" applyFont="1" applyAlignment="1">
      <alignment horizontal="right"/>
    </xf>
    <xf numFmtId="166" fontId="15" fillId="0" borderId="0" xfId="0" applyNumberFormat="1" applyFont="1"/>
    <xf numFmtId="0" fontId="15" fillId="0" borderId="0" xfId="0" applyFont="1" applyAlignment="1">
      <alignment horizontal="right"/>
    </xf>
    <xf numFmtId="10" fontId="15" fillId="0" borderId="0" xfId="0" applyNumberFormat="1" applyFont="1"/>
    <xf numFmtId="44" fontId="15" fillId="0" borderId="0" xfId="0" applyNumberFormat="1" applyFont="1"/>
    <xf numFmtId="165" fontId="15" fillId="0" borderId="0" xfId="0" applyNumberFormat="1" applyFont="1"/>
    <xf numFmtId="14" fontId="15" fillId="0" borderId="23" xfId="0" applyNumberFormat="1" applyFont="1" applyBorder="1"/>
    <xf numFmtId="44" fontId="15" fillId="0" borderId="27" xfId="0" applyNumberFormat="1" applyFont="1" applyBorder="1"/>
    <xf numFmtId="165" fontId="15" fillId="0" borderId="23" xfId="0" applyNumberFormat="1" applyFont="1" applyBorder="1"/>
    <xf numFmtId="165" fontId="15" fillId="0" borderId="27" xfId="0" applyNumberFormat="1" applyFont="1" applyBorder="1"/>
    <xf numFmtId="14" fontId="15" fillId="0" borderId="10" xfId="0" applyNumberFormat="1" applyFont="1" applyBorder="1"/>
    <xf numFmtId="44" fontId="15" fillId="0" borderId="11" xfId="0" applyNumberFormat="1" applyFont="1" applyBorder="1"/>
    <xf numFmtId="44" fontId="15" fillId="0" borderId="12" xfId="0" applyNumberFormat="1" applyFont="1" applyBorder="1"/>
    <xf numFmtId="165" fontId="15" fillId="0" borderId="10" xfId="0" applyNumberFormat="1" applyFont="1" applyBorder="1"/>
    <xf numFmtId="165" fontId="15" fillId="0" borderId="12" xfId="0" applyNumberFormat="1" applyFont="1" applyBorder="1"/>
    <xf numFmtId="0" fontId="11" fillId="3" borderId="0" xfId="9" applyFont="1" applyFill="1" applyAlignment="1">
      <alignment horizontal="center"/>
    </xf>
    <xf numFmtId="0" fontId="11" fillId="3" borderId="0" xfId="9" applyFont="1" applyFill="1"/>
    <xf numFmtId="0" fontId="9" fillId="3" borderId="0" xfId="9" applyFill="1"/>
    <xf numFmtId="0" fontId="9" fillId="0" borderId="0" xfId="9"/>
    <xf numFmtId="0" fontId="21" fillId="0" borderId="24" xfId="9" applyFont="1" applyBorder="1" applyAlignment="1">
      <alignment horizontal="centerContinuous"/>
    </xf>
    <xf numFmtId="0" fontId="25" fillId="0" borderId="0" xfId="9" applyFont="1" applyAlignment="1">
      <alignment horizontal="centerContinuous"/>
    </xf>
    <xf numFmtId="0" fontId="17" fillId="3" borderId="0" xfId="9" applyFont="1" applyFill="1" applyAlignment="1">
      <alignment horizontal="center"/>
    </xf>
    <xf numFmtId="0" fontId="22" fillId="3" borderId="6" xfId="9" applyFont="1" applyFill="1" applyBorder="1"/>
    <xf numFmtId="2" fontId="18" fillId="0" borderId="20" xfId="9" applyNumberFormat="1" applyFont="1" applyBorder="1" applyAlignment="1">
      <alignment horizontal="right"/>
    </xf>
    <xf numFmtId="0" fontId="22" fillId="0" borderId="0" xfId="9" applyFont="1"/>
    <xf numFmtId="0" fontId="25" fillId="0" borderId="0" xfId="9" applyFont="1"/>
    <xf numFmtId="0" fontId="22" fillId="0" borderId="35" xfId="9" applyFont="1" applyBorder="1" applyAlignment="1">
      <alignment horizontal="center"/>
    </xf>
    <xf numFmtId="0" fontId="22" fillId="0" borderId="36" xfId="9" applyFont="1" applyBorder="1" applyAlignment="1">
      <alignment horizontal="center"/>
    </xf>
    <xf numFmtId="0" fontId="15" fillId="3" borderId="0" xfId="9" applyFont="1" applyFill="1"/>
    <xf numFmtId="0" fontId="22" fillId="0" borderId="34" xfId="9" applyFont="1" applyBorder="1" applyAlignment="1">
      <alignment horizontal="center"/>
    </xf>
    <xf numFmtId="10" fontId="15" fillId="3" borderId="0" xfId="10" applyNumberFormat="1" applyFont="1" applyFill="1" applyBorder="1"/>
    <xf numFmtId="0" fontId="22" fillId="3" borderId="0" xfId="9" applyFont="1" applyFill="1"/>
    <xf numFmtId="2" fontId="15" fillId="3" borderId="14" xfId="9" applyNumberFormat="1" applyFont="1" applyFill="1" applyBorder="1" applyAlignment="1">
      <alignment horizontal="right"/>
    </xf>
    <xf numFmtId="10" fontId="18" fillId="0" borderId="14" xfId="3" applyNumberFormat="1" applyFont="1" applyFill="1" applyBorder="1" applyAlignment="1">
      <alignment horizontal="right"/>
    </xf>
    <xf numFmtId="0" fontId="17" fillId="3" borderId="0" xfId="9" applyFont="1" applyFill="1"/>
    <xf numFmtId="0" fontId="27" fillId="0" borderId="35" xfId="9" applyFont="1" applyBorder="1" applyAlignment="1">
      <alignment horizontal="left"/>
    </xf>
    <xf numFmtId="182" fontId="22" fillId="0" borderId="35" xfId="9" applyNumberFormat="1" applyFont="1" applyBorder="1" applyAlignment="1">
      <alignment horizontal="center"/>
    </xf>
    <xf numFmtId="10" fontId="15" fillId="3" borderId="0" xfId="9" applyNumberFormat="1" applyFont="1" applyFill="1"/>
    <xf numFmtId="2" fontId="22" fillId="3" borderId="0" xfId="11" applyNumberFormat="1" applyFont="1" applyFill="1"/>
    <xf numFmtId="2" fontId="18" fillId="0" borderId="14" xfId="11" applyNumberFormat="1" applyFont="1" applyBorder="1" applyAlignment="1">
      <alignment horizontal="right"/>
    </xf>
    <xf numFmtId="10" fontId="15" fillId="0" borderId="14" xfId="3" applyNumberFormat="1" applyFont="1" applyFill="1" applyBorder="1" applyAlignment="1">
      <alignment horizontal="right"/>
    </xf>
    <xf numFmtId="176" fontId="18" fillId="0" borderId="0" xfId="3" applyNumberFormat="1" applyFont="1" applyFill="1" applyBorder="1" applyAlignment="1">
      <alignment horizontal="center"/>
    </xf>
    <xf numFmtId="176" fontId="15" fillId="0" borderId="0" xfId="3" applyNumberFormat="1" applyFont="1" applyFill="1" applyBorder="1" applyAlignment="1">
      <alignment horizontal="center"/>
    </xf>
    <xf numFmtId="176" fontId="15" fillId="0" borderId="14" xfId="3" applyNumberFormat="1" applyFont="1" applyFill="1" applyBorder="1" applyAlignment="1">
      <alignment horizontal="center"/>
    </xf>
    <xf numFmtId="0" fontId="28" fillId="3" borderId="0" xfId="9" applyFont="1" applyFill="1"/>
    <xf numFmtId="0" fontId="22" fillId="0" borderId="6" xfId="9" applyFont="1" applyBorder="1"/>
    <xf numFmtId="182" fontId="22" fillId="0" borderId="6" xfId="9" applyNumberFormat="1" applyFont="1" applyBorder="1" applyAlignment="1">
      <alignment horizontal="center"/>
    </xf>
    <xf numFmtId="10" fontId="15" fillId="0" borderId="14" xfId="1" quotePrefix="1" applyNumberFormat="1" applyFont="1" applyFill="1" applyBorder="1" applyAlignment="1">
      <alignment horizontal="right"/>
    </xf>
    <xf numFmtId="10" fontId="15" fillId="3" borderId="0" xfId="10" applyNumberFormat="1" applyFont="1" applyFill="1"/>
    <xf numFmtId="0" fontId="22" fillId="0" borderId="0" xfId="9" applyFont="1" applyAlignment="1">
      <alignment horizontal="center"/>
    </xf>
    <xf numFmtId="181" fontId="22" fillId="0" borderId="0" xfId="10" applyNumberFormat="1" applyFont="1" applyFill="1" applyBorder="1" applyAlignment="1">
      <alignment horizontal="center"/>
    </xf>
    <xf numFmtId="181" fontId="22" fillId="0" borderId="0" xfId="9" applyNumberFormat="1" applyFont="1" applyAlignment="1">
      <alignment horizontal="center"/>
    </xf>
    <xf numFmtId="2" fontId="18" fillId="0" borderId="14" xfId="10" applyNumberFormat="1" applyFont="1" applyFill="1" applyBorder="1" applyAlignment="1">
      <alignment horizontal="right"/>
    </xf>
    <xf numFmtId="176" fontId="18" fillId="0" borderId="14" xfId="3" applyNumberFormat="1" applyFont="1" applyFill="1" applyBorder="1" applyAlignment="1">
      <alignment horizontal="right"/>
    </xf>
    <xf numFmtId="0" fontId="15" fillId="3" borderId="22" xfId="9" applyFont="1" applyFill="1" applyBorder="1"/>
    <xf numFmtId="0" fontId="22" fillId="3" borderId="22" xfId="9" applyFont="1" applyFill="1" applyBorder="1"/>
    <xf numFmtId="3" fontId="15" fillId="0" borderId="14" xfId="1" applyNumberFormat="1" applyFont="1" applyFill="1" applyBorder="1" applyAlignment="1">
      <alignment horizontal="right"/>
    </xf>
    <xf numFmtId="2" fontId="18" fillId="0" borderId="14" xfId="10" quotePrefix="1" applyNumberFormat="1" applyFont="1" applyFill="1" applyBorder="1" applyAlignment="1">
      <alignment horizontal="right"/>
    </xf>
    <xf numFmtId="176" fontId="18" fillId="0" borderId="14" xfId="3" applyNumberFormat="1" applyFont="1" applyFill="1" applyBorder="1" applyAlignment="1">
      <alignment horizontal="center"/>
    </xf>
    <xf numFmtId="0" fontId="15" fillId="3" borderId="0" xfId="9" applyFont="1" applyFill="1" applyAlignment="1">
      <alignment horizontal="center"/>
    </xf>
    <xf numFmtId="0" fontId="28" fillId="3" borderId="0" xfId="9" applyFont="1" applyFill="1" applyAlignment="1">
      <alignment horizontal="center"/>
    </xf>
    <xf numFmtId="10" fontId="18" fillId="0" borderId="14" xfId="10" applyNumberFormat="1" applyFont="1" applyFill="1" applyBorder="1" applyAlignment="1">
      <alignment horizontal="right"/>
    </xf>
    <xf numFmtId="176" fontId="18" fillId="0" borderId="14" xfId="3" applyNumberFormat="1" applyFont="1" applyBorder="1" applyAlignment="1">
      <alignment horizontal="right"/>
    </xf>
    <xf numFmtId="174" fontId="18" fillId="0" borderId="0" xfId="10" applyNumberFormat="1" applyFont="1" applyFill="1" applyBorder="1" applyAlignment="1">
      <alignment horizontal="center"/>
    </xf>
    <xf numFmtId="174" fontId="18" fillId="0" borderId="14" xfId="10" applyNumberFormat="1" applyFont="1" applyFill="1" applyBorder="1" applyAlignment="1">
      <alignment horizontal="center"/>
    </xf>
    <xf numFmtId="0" fontId="22" fillId="0" borderId="34" xfId="9" applyFont="1" applyBorder="1"/>
    <xf numFmtId="10" fontId="29" fillId="3" borderId="0" xfId="10" applyNumberFormat="1" applyFont="1" applyFill="1" applyBorder="1" applyAlignment="1">
      <alignment horizontal="center"/>
    </xf>
    <xf numFmtId="176" fontId="18" fillId="0" borderId="14" xfId="3" quotePrefix="1" applyNumberFormat="1" applyFont="1" applyBorder="1" applyAlignment="1">
      <alignment horizontal="right"/>
    </xf>
    <xf numFmtId="181" fontId="18" fillId="0" borderId="14" xfId="12" quotePrefix="1" applyNumberFormat="1" applyFont="1" applyFill="1" applyBorder="1" applyAlignment="1">
      <alignment horizontal="center"/>
    </xf>
    <xf numFmtId="10" fontId="15" fillId="0" borderId="0" xfId="10" applyNumberFormat="1" applyFont="1" applyFill="1" applyBorder="1" applyAlignment="1">
      <alignment horizontal="center"/>
    </xf>
    <xf numFmtId="0" fontId="30" fillId="0" borderId="0" xfId="9" applyFont="1" applyAlignment="1">
      <alignment horizontal="right"/>
    </xf>
    <xf numFmtId="0" fontId="22" fillId="3" borderId="24" xfId="9" applyFont="1" applyFill="1" applyBorder="1"/>
    <xf numFmtId="10" fontId="18" fillId="0" borderId="38" xfId="10" applyNumberFormat="1" applyFont="1" applyFill="1" applyBorder="1" applyAlignment="1">
      <alignment horizontal="right"/>
    </xf>
    <xf numFmtId="181" fontId="18" fillId="0" borderId="24" xfId="9" quotePrefix="1" applyNumberFormat="1" applyFont="1" applyBorder="1" applyAlignment="1">
      <alignment horizontal="center"/>
    </xf>
    <xf numFmtId="181" fontId="18" fillId="0" borderId="38" xfId="9" quotePrefix="1" applyNumberFormat="1" applyFont="1" applyBorder="1" applyAlignment="1">
      <alignment horizontal="center"/>
    </xf>
    <xf numFmtId="0" fontId="9" fillId="0" borderId="0" xfId="9" applyAlignment="1">
      <alignment horizontal="center"/>
    </xf>
    <xf numFmtId="0" fontId="21" fillId="0" borderId="0" xfId="9" applyFont="1" applyAlignment="1">
      <alignment horizontal="centerContinuous"/>
    </xf>
    <xf numFmtId="0" fontId="22" fillId="3" borderId="0" xfId="9" applyFont="1" applyFill="1" applyAlignment="1">
      <alignment horizontal="centerContinuous"/>
    </xf>
    <xf numFmtId="0" fontId="15" fillId="3" borderId="0" xfId="9" applyFont="1" applyFill="1" applyAlignment="1">
      <alignment horizontal="right"/>
    </xf>
    <xf numFmtId="0" fontId="1" fillId="3" borderId="0" xfId="9" applyFont="1" applyFill="1" applyAlignment="1">
      <alignment horizontal="right"/>
    </xf>
    <xf numFmtId="0" fontId="24" fillId="3" borderId="35" xfId="9" applyFont="1" applyFill="1" applyBorder="1" applyAlignment="1">
      <alignment horizontal="center"/>
    </xf>
    <xf numFmtId="176" fontId="22" fillId="0" borderId="35" xfId="3" applyNumberFormat="1" applyFont="1" applyBorder="1" applyAlignment="1">
      <alignment horizontal="center"/>
    </xf>
    <xf numFmtId="176" fontId="15" fillId="3" borderId="35" xfId="3" applyNumberFormat="1" applyFont="1" applyFill="1" applyBorder="1" applyAlignment="1">
      <alignment horizontal="center"/>
    </xf>
    <xf numFmtId="176" fontId="22" fillId="0" borderId="36" xfId="3" applyNumberFormat="1" applyFont="1" applyBorder="1" applyAlignment="1">
      <alignment horizontal="center"/>
    </xf>
    <xf numFmtId="176" fontId="22" fillId="0" borderId="6" xfId="3" applyNumberFormat="1" applyFont="1" applyBorder="1" applyAlignment="1">
      <alignment horizontal="center"/>
    </xf>
    <xf numFmtId="176" fontId="15" fillId="3" borderId="6" xfId="3" applyNumberFormat="1" applyFont="1" applyFill="1" applyBorder="1" applyAlignment="1">
      <alignment horizontal="center"/>
    </xf>
    <xf numFmtId="176" fontId="22" fillId="0" borderId="20" xfId="3" applyNumberFormat="1" applyFont="1" applyBorder="1" applyAlignment="1">
      <alignment horizontal="center"/>
    </xf>
    <xf numFmtId="176" fontId="22" fillId="0" borderId="0" xfId="3" applyNumberFormat="1" applyFont="1" applyBorder="1" applyAlignment="1">
      <alignment horizontal="center"/>
    </xf>
    <xf numFmtId="176" fontId="15" fillId="3" borderId="0" xfId="3" applyNumberFormat="1" applyFont="1" applyFill="1" applyBorder="1" applyAlignment="1">
      <alignment horizontal="center"/>
    </xf>
    <xf numFmtId="176" fontId="22" fillId="0" borderId="14" xfId="3" applyNumberFormat="1" applyFont="1" applyBorder="1" applyAlignment="1">
      <alignment horizontal="center"/>
    </xf>
    <xf numFmtId="0" fontId="10" fillId="0" borderId="0" xfId="9" applyFont="1"/>
    <xf numFmtId="44" fontId="15" fillId="3" borderId="0" xfId="13" applyFont="1" applyFill="1"/>
    <xf numFmtId="2" fontId="15" fillId="3" borderId="0" xfId="9" applyNumberFormat="1" applyFont="1" applyFill="1"/>
    <xf numFmtId="43" fontId="15" fillId="3" borderId="0" xfId="9" applyNumberFormat="1" applyFont="1" applyFill="1"/>
    <xf numFmtId="174" fontId="15" fillId="3" borderId="0" xfId="9" applyNumberFormat="1" applyFont="1" applyFill="1"/>
    <xf numFmtId="176" fontId="15" fillId="3" borderId="0" xfId="14" applyNumberFormat="1" applyFont="1" applyFill="1"/>
    <xf numFmtId="3" fontId="15" fillId="3" borderId="0" xfId="9" applyNumberFormat="1" applyFont="1" applyFill="1"/>
    <xf numFmtId="0" fontId="17" fillId="0" borderId="0" xfId="0" applyFont="1"/>
    <xf numFmtId="176" fontId="15" fillId="3" borderId="0" xfId="3" applyNumberFormat="1" applyFont="1" applyFill="1" applyBorder="1"/>
    <xf numFmtId="9" fontId="15" fillId="3" borderId="0" xfId="14" applyFont="1" applyFill="1"/>
    <xf numFmtId="176" fontId="22" fillId="3" borderId="0" xfId="3" applyNumberFormat="1" applyFont="1" applyFill="1" applyBorder="1" applyAlignment="1">
      <alignment horizontal="center"/>
    </xf>
    <xf numFmtId="0" fontId="19" fillId="3" borderId="0" xfId="9" applyFont="1" applyFill="1"/>
    <xf numFmtId="178" fontId="0" fillId="0" borderId="0" xfId="1" applyNumberFormat="1" applyFont="1" applyFill="1"/>
    <xf numFmtId="176" fontId="0" fillId="0" borderId="0" xfId="3" applyNumberFormat="1" applyFont="1" applyFill="1"/>
    <xf numFmtId="181" fontId="0" fillId="0" borderId="0" xfId="0" applyNumberFormat="1"/>
    <xf numFmtId="2" fontId="0" fillId="0" borderId="0" xfId="0" applyNumberFormat="1"/>
    <xf numFmtId="0" fontId="0" fillId="3" borderId="0" xfId="0" applyFill="1"/>
    <xf numFmtId="178" fontId="0" fillId="3" borderId="0" xfId="0" applyNumberFormat="1" applyFill="1"/>
    <xf numFmtId="43" fontId="0" fillId="3" borderId="0" xfId="0" applyNumberFormat="1" applyFill="1"/>
    <xf numFmtId="176" fontId="0" fillId="3" borderId="0" xfId="3" applyNumberFormat="1" applyFont="1" applyFill="1" applyBorder="1"/>
    <xf numFmtId="178" fontId="0" fillId="3" borderId="0" xfId="1" applyNumberFormat="1" applyFont="1" applyFill="1" applyBorder="1"/>
    <xf numFmtId="183" fontId="0" fillId="3" borderId="0" xfId="0" applyNumberFormat="1" applyFill="1"/>
    <xf numFmtId="2" fontId="0" fillId="3" borderId="0" xfId="0" applyNumberFormat="1" applyFill="1"/>
    <xf numFmtId="170" fontId="15" fillId="8" borderId="8" xfId="0" applyNumberFormat="1" applyFont="1" applyFill="1" applyBorder="1"/>
    <xf numFmtId="170" fontId="15" fillId="8" borderId="32" xfId="0" applyNumberFormat="1" applyFont="1" applyFill="1" applyBorder="1"/>
    <xf numFmtId="44" fontId="15" fillId="5" borderId="27" xfId="0" applyNumberFormat="1" applyFont="1" applyFill="1" applyBorder="1"/>
    <xf numFmtId="170" fontId="15" fillId="8" borderId="27" xfId="0" applyNumberFormat="1" applyFont="1" applyFill="1" applyBorder="1"/>
    <xf numFmtId="170" fontId="15" fillId="5" borderId="27" xfId="0" applyNumberFormat="1" applyFont="1" applyFill="1" applyBorder="1"/>
    <xf numFmtId="170" fontId="15" fillId="8" borderId="33" xfId="0" applyNumberFormat="1" applyFont="1" applyFill="1" applyBorder="1"/>
    <xf numFmtId="44" fontId="17" fillId="8" borderId="27" xfId="0" applyNumberFormat="1" applyFont="1" applyFill="1" applyBorder="1"/>
    <xf numFmtId="170" fontId="15" fillId="5" borderId="33" xfId="0" applyNumberFormat="1" applyFont="1" applyFill="1" applyBorder="1"/>
    <xf numFmtId="170" fontId="15" fillId="8" borderId="0" xfId="0" applyNumberFormat="1" applyFont="1" applyFill="1" applyBorder="1"/>
    <xf numFmtId="2" fontId="23" fillId="5" borderId="0" xfId="0" applyNumberFormat="1" applyFont="1" applyFill="1" applyBorder="1"/>
    <xf numFmtId="174" fontId="15" fillId="5" borderId="0" xfId="0" applyNumberFormat="1" applyFont="1" applyFill="1" applyBorder="1"/>
    <xf numFmtId="170" fontId="15" fillId="5" borderId="0" xfId="0" applyNumberFormat="1" applyFont="1" applyFill="1" applyBorder="1"/>
    <xf numFmtId="0" fontId="15" fillId="5" borderId="0" xfId="0" applyFont="1" applyFill="1" applyBorder="1"/>
    <xf numFmtId="0" fontId="15" fillId="8" borderId="0" xfId="0" applyFont="1" applyFill="1" applyBorder="1"/>
    <xf numFmtId="0" fontId="15" fillId="0" borderId="7" xfId="0" applyFont="1" applyBorder="1" applyAlignment="1">
      <alignment horizontal="right"/>
    </xf>
    <xf numFmtId="0" fontId="15" fillId="0" borderId="9" xfId="0" applyFont="1" applyBorder="1" applyAlignment="1">
      <alignment horizontal="right"/>
    </xf>
    <xf numFmtId="14" fontId="15" fillId="0" borderId="7" xfId="0" applyNumberFormat="1" applyFont="1" applyBorder="1"/>
    <xf numFmtId="44" fontId="15" fillId="0" borderId="8" xfId="0" applyNumberFormat="1" applyFont="1" applyBorder="1"/>
    <xf numFmtId="44" fontId="15" fillId="0" borderId="9" xfId="0" applyNumberFormat="1" applyFont="1" applyBorder="1"/>
    <xf numFmtId="44" fontId="15" fillId="0" borderId="0" xfId="0" applyNumberFormat="1" applyFont="1" applyBorder="1"/>
    <xf numFmtId="0" fontId="15" fillId="0" borderId="0" xfId="0" applyFont="1" applyBorder="1"/>
    <xf numFmtId="0" fontId="17" fillId="0" borderId="7" xfId="0" applyFont="1" applyBorder="1"/>
    <xf numFmtId="0" fontId="17" fillId="0" borderId="8" xfId="0" applyFont="1" applyBorder="1"/>
    <xf numFmtId="2" fontId="17" fillId="0" borderId="9" xfId="0" applyNumberFormat="1" applyFont="1" applyBorder="1"/>
    <xf numFmtId="0" fontId="15" fillId="0" borderId="26" xfId="0" applyFont="1" applyBorder="1"/>
    <xf numFmtId="0" fontId="15" fillId="0" borderId="23" xfId="0" applyFont="1" applyBorder="1"/>
    <xf numFmtId="0" fontId="15" fillId="0" borderId="10" xfId="0" applyFont="1" applyBorder="1"/>
    <xf numFmtId="0" fontId="15" fillId="0" borderId="11" xfId="0" applyFont="1" applyBorder="1"/>
    <xf numFmtId="0" fontId="15" fillId="4" borderId="1" xfId="0" applyFont="1" applyFill="1" applyBorder="1"/>
    <xf numFmtId="10" fontId="15" fillId="4" borderId="13" xfId="3" applyNumberFormat="1" applyFont="1" applyFill="1" applyBorder="1"/>
    <xf numFmtId="0" fontId="7" fillId="3" borderId="0" xfId="0" applyFont="1" applyFill="1" applyAlignment="1">
      <alignment horizontal="left" indent="2"/>
    </xf>
    <xf numFmtId="0" fontId="7" fillId="3" borderId="6" xfId="0" applyFont="1" applyFill="1" applyBorder="1" applyAlignment="1">
      <alignment horizontal="left" indent="2"/>
    </xf>
    <xf numFmtId="170" fontId="1" fillId="3" borderId="20" xfId="0" applyNumberFormat="1" applyFont="1" applyFill="1" applyBorder="1"/>
    <xf numFmtId="170" fontId="1" fillId="3" borderId="14" xfId="0" applyNumberFormat="1" applyFont="1" applyFill="1" applyBorder="1"/>
    <xf numFmtId="170" fontId="1" fillId="5" borderId="14" xfId="0" applyNumberFormat="1" applyFont="1" applyFill="1" applyBorder="1"/>
    <xf numFmtId="170" fontId="1" fillId="5" borderId="38" xfId="0" applyNumberFormat="1" applyFont="1" applyFill="1" applyBorder="1"/>
    <xf numFmtId="0" fontId="3" fillId="3" borderId="6" xfId="0" applyFont="1" applyFill="1" applyBorder="1" applyAlignment="1">
      <alignment horizontal="left"/>
    </xf>
    <xf numFmtId="37" fontId="1" fillId="3" borderId="22" xfId="0" applyNumberFormat="1" applyFont="1" applyFill="1" applyBorder="1"/>
    <xf numFmtId="0" fontId="7" fillId="6" borderId="0" xfId="0" applyFont="1" applyFill="1" applyAlignment="1">
      <alignment horizontal="left" indent="1"/>
    </xf>
    <xf numFmtId="0" fontId="7" fillId="0" borderId="0" xfId="0" applyFont="1" applyFill="1" applyAlignment="1">
      <alignment horizontal="left" indent="1"/>
    </xf>
    <xf numFmtId="173" fontId="4" fillId="3" borderId="0" xfId="0" applyNumberFormat="1" applyFont="1" applyFill="1" applyBorder="1"/>
    <xf numFmtId="37" fontId="12" fillId="3" borderId="4" xfId="0" applyNumberFormat="1" applyFont="1" applyFill="1" applyBorder="1"/>
    <xf numFmtId="37" fontId="12" fillId="5" borderId="0" xfId="0" applyNumberFormat="1" applyFont="1" applyFill="1"/>
    <xf numFmtId="37" fontId="7" fillId="3" borderId="4" xfId="0" applyNumberFormat="1" applyFont="1" applyFill="1" applyBorder="1"/>
    <xf numFmtId="37" fontId="7" fillId="5" borderId="0" xfId="0" applyNumberFormat="1" applyFont="1" applyFill="1"/>
    <xf numFmtId="37" fontId="12" fillId="5" borderId="0" xfId="0" applyNumberFormat="1" applyFont="1" applyFill="1" applyBorder="1"/>
    <xf numFmtId="165" fontId="6" fillId="5" borderId="0" xfId="0" applyNumberFormat="1" applyFont="1" applyFill="1"/>
    <xf numFmtId="0" fontId="2" fillId="3" borderId="0" xfId="0" applyFont="1" applyFill="1" applyBorder="1"/>
    <xf numFmtId="165" fontId="4" fillId="3" borderId="0" xfId="0" applyNumberFormat="1" applyFont="1" applyFill="1" applyBorder="1"/>
    <xf numFmtId="165" fontId="1" fillId="3" borderId="22" xfId="0" applyNumberFormat="1" applyFont="1" applyFill="1" applyBorder="1"/>
    <xf numFmtId="165" fontId="6" fillId="3" borderId="22" xfId="0" applyNumberFormat="1" applyFont="1" applyFill="1" applyBorder="1"/>
    <xf numFmtId="170" fontId="3" fillId="3" borderId="21" xfId="0" applyNumberFormat="1" applyFont="1" applyFill="1" applyBorder="1"/>
    <xf numFmtId="170" fontId="1" fillId="0" borderId="22" xfId="0" applyNumberFormat="1" applyFont="1" applyFill="1" applyBorder="1"/>
    <xf numFmtId="170" fontId="1" fillId="3" borderId="40" xfId="0" applyNumberFormat="1" applyFont="1" applyFill="1" applyBorder="1"/>
    <xf numFmtId="173" fontId="4" fillId="3" borderId="4" xfId="0" applyNumberFormat="1" applyFont="1" applyFill="1" applyBorder="1"/>
    <xf numFmtId="173" fontId="4" fillId="3" borderId="2" xfId="0" applyNumberFormat="1" applyFont="1" applyFill="1" applyBorder="1"/>
    <xf numFmtId="170" fontId="13" fillId="3" borderId="4" xfId="0" applyNumberFormat="1" applyFont="1" applyFill="1" applyBorder="1"/>
    <xf numFmtId="165" fontId="5" fillId="3" borderId="0" xfId="0" applyNumberFormat="1" applyFont="1" applyFill="1"/>
    <xf numFmtId="165" fontId="6" fillId="5" borderId="0" xfId="0" applyNumberFormat="1" applyFont="1" applyFill="1" applyBorder="1"/>
    <xf numFmtId="37" fontId="12" fillId="3" borderId="17" xfId="0" applyNumberFormat="1" applyFont="1" applyFill="1" applyBorder="1"/>
    <xf numFmtId="37" fontId="12" fillId="5" borderId="6" xfId="0" applyNumberFormat="1" applyFont="1" applyFill="1" applyBorder="1"/>
    <xf numFmtId="37" fontId="6" fillId="5" borderId="6" xfId="0" applyNumberFormat="1" applyFont="1" applyFill="1" applyBorder="1"/>
    <xf numFmtId="37" fontId="6" fillId="3" borderId="21" xfId="0" applyNumberFormat="1" applyFont="1" applyFill="1" applyBorder="1"/>
    <xf numFmtId="37" fontId="1" fillId="3" borderId="17" xfId="0" applyNumberFormat="1" applyFont="1" applyFill="1" applyBorder="1"/>
    <xf numFmtId="170" fontId="12" fillId="3" borderId="17" xfId="0" applyNumberFormat="1" applyFont="1" applyFill="1" applyBorder="1"/>
    <xf numFmtId="170" fontId="12" fillId="5" borderId="6" xfId="0" applyNumberFormat="1" applyFont="1" applyFill="1" applyBorder="1"/>
    <xf numFmtId="44" fontId="1" fillId="0" borderId="4" xfId="0" applyNumberFormat="1" applyFont="1" applyFill="1" applyBorder="1"/>
    <xf numFmtId="44" fontId="1" fillId="0" borderId="22" xfId="0" applyNumberFormat="1" applyFont="1" applyFill="1" applyBorder="1"/>
    <xf numFmtId="165" fontId="7" fillId="3" borderId="22" xfId="0" applyNumberFormat="1" applyFont="1" applyFill="1" applyBorder="1"/>
    <xf numFmtId="176" fontId="6" fillId="3" borderId="4" xfId="0" applyNumberFormat="1" applyFont="1" applyFill="1" applyBorder="1"/>
    <xf numFmtId="165" fontId="6" fillId="3" borderId="5" xfId="0" applyNumberFormat="1" applyFont="1" applyFill="1" applyBorder="1"/>
    <xf numFmtId="10" fontId="6" fillId="3" borderId="4" xfId="0" applyNumberFormat="1" applyFont="1" applyFill="1" applyBorder="1"/>
    <xf numFmtId="166" fontId="5" fillId="3" borderId="0" xfId="0" applyNumberFormat="1" applyFont="1" applyFill="1"/>
    <xf numFmtId="170" fontId="6" fillId="3" borderId="22" xfId="0" applyNumberFormat="1" applyFont="1" applyFill="1" applyBorder="1"/>
    <xf numFmtId="166" fontId="1" fillId="3" borderId="22" xfId="0" applyNumberFormat="1" applyFont="1" applyFill="1" applyBorder="1"/>
    <xf numFmtId="168" fontId="1" fillId="3" borderId="22" xfId="0" applyNumberFormat="1" applyFont="1" applyFill="1" applyBorder="1"/>
    <xf numFmtId="168" fontId="1" fillId="3" borderId="4" xfId="0" applyNumberFormat="1" applyFont="1" applyFill="1" applyBorder="1"/>
    <xf numFmtId="164" fontId="2" fillId="7" borderId="5" xfId="0" applyNumberFormat="1" applyFont="1" applyFill="1" applyBorder="1" applyAlignment="1">
      <alignment horizontal="center"/>
    </xf>
    <xf numFmtId="173" fontId="4" fillId="3" borderId="16" xfId="0" applyNumberFormat="1" applyFont="1" applyFill="1" applyBorder="1"/>
    <xf numFmtId="10" fontId="7" fillId="3" borderId="4" xfId="0" applyNumberFormat="1" applyFont="1" applyFill="1" applyBorder="1"/>
    <xf numFmtId="173" fontId="4" fillId="3" borderId="19" xfId="0" applyNumberFormat="1" applyFont="1" applyFill="1" applyBorder="1"/>
    <xf numFmtId="165" fontId="6" fillId="5" borderId="38" xfId="0" applyNumberFormat="1" applyFont="1" applyFill="1" applyBorder="1"/>
    <xf numFmtId="165" fontId="17" fillId="8" borderId="12" xfId="3" applyNumberFormat="1" applyFont="1" applyFill="1" applyBorder="1"/>
    <xf numFmtId="165" fontId="7" fillId="5" borderId="0" xfId="0" applyNumberFormat="1" applyFont="1" applyFill="1" applyBorder="1"/>
    <xf numFmtId="0" fontId="6" fillId="3" borderId="4" xfId="0" applyFont="1" applyFill="1" applyBorder="1"/>
    <xf numFmtId="0" fontId="5" fillId="3" borderId="0" xfId="0" applyNumberFormat="1" applyFont="1" applyFill="1"/>
    <xf numFmtId="166" fontId="6" fillId="5" borderId="0" xfId="0" applyNumberFormat="1" applyFont="1" applyFill="1" applyBorder="1"/>
    <xf numFmtId="166" fontId="6" fillId="3" borderId="4" xfId="0" applyNumberFormat="1" applyFont="1" applyFill="1" applyBorder="1"/>
    <xf numFmtId="173" fontId="1" fillId="3" borderId="4" xfId="0" applyNumberFormat="1" applyFont="1" applyFill="1" applyBorder="1"/>
    <xf numFmtId="39" fontId="6" fillId="5" borderId="0" xfId="0" applyNumberFormat="1" applyFont="1" applyFill="1" applyBorder="1"/>
    <xf numFmtId="0" fontId="6" fillId="5" borderId="0" xfId="0" applyFont="1" applyFill="1" applyBorder="1"/>
    <xf numFmtId="39" fontId="6" fillId="3" borderId="4" xfId="0" applyNumberFormat="1" applyFont="1" applyFill="1" applyBorder="1"/>
    <xf numFmtId="170" fontId="4" fillId="3" borderId="22" xfId="0" applyNumberFormat="1" applyFont="1" applyFill="1" applyBorder="1"/>
    <xf numFmtId="44" fontId="4" fillId="3" borderId="4" xfId="0" applyNumberFormat="1" applyFont="1" applyFill="1" applyBorder="1"/>
    <xf numFmtId="170" fontId="15" fillId="0" borderId="0" xfId="0" applyNumberFormat="1" applyFont="1"/>
    <xf numFmtId="170" fontId="17" fillId="0" borderId="0" xfId="0" applyNumberFormat="1" applyFont="1"/>
    <xf numFmtId="44" fontId="17" fillId="0" borderId="0" xfId="0" applyNumberFormat="1" applyFont="1"/>
    <xf numFmtId="0" fontId="1" fillId="0" borderId="0" xfId="0" applyFont="1" applyFill="1"/>
    <xf numFmtId="0" fontId="2" fillId="0" borderId="0" xfId="0" applyFont="1" applyFill="1" applyAlignment="1">
      <alignment horizontal="left"/>
    </xf>
    <xf numFmtId="44" fontId="7" fillId="0" borderId="22" xfId="0" applyNumberFormat="1" applyFont="1" applyFill="1" applyBorder="1"/>
    <xf numFmtId="44" fontId="7" fillId="0" borderId="4" xfId="0" applyNumberFormat="1" applyFont="1" applyFill="1" applyBorder="1"/>
    <xf numFmtId="44" fontId="7" fillId="3" borderId="0" xfId="0" applyNumberFormat="1" applyFont="1" applyFill="1"/>
    <xf numFmtId="165" fontId="7" fillId="0" borderId="4" xfId="0" applyNumberFormat="1" applyFont="1" applyFill="1" applyBorder="1"/>
    <xf numFmtId="170" fontId="19" fillId="0" borderId="0" xfId="0" applyNumberFormat="1" applyFont="1"/>
    <xf numFmtId="0" fontId="17" fillId="0" borderId="0" xfId="0" applyFont="1" applyAlignment="1">
      <alignment horizontal="centerContinuous"/>
    </xf>
    <xf numFmtId="0" fontId="17" fillId="0" borderId="0" xfId="0" applyFont="1" applyAlignment="1">
      <alignment horizontal="left"/>
    </xf>
    <xf numFmtId="0" fontId="17" fillId="0" borderId="0" xfId="0" applyFont="1" applyAlignment="1">
      <alignment horizontal="center" wrapText="1"/>
    </xf>
    <xf numFmtId="165" fontId="19" fillId="0" borderId="0" xfId="0" applyNumberFormat="1" applyFont="1"/>
    <xf numFmtId="170" fontId="15" fillId="0" borderId="0" xfId="0" applyNumberFormat="1" applyFont="1" applyFill="1" applyAlignment="1">
      <alignment horizontal="centerContinuous"/>
    </xf>
    <xf numFmtId="165" fontId="6" fillId="0" borderId="4" xfId="0" applyNumberFormat="1" applyFont="1" applyFill="1" applyBorder="1"/>
    <xf numFmtId="170" fontId="12" fillId="3" borderId="14" xfId="0" applyNumberFormat="1" applyFont="1" applyFill="1" applyBorder="1"/>
    <xf numFmtId="170" fontId="12" fillId="5" borderId="14" xfId="0" applyNumberFormat="1" applyFont="1" applyFill="1" applyBorder="1"/>
    <xf numFmtId="170" fontId="3" fillId="3" borderId="14" xfId="0" applyNumberFormat="1" applyFont="1" applyFill="1" applyBorder="1"/>
    <xf numFmtId="170" fontId="3" fillId="5" borderId="0" xfId="0" applyNumberFormat="1" applyFont="1" applyFill="1" applyBorder="1"/>
    <xf numFmtId="170" fontId="3" fillId="5" borderId="14" xfId="0" applyNumberFormat="1" applyFont="1" applyFill="1" applyBorder="1"/>
    <xf numFmtId="165" fontId="6" fillId="3" borderId="14" xfId="0" applyNumberFormat="1" applyFont="1" applyFill="1" applyBorder="1"/>
    <xf numFmtId="165" fontId="7" fillId="3" borderId="14" xfId="0" applyNumberFormat="1" applyFont="1" applyFill="1" applyBorder="1"/>
    <xf numFmtId="165" fontId="7" fillId="5" borderId="14" xfId="0" applyNumberFormat="1" applyFont="1" applyFill="1" applyBorder="1"/>
    <xf numFmtId="0" fontId="1" fillId="3" borderId="42" xfId="0" applyFont="1" applyFill="1" applyBorder="1"/>
    <xf numFmtId="173" fontId="4" fillId="3" borderId="3" xfId="0" applyNumberFormat="1" applyFont="1" applyFill="1" applyBorder="1"/>
    <xf numFmtId="44" fontId="4" fillId="3" borderId="22" xfId="0" applyNumberFormat="1" applyFont="1" applyFill="1" applyBorder="1"/>
    <xf numFmtId="170" fontId="4" fillId="0" borderId="22" xfId="0" applyNumberFormat="1" applyFont="1" applyFill="1" applyBorder="1"/>
    <xf numFmtId="170" fontId="4" fillId="3" borderId="21" xfId="0" applyNumberFormat="1" applyFont="1" applyFill="1" applyBorder="1"/>
    <xf numFmtId="165" fontId="6" fillId="5" borderId="14" xfId="0" applyNumberFormat="1" applyFont="1" applyFill="1" applyBorder="1"/>
    <xf numFmtId="170" fontId="19" fillId="8" borderId="27" xfId="0" applyNumberFormat="1" applyFont="1" applyFill="1" applyBorder="1"/>
    <xf numFmtId="3" fontId="18" fillId="0" borderId="6" xfId="11" applyNumberFormat="1" applyFont="1" applyFill="1" applyBorder="1" applyAlignment="1">
      <alignment horizontal="center"/>
    </xf>
    <xf numFmtId="3" fontId="18" fillId="0" borderId="20" xfId="11" applyNumberFormat="1" applyFont="1" applyFill="1" applyBorder="1" applyAlignment="1">
      <alignment horizontal="center"/>
    </xf>
    <xf numFmtId="0" fontId="22" fillId="0" borderId="20" xfId="9" applyFont="1" applyBorder="1" applyAlignment="1">
      <alignment horizontal="center"/>
    </xf>
    <xf numFmtId="37" fontId="18" fillId="0" borderId="0" xfId="11" applyNumberFormat="1" applyFont="1" applyFill="1" applyBorder="1" applyAlignment="1">
      <alignment horizontal="center"/>
    </xf>
    <xf numFmtId="37" fontId="18" fillId="0" borderId="14" xfId="11" applyNumberFormat="1" applyFont="1" applyFill="1" applyBorder="1" applyAlignment="1">
      <alignment horizontal="center"/>
    </xf>
    <xf numFmtId="165" fontId="18" fillId="3" borderId="0" xfId="3" applyNumberFormat="1" applyFont="1" applyFill="1" applyBorder="1" applyAlignment="1">
      <alignment horizontal="center"/>
    </xf>
    <xf numFmtId="165" fontId="18" fillId="3" borderId="14" xfId="3" applyNumberFormat="1" applyFont="1" applyFill="1" applyBorder="1" applyAlignment="1">
      <alignment horizontal="center"/>
    </xf>
    <xf numFmtId="0" fontId="3" fillId="0" borderId="0" xfId="0" applyFont="1" applyFill="1" applyAlignment="1">
      <alignment horizontal="left"/>
    </xf>
    <xf numFmtId="0" fontId="8" fillId="6" borderId="0" xfId="0" applyFont="1" applyFill="1" applyAlignment="1">
      <alignment horizontal="left" indent="1"/>
    </xf>
    <xf numFmtId="165" fontId="7" fillId="6" borderId="14" xfId="0" applyNumberFormat="1" applyFont="1" applyFill="1" applyBorder="1"/>
    <xf numFmtId="165" fontId="7" fillId="6" borderId="0" xfId="0" applyNumberFormat="1" applyFont="1" applyFill="1" applyBorder="1"/>
    <xf numFmtId="0" fontId="2" fillId="6" borderId="15" xfId="0" applyFont="1" applyFill="1" applyBorder="1" applyAlignment="1">
      <alignment horizontal="left"/>
    </xf>
    <xf numFmtId="170" fontId="4" fillId="6" borderId="18" xfId="0" applyNumberFormat="1" applyFont="1" applyFill="1" applyBorder="1"/>
    <xf numFmtId="170" fontId="4" fillId="6" borderId="15" xfId="0" applyNumberFormat="1" applyFont="1" applyFill="1" applyBorder="1"/>
    <xf numFmtId="170" fontId="4" fillId="6" borderId="32" xfId="0" applyNumberFormat="1" applyFont="1" applyFill="1" applyBorder="1"/>
    <xf numFmtId="170" fontId="4" fillId="6" borderId="40" xfId="0" applyNumberFormat="1" applyFont="1" applyFill="1" applyBorder="1"/>
    <xf numFmtId="170" fontId="4" fillId="6" borderId="41" xfId="0" applyNumberFormat="1" applyFont="1" applyFill="1" applyBorder="1"/>
    <xf numFmtId="0" fontId="1" fillId="5" borderId="43" xfId="0" applyFont="1" applyFill="1" applyBorder="1" applyAlignment="1">
      <alignment horizontal="right"/>
    </xf>
    <xf numFmtId="170" fontId="12" fillId="5" borderId="1" xfId="0" applyNumberFormat="1" applyFont="1" applyFill="1" applyBorder="1"/>
    <xf numFmtId="0" fontId="12" fillId="5" borderId="13" xfId="0" applyFont="1" applyFill="1" applyBorder="1"/>
    <xf numFmtId="170" fontId="6" fillId="5" borderId="1" xfId="0" applyNumberFormat="1" applyFont="1" applyFill="1" applyBorder="1"/>
    <xf numFmtId="0" fontId="6" fillId="5" borderId="13" xfId="0" applyFont="1" applyFill="1" applyBorder="1"/>
    <xf numFmtId="170" fontId="7" fillId="5" borderId="16" xfId="0" applyNumberFormat="1" applyFont="1" applyFill="1" applyBorder="1"/>
    <xf numFmtId="0" fontId="1" fillId="5" borderId="13" xfId="0" applyFont="1" applyFill="1" applyBorder="1"/>
    <xf numFmtId="170" fontId="33" fillId="0" borderId="0" xfId="0" applyNumberFormat="1" applyFont="1"/>
    <xf numFmtId="0" fontId="17" fillId="0" borderId="0" xfId="0" applyFont="1" applyAlignment="1">
      <alignment wrapText="1"/>
    </xf>
    <xf numFmtId="0" fontId="19" fillId="0" borderId="0" xfId="0" applyFont="1"/>
    <xf numFmtId="44" fontId="15" fillId="3" borderId="0" xfId="9" applyNumberFormat="1" applyFont="1" applyFill="1"/>
    <xf numFmtId="170" fontId="3" fillId="3" borderId="4" xfId="0" applyNumberFormat="1" applyFont="1" applyFill="1" applyBorder="1"/>
    <xf numFmtId="170" fontId="3" fillId="5" borderId="22" xfId="0" applyNumberFormat="1" applyFont="1" applyFill="1" applyBorder="1"/>
    <xf numFmtId="44" fontId="1" fillId="5" borderId="16" xfId="0" applyNumberFormat="1" applyFont="1" applyFill="1" applyBorder="1"/>
    <xf numFmtId="184" fontId="15" fillId="3" borderId="0" xfId="9" applyNumberFormat="1" applyFont="1" applyFill="1"/>
    <xf numFmtId="165" fontId="6" fillId="0" borderId="22" xfId="0" applyNumberFormat="1" applyFont="1" applyFill="1" applyBorder="1"/>
    <xf numFmtId="0" fontId="15" fillId="0" borderId="0" xfId="0" applyFont="1" applyFill="1" applyBorder="1" applyAlignment="1">
      <alignment horizontal="centerContinuous" vertical="center"/>
    </xf>
    <xf numFmtId="0" fontId="17" fillId="0" borderId="6" xfId="0" applyFont="1" applyBorder="1"/>
    <xf numFmtId="2" fontId="15" fillId="0" borderId="39" xfId="0" applyNumberFormat="1" applyFont="1" applyBorder="1"/>
    <xf numFmtId="0" fontId="17" fillId="2" borderId="16" xfId="0" applyFont="1" applyFill="1" applyBorder="1" applyAlignment="1">
      <alignment horizontal="centerContinuous"/>
    </xf>
    <xf numFmtId="0" fontId="20" fillId="0" borderId="27" xfId="0" applyFont="1" applyBorder="1"/>
    <xf numFmtId="0" fontId="17" fillId="2" borderId="1" xfId="0" applyFont="1" applyFill="1" applyBorder="1" applyAlignment="1">
      <alignment horizontal="center"/>
    </xf>
    <xf numFmtId="0" fontId="17" fillId="2" borderId="16" xfId="0" applyFont="1" applyFill="1" applyBorder="1" applyAlignment="1">
      <alignment horizontal="center"/>
    </xf>
    <xf numFmtId="0" fontId="17" fillId="2" borderId="13" xfId="0" applyFont="1" applyFill="1" applyBorder="1" applyAlignment="1">
      <alignment horizontal="center"/>
    </xf>
    <xf numFmtId="0" fontId="17" fillId="2" borderId="1" xfId="0" applyFont="1" applyFill="1" applyBorder="1" applyAlignment="1">
      <alignment horizontal="center" vertical="center"/>
    </xf>
    <xf numFmtId="0" fontId="17" fillId="2" borderId="13" xfId="0" applyFont="1" applyFill="1" applyBorder="1" applyAlignment="1">
      <alignment horizontal="center" vertical="center"/>
    </xf>
    <xf numFmtId="0" fontId="16" fillId="2" borderId="16" xfId="4" applyFont="1" applyFill="1" applyBorder="1" applyAlignment="1">
      <alignment horizontal="left" vertical="center"/>
    </xf>
    <xf numFmtId="0" fontId="16" fillId="2" borderId="13" xfId="4" applyFont="1" applyFill="1" applyBorder="1" applyAlignment="1">
      <alignment horizontal="right" vertical="center"/>
    </xf>
    <xf numFmtId="0" fontId="22" fillId="0" borderId="34" xfId="9" applyFont="1" applyBorder="1" applyAlignment="1">
      <alignment horizontal="center"/>
    </xf>
    <xf numFmtId="0" fontId="22" fillId="0" borderId="35" xfId="9" applyFont="1" applyBorder="1" applyAlignment="1">
      <alignment horizontal="center"/>
    </xf>
    <xf numFmtId="0" fontId="22" fillId="0" borderId="6" xfId="9" applyFont="1" applyBorder="1" applyAlignment="1">
      <alignment horizontal="center"/>
    </xf>
    <xf numFmtId="0" fontId="22" fillId="0" borderId="21" xfId="9" applyFont="1" applyBorder="1" applyAlignment="1">
      <alignment horizontal="left"/>
    </xf>
    <xf numFmtId="0" fontId="22" fillId="0" borderId="34" xfId="9" applyFont="1" applyBorder="1" applyAlignment="1">
      <alignment horizontal="left"/>
    </xf>
    <xf numFmtId="0" fontId="15" fillId="8" borderId="23" xfId="0" applyFont="1" applyFill="1" applyBorder="1" applyAlignment="1">
      <alignment horizontal="left" indent="1"/>
    </xf>
    <xf numFmtId="0" fontId="15" fillId="6" borderId="23" xfId="0" applyFont="1" applyFill="1" applyBorder="1" applyAlignment="1">
      <alignment horizontal="left" indent="1"/>
    </xf>
    <xf numFmtId="170" fontId="15" fillId="6" borderId="0" xfId="0" applyNumberFormat="1" applyFont="1" applyFill="1" applyBorder="1"/>
    <xf numFmtId="44" fontId="15" fillId="6" borderId="0" xfId="0" applyNumberFormat="1" applyFont="1" applyFill="1" applyBorder="1"/>
    <xf numFmtId="170" fontId="15" fillId="6" borderId="27" xfId="0" applyNumberFormat="1" applyFont="1" applyFill="1" applyBorder="1"/>
    <xf numFmtId="0" fontId="17" fillId="6" borderId="1" xfId="0" applyFont="1" applyFill="1" applyBorder="1" applyAlignment="1">
      <alignment horizontal="centerContinuous"/>
    </xf>
    <xf numFmtId="0" fontId="17" fillId="6" borderId="16" xfId="0" applyFont="1" applyFill="1" applyBorder="1" applyAlignment="1">
      <alignment horizontal="centerContinuous"/>
    </xf>
    <xf numFmtId="0" fontId="17" fillId="6" borderId="13" xfId="0" applyFont="1" applyFill="1" applyBorder="1" applyAlignment="1">
      <alignment horizontal="centerContinuous"/>
    </xf>
    <xf numFmtId="0" fontId="17" fillId="6" borderId="16" xfId="0" applyFont="1" applyFill="1" applyBorder="1" applyAlignment="1">
      <alignment horizontal="right"/>
    </xf>
    <xf numFmtId="0" fontId="17" fillId="0" borderId="0" xfId="0" applyFont="1" applyFill="1" applyBorder="1" applyAlignment="1">
      <alignment horizontal="centerContinuous"/>
    </xf>
    <xf numFmtId="0" fontId="15" fillId="0" borderId="0" xfId="0" applyFont="1" applyFill="1" applyAlignment="1">
      <alignment horizontal="centerContinuous"/>
    </xf>
    <xf numFmtId="185" fontId="15" fillId="0" borderId="0" xfId="0" applyNumberFormat="1" applyFont="1"/>
    <xf numFmtId="0" fontId="15" fillId="0" borderId="35" xfId="0" applyFont="1" applyBorder="1"/>
    <xf numFmtId="44" fontId="15" fillId="0" borderId="35" xfId="0" applyNumberFormat="1" applyFont="1" applyBorder="1"/>
    <xf numFmtId="170" fontId="15" fillId="0" borderId="35" xfId="0" applyNumberFormat="1" applyFont="1" applyBorder="1"/>
    <xf numFmtId="0" fontId="17" fillId="6" borderId="1" xfId="0" applyFont="1" applyFill="1" applyBorder="1" applyAlignment="1">
      <alignment horizontal="center"/>
    </xf>
    <xf numFmtId="0" fontId="2" fillId="0" borderId="0" xfId="0" applyFont="1" applyFill="1" applyBorder="1" applyAlignment="1">
      <alignment horizontal="left"/>
    </xf>
    <xf numFmtId="173" fontId="1" fillId="3" borderId="14" xfId="0" applyNumberFormat="1" applyFont="1" applyFill="1" applyBorder="1"/>
    <xf numFmtId="44" fontId="1" fillId="3" borderId="4" xfId="0" applyNumberFormat="1" applyFont="1" applyFill="1" applyBorder="1"/>
    <xf numFmtId="165" fontId="15" fillId="0" borderId="35" xfId="0" applyNumberFormat="1" applyFont="1" applyBorder="1"/>
    <xf numFmtId="185" fontId="15" fillId="0" borderId="35" xfId="0" applyNumberFormat="1" applyFont="1" applyBorder="1"/>
    <xf numFmtId="0" fontId="15" fillId="0" borderId="0" xfId="0" applyFont="1" applyAlignment="1">
      <alignment horizontal="left"/>
    </xf>
    <xf numFmtId="0" fontId="15" fillId="7" borderId="35" xfId="0" applyFont="1" applyFill="1" applyBorder="1"/>
    <xf numFmtId="186" fontId="15" fillId="7" borderId="35" xfId="0" applyNumberFormat="1" applyFont="1" applyFill="1" applyBorder="1"/>
    <xf numFmtId="185" fontId="15" fillId="7" borderId="35" xfId="0" applyNumberFormat="1" applyFont="1" applyFill="1" applyBorder="1"/>
    <xf numFmtId="0" fontId="17" fillId="2" borderId="35" xfId="0" applyFont="1" applyFill="1" applyBorder="1" applyAlignment="1">
      <alignment horizontal="centerContinuous"/>
    </xf>
    <xf numFmtId="0" fontId="17" fillId="2" borderId="36" xfId="0" applyFont="1" applyFill="1" applyBorder="1" applyAlignment="1">
      <alignment horizontal="centerContinuous"/>
    </xf>
    <xf numFmtId="44" fontId="17" fillId="2" borderId="35" xfId="0" applyNumberFormat="1" applyFont="1" applyFill="1" applyBorder="1" applyAlignment="1">
      <alignment horizontal="centerContinuous"/>
    </xf>
    <xf numFmtId="170" fontId="17" fillId="2" borderId="35" xfId="0" applyNumberFormat="1" applyFont="1" applyFill="1" applyBorder="1" applyAlignment="1">
      <alignment horizontal="centerContinuous"/>
    </xf>
    <xf numFmtId="185" fontId="17" fillId="2" borderId="35" xfId="0" applyNumberFormat="1" applyFont="1" applyFill="1" applyBorder="1" applyAlignment="1">
      <alignment horizontal="centerContinuous"/>
    </xf>
    <xf numFmtId="44" fontId="17" fillId="2" borderId="36" xfId="0" applyNumberFormat="1" applyFont="1" applyFill="1" applyBorder="1" applyAlignment="1">
      <alignment horizontal="centerContinuous"/>
    </xf>
    <xf numFmtId="0" fontId="15" fillId="9" borderId="0" xfId="0" applyFont="1" applyFill="1" applyAlignment="1">
      <alignment horizontal="centerContinuous"/>
    </xf>
    <xf numFmtId="0" fontId="15" fillId="10" borderId="0" xfId="0" applyFont="1" applyFill="1" applyAlignment="1">
      <alignment horizontal="centerContinuous"/>
    </xf>
    <xf numFmtId="0" fontId="18" fillId="9" borderId="0" xfId="0" applyFont="1" applyFill="1"/>
    <xf numFmtId="44" fontId="18" fillId="9" borderId="0" xfId="0" applyNumberFormat="1" applyFont="1" applyFill="1"/>
    <xf numFmtId="170" fontId="18" fillId="9" borderId="0" xfId="0" applyNumberFormat="1" applyFont="1" applyFill="1"/>
    <xf numFmtId="0" fontId="18" fillId="9" borderId="0" xfId="0" applyNumberFormat="1" applyFont="1" applyFill="1"/>
    <xf numFmtId="185" fontId="18" fillId="9" borderId="0" xfId="0" applyNumberFormat="1" applyFont="1" applyFill="1"/>
    <xf numFmtId="176" fontId="18" fillId="9" borderId="0" xfId="3" applyNumberFormat="1" applyFont="1" applyFill="1"/>
    <xf numFmtId="0" fontId="18" fillId="10" borderId="0" xfId="0" applyFont="1" applyFill="1"/>
    <xf numFmtId="44" fontId="18" fillId="10" borderId="0" xfId="0" applyNumberFormat="1" applyFont="1" applyFill="1"/>
    <xf numFmtId="170" fontId="18" fillId="10" borderId="0" xfId="0" applyNumberFormat="1" applyFont="1" applyFill="1"/>
    <xf numFmtId="0" fontId="18" fillId="10" borderId="0" xfId="0" applyNumberFormat="1" applyFont="1" applyFill="1"/>
    <xf numFmtId="185" fontId="18" fillId="10" borderId="0" xfId="0" applyNumberFormat="1" applyFont="1" applyFill="1"/>
    <xf numFmtId="176" fontId="18" fillId="10" borderId="0" xfId="3" applyNumberFormat="1" applyFont="1" applyFill="1"/>
    <xf numFmtId="0" fontId="15" fillId="11" borderId="0" xfId="0" applyFont="1" applyFill="1" applyAlignment="1">
      <alignment horizontal="centerContinuous"/>
    </xf>
    <xf numFmtId="0" fontId="18" fillId="11" borderId="0" xfId="0" applyFont="1" applyFill="1"/>
    <xf numFmtId="44" fontId="18" fillId="11" borderId="0" xfId="0" applyNumberFormat="1" applyFont="1" applyFill="1"/>
    <xf numFmtId="170" fontId="18" fillId="11" borderId="0" xfId="0" applyNumberFormat="1" applyFont="1" applyFill="1"/>
    <xf numFmtId="0" fontId="18" fillId="11" borderId="0" xfId="0" applyNumberFormat="1" applyFont="1" applyFill="1"/>
    <xf numFmtId="185" fontId="18" fillId="11" borderId="0" xfId="0" applyNumberFormat="1" applyFont="1" applyFill="1"/>
    <xf numFmtId="176" fontId="18" fillId="11" borderId="0" xfId="3" applyNumberFormat="1" applyFont="1" applyFill="1"/>
    <xf numFmtId="39" fontId="18" fillId="11" borderId="0" xfId="0" applyNumberFormat="1" applyFont="1" applyFill="1"/>
    <xf numFmtId="39" fontId="18" fillId="9" borderId="0" xfId="0" applyNumberFormat="1" applyFont="1" applyFill="1"/>
    <xf numFmtId="185" fontId="18" fillId="9" borderId="0" xfId="0" applyNumberFormat="1" applyFont="1" applyFill="1" applyAlignment="1">
      <alignment horizontal="right"/>
    </xf>
    <xf numFmtId="176" fontId="18" fillId="11" borderId="0" xfId="3" applyNumberFormat="1" applyFont="1" applyFill="1" applyAlignment="1">
      <alignment horizontal="right"/>
    </xf>
    <xf numFmtId="39" fontId="18" fillId="10" borderId="0" xfId="0" applyNumberFormat="1" applyFont="1" applyFill="1"/>
    <xf numFmtId="2" fontId="15" fillId="0" borderId="35" xfId="0" applyNumberFormat="1" applyFont="1" applyBorder="1"/>
    <xf numFmtId="185" fontId="18" fillId="10" borderId="0" xfId="0" applyNumberFormat="1" applyFont="1" applyFill="1" applyAlignment="1">
      <alignment horizontal="right"/>
    </xf>
    <xf numFmtId="44" fontId="17" fillId="0" borderId="0" xfId="0" applyNumberFormat="1" applyFont="1" applyFill="1" applyBorder="1" applyAlignment="1">
      <alignment horizontal="centerContinuous"/>
    </xf>
    <xf numFmtId="170" fontId="17" fillId="0" borderId="0" xfId="0" applyNumberFormat="1" applyFont="1" applyFill="1" applyBorder="1" applyAlignment="1">
      <alignment horizontal="centerContinuous"/>
    </xf>
    <xf numFmtId="185" fontId="17" fillId="0" borderId="0" xfId="0" applyNumberFormat="1" applyFont="1" applyFill="1" applyBorder="1" applyAlignment="1">
      <alignment horizontal="centerContinuous"/>
    </xf>
    <xf numFmtId="39" fontId="15" fillId="0" borderId="35" xfId="0" applyNumberFormat="1" applyFont="1" applyBorder="1"/>
    <xf numFmtId="0" fontId="17" fillId="0" borderId="0" xfId="0" applyFont="1" applyAlignment="1">
      <alignment horizontal="right"/>
    </xf>
    <xf numFmtId="0" fontId="17" fillId="12" borderId="1" xfId="0" applyFont="1" applyFill="1" applyBorder="1" applyAlignment="1">
      <alignment horizontal="centerContinuous"/>
    </xf>
    <xf numFmtId="0" fontId="17" fillId="10" borderId="16" xfId="0" applyFont="1" applyFill="1" applyBorder="1" applyAlignment="1">
      <alignment horizontal="centerContinuous"/>
    </xf>
    <xf numFmtId="0" fontId="17" fillId="9" borderId="16" xfId="0" applyFont="1" applyFill="1" applyBorder="1" applyAlignment="1">
      <alignment horizontal="centerContinuous"/>
    </xf>
    <xf numFmtId="0" fontId="15" fillId="9" borderId="13" xfId="0" applyFont="1" applyFill="1" applyBorder="1" applyAlignment="1">
      <alignment horizontal="centerContinuous"/>
    </xf>
    <xf numFmtId="0" fontId="17" fillId="12" borderId="44" xfId="0" applyFont="1" applyFill="1" applyBorder="1" applyAlignment="1">
      <alignment horizontal="centerContinuous"/>
    </xf>
    <xf numFmtId="0" fontId="17" fillId="10" borderId="44" xfId="0" applyFont="1" applyFill="1" applyBorder="1" applyAlignment="1">
      <alignment horizontal="centerContinuous"/>
    </xf>
    <xf numFmtId="0" fontId="1" fillId="0" borderId="34" xfId="0" applyFont="1" applyBorder="1" applyAlignment="1">
      <alignment horizontal="centerContinuous"/>
    </xf>
    <xf numFmtId="0" fontId="4" fillId="2" borderId="34" xfId="0" applyFont="1" applyFill="1" applyBorder="1" applyAlignment="1">
      <alignment horizontal="centerContinuous"/>
    </xf>
    <xf numFmtId="0" fontId="16" fillId="2" borderId="25" xfId="4" applyFont="1" applyFill="1" applyBorder="1" applyAlignment="1">
      <alignment horizontal="centerContinuous" vertical="center"/>
    </xf>
    <xf numFmtId="181" fontId="18" fillId="0" borderId="0" xfId="12" quotePrefix="1" applyNumberFormat="1" applyFont="1" applyFill="1" applyBorder="1" applyAlignment="1">
      <alignment horizontal="center"/>
    </xf>
    <xf numFmtId="0" fontId="27" fillId="0" borderId="6" xfId="9" applyFont="1" applyBorder="1" applyAlignment="1">
      <alignment horizontal="left"/>
    </xf>
    <xf numFmtId="0" fontId="22" fillId="0" borderId="37" xfId="9" applyFont="1" applyBorder="1"/>
    <xf numFmtId="0" fontId="22" fillId="0" borderId="24" xfId="9" applyFont="1" applyBorder="1" applyAlignment="1">
      <alignment wrapText="1"/>
    </xf>
    <xf numFmtId="182" fontId="22" fillId="0" borderId="24" xfId="10" quotePrefix="1" applyNumberFormat="1" applyFont="1" applyFill="1" applyBorder="1" applyAlignment="1">
      <alignment horizontal="center"/>
    </xf>
    <xf numFmtId="0" fontId="22" fillId="0" borderId="0" xfId="9" applyFont="1" applyBorder="1"/>
    <xf numFmtId="0" fontId="22" fillId="0" borderId="0" xfId="9" applyFont="1" applyBorder="1" applyAlignment="1">
      <alignment horizontal="center"/>
    </xf>
    <xf numFmtId="182" fontId="22" fillId="0" borderId="0" xfId="9" applyNumberFormat="1" applyFont="1" applyBorder="1" applyAlignment="1">
      <alignment horizontal="center"/>
    </xf>
    <xf numFmtId="0" fontId="22" fillId="0" borderId="24" xfId="9" applyFont="1" applyBorder="1"/>
    <xf numFmtId="0" fontId="22" fillId="0" borderId="24" xfId="9" applyFont="1" applyBorder="1" applyAlignment="1">
      <alignment horizontal="center"/>
    </xf>
    <xf numFmtId="182" fontId="22" fillId="0" borderId="24" xfId="9" applyNumberFormat="1" applyFont="1" applyBorder="1" applyAlignment="1">
      <alignment horizontal="center"/>
    </xf>
    <xf numFmtId="44" fontId="15" fillId="8" borderId="0" xfId="0" applyNumberFormat="1" applyFont="1" applyFill="1" applyBorder="1"/>
    <xf numFmtId="185" fontId="15" fillId="3" borderId="0" xfId="9" applyNumberFormat="1" applyFont="1" applyFill="1"/>
    <xf numFmtId="187" fontId="15" fillId="7" borderId="24" xfId="0" applyNumberFormat="1" applyFont="1" applyFill="1" applyBorder="1"/>
    <xf numFmtId="0" fontId="15" fillId="7" borderId="37" xfId="0" applyFont="1" applyFill="1" applyBorder="1" applyAlignment="1">
      <alignment horizontal="centerContinuous"/>
    </xf>
    <xf numFmtId="0" fontId="15" fillId="7" borderId="24" xfId="0" applyFont="1" applyFill="1" applyBorder="1"/>
    <xf numFmtId="44" fontId="15" fillId="7" borderId="24" xfId="0" applyNumberFormat="1" applyFont="1" applyFill="1" applyBorder="1"/>
    <xf numFmtId="170" fontId="15" fillId="7" borderId="24" xfId="0" applyNumberFormat="1" applyFont="1" applyFill="1" applyBorder="1"/>
    <xf numFmtId="169" fontId="15" fillId="7" borderId="24" xfId="0" applyNumberFormat="1" applyFont="1" applyFill="1" applyBorder="1"/>
    <xf numFmtId="185" fontId="15" fillId="7" borderId="24" xfId="0" applyNumberFormat="1" applyFont="1" applyFill="1" applyBorder="1"/>
    <xf numFmtId="176" fontId="15" fillId="7" borderId="24" xfId="3" applyNumberFormat="1" applyFont="1" applyFill="1" applyBorder="1"/>
    <xf numFmtId="44" fontId="1" fillId="5" borderId="0" xfId="0" applyNumberFormat="1" applyFont="1" applyFill="1" applyBorder="1"/>
    <xf numFmtId="166" fontId="15" fillId="0" borderId="27" xfId="0" applyNumberFormat="1" applyFont="1" applyBorder="1"/>
    <xf numFmtId="44" fontId="15" fillId="5" borderId="0" xfId="0" applyNumberFormat="1" applyFont="1" applyFill="1" applyBorder="1"/>
    <xf numFmtId="14" fontId="15" fillId="0" borderId="0" xfId="0" applyNumberFormat="1" applyFont="1" applyBorder="1"/>
    <xf numFmtId="0" fontId="15" fillId="0" borderId="27" xfId="0" applyFont="1" applyBorder="1"/>
    <xf numFmtId="0" fontId="17" fillId="2" borderId="1" xfId="0" applyFont="1" applyFill="1" applyBorder="1" applyAlignment="1">
      <alignment horizontal="left"/>
    </xf>
    <xf numFmtId="0" fontId="17" fillId="2" borderId="16" xfId="0" applyFont="1" applyFill="1" applyBorder="1"/>
    <xf numFmtId="0" fontId="17" fillId="2" borderId="13" xfId="0" applyFont="1" applyFill="1" applyBorder="1"/>
    <xf numFmtId="0" fontId="15" fillId="7" borderId="10" xfId="0" applyFont="1" applyFill="1" applyBorder="1"/>
    <xf numFmtId="0" fontId="15" fillId="7" borderId="11" xfId="0" applyFont="1" applyFill="1" applyBorder="1"/>
    <xf numFmtId="14" fontId="15" fillId="7" borderId="11" xfId="0" applyNumberFormat="1" applyFont="1" applyFill="1" applyBorder="1"/>
    <xf numFmtId="0" fontId="15" fillId="7" borderId="12" xfId="0" applyFont="1" applyFill="1" applyBorder="1"/>
    <xf numFmtId="2" fontId="20" fillId="0" borderId="27" xfId="0" applyNumberFormat="1" applyFont="1" applyBorder="1"/>
    <xf numFmtId="2" fontId="15" fillId="0" borderId="12" xfId="0" applyNumberFormat="1" applyFont="1" applyBorder="1"/>
    <xf numFmtId="0" fontId="15" fillId="7" borderId="11" xfId="0" applyFont="1" applyFill="1" applyBorder="1" applyAlignment="1">
      <alignment horizontal="centerContinuous"/>
    </xf>
    <xf numFmtId="0" fontId="17" fillId="13" borderId="1" xfId="0" applyFont="1" applyFill="1" applyBorder="1" applyAlignment="1">
      <alignment horizontal="centerContinuous"/>
    </xf>
    <xf numFmtId="0" fontId="17" fillId="13" borderId="16" xfId="0" applyFont="1" applyFill="1" applyBorder="1" applyAlignment="1">
      <alignment horizontal="centerContinuous"/>
    </xf>
    <xf numFmtId="0" fontId="17" fillId="13" borderId="13" xfId="0" applyFont="1" applyFill="1" applyBorder="1" applyAlignment="1">
      <alignment horizontal="centerContinuous"/>
    </xf>
    <xf numFmtId="169" fontId="15" fillId="0" borderId="0" xfId="0" applyNumberFormat="1" applyFont="1"/>
    <xf numFmtId="185" fontId="15" fillId="0" borderId="0" xfId="0" applyNumberFormat="1" applyFont="1" applyFill="1" applyBorder="1" applyAlignment="1"/>
    <xf numFmtId="185" fontId="17" fillId="0" borderId="0" xfId="0" applyNumberFormat="1" applyFont="1" applyFill="1" applyBorder="1" applyAlignment="1"/>
    <xf numFmtId="44" fontId="17" fillId="0" borderId="0" xfId="0" applyNumberFormat="1" applyFont="1" applyFill="1" applyBorder="1" applyAlignment="1"/>
    <xf numFmtId="0" fontId="17" fillId="6" borderId="13" xfId="0" applyFont="1" applyFill="1" applyBorder="1" applyAlignment="1">
      <alignment horizontal="center"/>
    </xf>
    <xf numFmtId="185" fontId="15" fillId="0" borderId="36" xfId="0" applyNumberFormat="1" applyFont="1" applyBorder="1"/>
    <xf numFmtId="0" fontId="15" fillId="0" borderId="0" xfId="0" applyFont="1" applyFill="1"/>
    <xf numFmtId="0" fontId="15" fillId="3" borderId="0" xfId="0" applyFont="1" applyFill="1" applyAlignment="1">
      <alignment horizontal="centerContinuous"/>
    </xf>
    <xf numFmtId="0" fontId="18" fillId="3" borderId="0" xfId="0" applyFont="1" applyFill="1"/>
    <xf numFmtId="44" fontId="18" fillId="3" borderId="0" xfId="0" applyNumberFormat="1" applyFont="1" applyFill="1"/>
    <xf numFmtId="185" fontId="18" fillId="3" borderId="0" xfId="0" applyNumberFormat="1" applyFont="1" applyFill="1"/>
    <xf numFmtId="165" fontId="15" fillId="3" borderId="0" xfId="0" applyNumberFormat="1" applyFont="1" applyFill="1"/>
    <xf numFmtId="0" fontId="15" fillId="3" borderId="0" xfId="0" applyFont="1" applyFill="1"/>
    <xf numFmtId="185" fontId="15" fillId="3" borderId="0" xfId="0" applyNumberFormat="1" applyFont="1" applyFill="1"/>
    <xf numFmtId="44" fontId="15" fillId="3" borderId="0" xfId="0" applyNumberFormat="1" applyFont="1" applyFill="1"/>
    <xf numFmtId="0" fontId="15" fillId="3" borderId="0" xfId="0" applyFont="1" applyFill="1" applyAlignment="1">
      <alignment horizontal="right"/>
    </xf>
    <xf numFmtId="185" fontId="15" fillId="3" borderId="0" xfId="0" applyNumberFormat="1" applyFont="1" applyFill="1" applyAlignment="1">
      <alignment horizontal="right"/>
    </xf>
    <xf numFmtId="165" fontId="15" fillId="3" borderId="0" xfId="0" applyNumberFormat="1" applyFont="1" applyFill="1" applyAlignment="1">
      <alignment horizontal="right"/>
    </xf>
    <xf numFmtId="0" fontId="4" fillId="6" borderId="34" xfId="0" applyFont="1" applyFill="1" applyBorder="1" applyAlignment="1">
      <alignment horizontal="centerContinuous"/>
    </xf>
    <xf numFmtId="0" fontId="15" fillId="6" borderId="35" xfId="0" applyFont="1" applyFill="1" applyBorder="1"/>
    <xf numFmtId="44" fontId="17" fillId="6" borderId="35" xfId="0" applyNumberFormat="1" applyFont="1" applyFill="1" applyBorder="1"/>
    <xf numFmtId="44" fontId="17" fillId="6" borderId="36" xfId="0" applyNumberFormat="1" applyFont="1" applyFill="1" applyBorder="1"/>
    <xf numFmtId="0" fontId="22" fillId="0" borderId="21" xfId="9" applyFont="1" applyBorder="1" applyAlignment="1">
      <alignment horizontal="left"/>
    </xf>
    <xf numFmtId="0" fontId="22" fillId="0" borderId="22" xfId="9" applyFont="1" applyBorder="1" applyAlignment="1">
      <alignment horizontal="left"/>
    </xf>
    <xf numFmtId="0" fontId="22" fillId="0" borderId="37" xfId="9" applyFont="1" applyBorder="1" applyAlignment="1">
      <alignment horizontal="left"/>
    </xf>
    <xf numFmtId="166" fontId="15" fillId="5" borderId="0" xfId="0" applyNumberFormat="1" applyFont="1" applyFill="1" applyBorder="1"/>
    <xf numFmtId="0" fontId="22" fillId="0" borderId="35" xfId="9" applyFont="1" applyBorder="1" applyAlignment="1">
      <alignment wrapText="1"/>
    </xf>
    <xf numFmtId="165" fontId="22" fillId="0" borderId="35" xfId="9" applyNumberFormat="1" applyFont="1" applyBorder="1" applyAlignment="1">
      <alignment horizontal="center"/>
    </xf>
    <xf numFmtId="165" fontId="22" fillId="0" borderId="36" xfId="9" applyNumberFormat="1" applyFont="1" applyBorder="1" applyAlignment="1">
      <alignment horizontal="center"/>
    </xf>
    <xf numFmtId="169" fontId="22" fillId="0" borderId="6" xfId="9" applyNumberFormat="1" applyFont="1" applyBorder="1" applyAlignment="1">
      <alignment horizontal="center"/>
    </xf>
    <xf numFmtId="169" fontId="22" fillId="0" borderId="6" xfId="10" applyNumberFormat="1" applyFont="1" applyFill="1" applyBorder="1" applyAlignment="1">
      <alignment horizontal="center"/>
    </xf>
    <xf numFmtId="169" fontId="22" fillId="0" borderId="0" xfId="10" applyNumberFormat="1" applyFont="1" applyFill="1" applyBorder="1" applyAlignment="1">
      <alignment horizontal="center"/>
    </xf>
    <xf numFmtId="169" fontId="22" fillId="0" borderId="24" xfId="10" applyNumberFormat="1" applyFont="1" applyFill="1" applyBorder="1" applyAlignment="1">
      <alignment horizontal="center"/>
    </xf>
    <xf numFmtId="169" fontId="22" fillId="0" borderId="36" xfId="9" applyNumberFormat="1" applyFont="1" applyBorder="1" applyAlignment="1">
      <alignment horizontal="center"/>
    </xf>
    <xf numFmtId="169" fontId="22" fillId="0" borderId="20" xfId="10" applyNumberFormat="1" applyFont="1" applyFill="1" applyBorder="1" applyAlignment="1">
      <alignment horizontal="center"/>
    </xf>
    <xf numFmtId="169" fontId="22" fillId="0" borderId="14" xfId="10" applyNumberFormat="1" applyFont="1" applyFill="1" applyBorder="1" applyAlignment="1">
      <alignment horizontal="center"/>
    </xf>
    <xf numFmtId="169" fontId="22" fillId="0" borderId="36" xfId="10" applyNumberFormat="1" applyFont="1" applyFill="1" applyBorder="1" applyAlignment="1">
      <alignment horizontal="center"/>
    </xf>
    <xf numFmtId="0" fontId="17" fillId="0" borderId="23" xfId="4" applyFont="1" applyFill="1" applyBorder="1"/>
    <xf numFmtId="0" fontId="15" fillId="0" borderId="0" xfId="4" applyFont="1" applyFill="1"/>
    <xf numFmtId="37" fontId="15" fillId="0" borderId="0" xfId="4" applyNumberFormat="1" applyFont="1" applyFill="1" applyAlignment="1">
      <alignment horizontal="right"/>
    </xf>
    <xf numFmtId="174" fontId="15" fillId="0" borderId="0" xfId="5" applyNumberFormat="1" applyFont="1" applyFill="1" applyBorder="1" applyAlignment="1">
      <alignment horizontal="center"/>
    </xf>
    <xf numFmtId="175" fontId="19" fillId="0" borderId="27" xfId="4" applyNumberFormat="1" applyFont="1" applyFill="1" applyBorder="1" applyAlignment="1">
      <alignment horizontal="center" vertical="center"/>
    </xf>
    <xf numFmtId="0" fontId="17" fillId="5" borderId="26" xfId="4" applyFont="1" applyFill="1" applyBorder="1"/>
    <xf numFmtId="0" fontId="15" fillId="5" borderId="6" xfId="4" applyFont="1" applyFill="1" applyBorder="1"/>
    <xf numFmtId="37" fontId="15" fillId="5" borderId="6" xfId="4" applyNumberFormat="1" applyFont="1" applyFill="1" applyBorder="1" applyAlignment="1">
      <alignment horizontal="right"/>
    </xf>
    <xf numFmtId="174" fontId="18" fillId="5" borderId="0" xfId="5" applyNumberFormat="1" applyFont="1" applyFill="1" applyAlignment="1">
      <alignment horizontal="center"/>
    </xf>
    <xf numFmtId="188" fontId="17" fillId="6" borderId="35" xfId="0" applyNumberFormat="1" applyFont="1" applyFill="1" applyBorder="1"/>
    <xf numFmtId="189" fontId="17" fillId="6" borderId="35" xfId="0" applyNumberFormat="1" applyFont="1" applyFill="1" applyBorder="1"/>
    <xf numFmtId="190" fontId="22" fillId="0" borderId="24" xfId="10" applyNumberFormat="1" applyFont="1" applyFill="1" applyBorder="1" applyAlignment="1">
      <alignment horizontal="center"/>
    </xf>
    <xf numFmtId="0" fontId="4" fillId="0" borderId="0" xfId="0" applyFont="1" applyFill="1" applyBorder="1" applyAlignment="1">
      <alignment horizontal="centerContinuous"/>
    </xf>
    <xf numFmtId="0" fontId="15" fillId="0" borderId="0" xfId="0" applyFont="1" applyFill="1" applyBorder="1"/>
    <xf numFmtId="44" fontId="17" fillId="0" borderId="0" xfId="0" applyNumberFormat="1" applyFont="1" applyFill="1" applyBorder="1"/>
    <xf numFmtId="0" fontId="15" fillId="3" borderId="0" xfId="9" applyFont="1" applyFill="1" applyBorder="1"/>
    <xf numFmtId="0" fontId="22" fillId="0" borderId="0" xfId="9" applyFont="1" applyBorder="1" applyAlignment="1">
      <alignment horizontal="left"/>
    </xf>
    <xf numFmtId="44" fontId="1" fillId="5" borderId="14" xfId="0" applyNumberFormat="1" applyFont="1" applyFill="1" applyBorder="1"/>
    <xf numFmtId="0" fontId="15" fillId="4" borderId="0" xfId="0" applyFont="1" applyFill="1"/>
    <xf numFmtId="176" fontId="22" fillId="0" borderId="24" xfId="3" applyNumberFormat="1" applyFont="1" applyBorder="1" applyAlignment="1">
      <alignment horizontal="center"/>
    </xf>
    <xf numFmtId="176" fontId="15" fillId="3" borderId="24" xfId="3" applyNumberFormat="1" applyFont="1" applyFill="1" applyBorder="1" applyAlignment="1">
      <alignment horizontal="center"/>
    </xf>
    <xf numFmtId="176" fontId="22" fillId="0" borderId="38" xfId="3" applyNumberFormat="1" applyFont="1" applyBorder="1" applyAlignment="1">
      <alignment horizontal="center"/>
    </xf>
    <xf numFmtId="0" fontId="22" fillId="0" borderId="21" xfId="9" applyFont="1" applyBorder="1" applyAlignment="1">
      <alignment horizontal="left"/>
    </xf>
    <xf numFmtId="0" fontId="22" fillId="0" borderId="22" xfId="9" applyFont="1" applyBorder="1" applyAlignment="1">
      <alignment horizontal="left"/>
    </xf>
    <xf numFmtId="0" fontId="22" fillId="0" borderId="37" xfId="9" applyFont="1" applyBorder="1" applyAlignment="1">
      <alignment horizontal="left"/>
    </xf>
    <xf numFmtId="182" fontId="18" fillId="0" borderId="14" xfId="9" applyNumberFormat="1" applyFont="1" applyBorder="1" applyAlignment="1">
      <alignment horizontal="right"/>
    </xf>
    <xf numFmtId="191" fontId="17" fillId="5" borderId="23" xfId="4" applyNumberFormat="1" applyFont="1" applyFill="1" applyBorder="1" applyAlignment="1">
      <alignment horizontal="left"/>
    </xf>
    <xf numFmtId="176" fontId="18" fillId="0" borderId="38" xfId="3" applyNumberFormat="1" applyFont="1" applyFill="1" applyBorder="1" applyAlignment="1">
      <alignment horizontal="right"/>
    </xf>
    <xf numFmtId="0" fontId="17" fillId="6" borderId="16" xfId="0" applyFont="1" applyFill="1" applyBorder="1" applyAlignment="1">
      <alignment horizontal="center"/>
    </xf>
    <xf numFmtId="0" fontId="15" fillId="11" borderId="0" xfId="0" applyFont="1" applyFill="1" applyAlignment="1">
      <alignment horizontal="left"/>
    </xf>
    <xf numFmtId="0" fontId="15" fillId="10" borderId="0" xfId="0" applyFont="1" applyFill="1" applyAlignment="1">
      <alignment horizontal="left"/>
    </xf>
    <xf numFmtId="44" fontId="15" fillId="11" borderId="0" xfId="0" applyNumberFormat="1" applyFont="1" applyFill="1" applyAlignment="1">
      <alignment horizontal="centerContinuous"/>
    </xf>
    <xf numFmtId="44" fontId="15" fillId="10" borderId="0" xfId="0" applyNumberFormat="1" applyFont="1" applyFill="1" applyAlignment="1">
      <alignment horizontal="centerContinuous"/>
    </xf>
    <xf numFmtId="170" fontId="15" fillId="11" borderId="0" xfId="0" applyNumberFormat="1" applyFont="1" applyFill="1" applyAlignment="1">
      <alignment horizontal="centerContinuous"/>
    </xf>
    <xf numFmtId="170" fontId="15" fillId="10" borderId="0" xfId="0" applyNumberFormat="1" applyFont="1" applyFill="1" applyAlignment="1">
      <alignment horizontal="centerContinuous"/>
    </xf>
    <xf numFmtId="165" fontId="15" fillId="11" borderId="0" xfId="0" applyNumberFormat="1" applyFont="1" applyFill="1" applyAlignment="1">
      <alignment horizontal="right"/>
    </xf>
    <xf numFmtId="165" fontId="15" fillId="10" borderId="0" xfId="0" applyNumberFormat="1" applyFont="1" applyFill="1" applyAlignment="1">
      <alignment horizontal="right"/>
    </xf>
    <xf numFmtId="185" fontId="15" fillId="11" borderId="0" xfId="0" applyNumberFormat="1" applyFont="1" applyFill="1" applyAlignment="1">
      <alignment horizontal="right"/>
    </xf>
    <xf numFmtId="185" fontId="15" fillId="10" borderId="0" xfId="0" applyNumberFormat="1" applyFont="1" applyFill="1" applyAlignment="1">
      <alignment horizontal="right"/>
    </xf>
    <xf numFmtId="0" fontId="15" fillId="11" borderId="0" xfId="0" applyNumberFormat="1" applyFont="1" applyFill="1" applyAlignment="1">
      <alignment horizontal="right"/>
    </xf>
    <xf numFmtId="0" fontId="15" fillId="10" borderId="0" xfId="0" applyNumberFormat="1" applyFont="1" applyFill="1" applyAlignment="1">
      <alignment horizontal="right"/>
    </xf>
    <xf numFmtId="192" fontId="17" fillId="6" borderId="35" xfId="0" applyNumberFormat="1" applyFont="1" applyFill="1" applyBorder="1"/>
    <xf numFmtId="185" fontId="15" fillId="7" borderId="36" xfId="0" applyNumberFormat="1" applyFont="1" applyFill="1" applyBorder="1"/>
    <xf numFmtId="185" fontId="17" fillId="2" borderId="36" xfId="0" applyNumberFormat="1" applyFont="1" applyFill="1" applyBorder="1" applyAlignment="1">
      <alignment horizontal="centerContinuous"/>
    </xf>
    <xf numFmtId="185" fontId="15" fillId="0" borderId="20" xfId="0" applyNumberFormat="1" applyFont="1" applyBorder="1"/>
    <xf numFmtId="193" fontId="22" fillId="0" borderId="35" xfId="10" applyNumberFormat="1" applyFont="1" applyFill="1" applyBorder="1" applyAlignment="1">
      <alignment horizontal="center"/>
    </xf>
    <xf numFmtId="169" fontId="22" fillId="0" borderId="38" xfId="10" applyNumberFormat="1" applyFont="1" applyFill="1" applyBorder="1" applyAlignment="1">
      <alignment horizontal="center"/>
    </xf>
    <xf numFmtId="0" fontId="34" fillId="3" borderId="0" xfId="9" applyFont="1" applyFill="1"/>
    <xf numFmtId="0" fontId="35" fillId="3" borderId="0" xfId="9" applyFont="1" applyFill="1"/>
    <xf numFmtId="0" fontId="35" fillId="0" borderId="0" xfId="9" applyFont="1" applyAlignment="1">
      <alignment horizontal="right"/>
    </xf>
    <xf numFmtId="165" fontId="4" fillId="3" borderId="14" xfId="0" applyNumberFormat="1" applyFont="1" applyFill="1" applyBorder="1"/>
    <xf numFmtId="170" fontId="4" fillId="5" borderId="14" xfId="0" applyNumberFormat="1" applyFont="1" applyFill="1" applyBorder="1"/>
    <xf numFmtId="165" fontId="15" fillId="3" borderId="0" xfId="9" applyNumberFormat="1" applyFont="1" applyFill="1"/>
    <xf numFmtId="170" fontId="6" fillId="3" borderId="21" xfId="0" applyNumberFormat="1" applyFont="1" applyFill="1" applyBorder="1"/>
    <xf numFmtId="0" fontId="15" fillId="4" borderId="16" xfId="0" applyFont="1" applyFill="1" applyBorder="1"/>
    <xf numFmtId="0" fontId="17" fillId="13" borderId="7" xfId="0" applyFont="1" applyFill="1" applyBorder="1" applyAlignment="1">
      <alignment horizontal="left" vertical="center"/>
    </xf>
    <xf numFmtId="10" fontId="20" fillId="0" borderId="0" xfId="3" applyNumberFormat="1" applyFont="1" applyFill="1" applyBorder="1"/>
    <xf numFmtId="10" fontId="18" fillId="0" borderId="0" xfId="3" applyNumberFormat="1" applyFont="1" applyFill="1" applyBorder="1"/>
    <xf numFmtId="10" fontId="15" fillId="0" borderId="0" xfId="3" applyNumberFormat="1" applyFont="1" applyFill="1" applyBorder="1"/>
    <xf numFmtId="44" fontId="20" fillId="0" borderId="0" xfId="0" applyNumberFormat="1" applyFont="1" applyBorder="1"/>
    <xf numFmtId="44" fontId="18" fillId="0" borderId="0" xfId="0" applyNumberFormat="1" applyFont="1" applyBorder="1"/>
    <xf numFmtId="166" fontId="15" fillId="0" borderId="0" xfId="0" applyNumberFormat="1" applyFont="1" applyBorder="1"/>
    <xf numFmtId="10" fontId="20" fillId="0" borderId="0" xfId="3" applyNumberFormat="1" applyFont="1" applyFill="1" applyBorder="1" applyAlignment="1">
      <alignment horizontal="right"/>
    </xf>
    <xf numFmtId="0" fontId="15" fillId="0" borderId="7" xfId="0" applyFont="1" applyBorder="1"/>
    <xf numFmtId="2" fontId="18" fillId="0" borderId="8" xfId="0" applyNumberFormat="1" applyFont="1" applyBorder="1"/>
    <xf numFmtId="2" fontId="15" fillId="0" borderId="9" xfId="0" applyNumberFormat="1" applyFont="1" applyBorder="1"/>
    <xf numFmtId="10" fontId="20" fillId="0" borderId="27" xfId="3" applyNumberFormat="1" applyFont="1" applyFill="1" applyBorder="1"/>
    <xf numFmtId="10" fontId="18" fillId="0" borderId="27" xfId="3" applyNumberFormat="1" applyFont="1" applyFill="1" applyBorder="1"/>
    <xf numFmtId="10" fontId="15" fillId="0" borderId="27" xfId="3" applyNumberFormat="1" applyFont="1" applyFill="1" applyBorder="1"/>
    <xf numFmtId="44" fontId="20" fillId="0" borderId="27" xfId="0" applyNumberFormat="1" applyFont="1" applyBorder="1"/>
    <xf numFmtId="0" fontId="17" fillId="0" borderId="23" xfId="0" applyFont="1" applyBorder="1"/>
    <xf numFmtId="44" fontId="18" fillId="0" borderId="27" xfId="0" applyNumberFormat="1" applyFont="1" applyBorder="1"/>
    <xf numFmtId="10" fontId="20" fillId="0" borderId="27" xfId="3" applyNumberFormat="1" applyFont="1" applyFill="1" applyBorder="1" applyAlignment="1">
      <alignment horizontal="right"/>
    </xf>
    <xf numFmtId="0" fontId="17" fillId="0" borderId="10" xfId="0" applyFont="1" applyBorder="1"/>
    <xf numFmtId="10" fontId="15" fillId="0" borderId="11" xfId="3" applyNumberFormat="1" applyFont="1" applyFill="1" applyBorder="1"/>
    <xf numFmtId="10" fontId="15" fillId="0" borderId="12" xfId="3" applyNumberFormat="1" applyFont="1" applyFill="1" applyBorder="1"/>
    <xf numFmtId="0" fontId="17" fillId="13" borderId="9" xfId="0" quotePrefix="1" applyFont="1" applyFill="1" applyBorder="1" applyAlignment="1">
      <alignment horizontal="centerContinuous" vertical="center"/>
    </xf>
    <xf numFmtId="0" fontId="17" fillId="13" borderId="8" xfId="0" quotePrefix="1" applyFont="1" applyFill="1" applyBorder="1" applyAlignment="1">
      <alignment horizontal="centerContinuous" vertical="center"/>
    </xf>
    <xf numFmtId="0" fontId="17" fillId="2" borderId="23" xfId="0" applyFont="1" applyFill="1" applyBorder="1"/>
    <xf numFmtId="0" fontId="17" fillId="2" borderId="0" xfId="0" applyFont="1" applyFill="1" applyBorder="1"/>
    <xf numFmtId="166" fontId="17" fillId="2" borderId="27" xfId="0" applyNumberFormat="1" applyFont="1" applyFill="1" applyBorder="1"/>
    <xf numFmtId="170" fontId="6" fillId="3" borderId="17" xfId="0" applyNumberFormat="1" applyFont="1" applyFill="1" applyBorder="1"/>
    <xf numFmtId="10" fontId="15" fillId="0" borderId="0" xfId="0" applyNumberFormat="1" applyFont="1" applyFill="1"/>
    <xf numFmtId="174" fontId="17" fillId="0" borderId="0" xfId="0" applyNumberFormat="1" applyFont="1" applyFill="1"/>
    <xf numFmtId="10" fontId="17" fillId="0" borderId="0" xfId="3" applyNumberFormat="1" applyFont="1" applyFill="1"/>
    <xf numFmtId="166" fontId="17" fillId="0" borderId="0" xfId="0" applyNumberFormat="1" applyFont="1"/>
    <xf numFmtId="10" fontId="17" fillId="0" borderId="0" xfId="0" applyNumberFormat="1" applyFont="1"/>
    <xf numFmtId="0" fontId="17" fillId="0" borderId="0" xfId="0" quotePrefix="1" applyFont="1" applyAlignment="1">
      <alignment horizontal="centerContinuous"/>
    </xf>
    <xf numFmtId="0" fontId="17" fillId="0" borderId="0" xfId="0" applyFont="1" applyAlignment="1">
      <alignment horizontal="right" wrapText="1"/>
    </xf>
    <xf numFmtId="0" fontId="15" fillId="0" borderId="0" xfId="9" applyFont="1"/>
    <xf numFmtId="0" fontId="8" fillId="3" borderId="0" xfId="0" applyFont="1" applyFill="1" applyBorder="1" applyAlignment="1">
      <alignment horizontal="left" indent="1"/>
    </xf>
    <xf numFmtId="170" fontId="1" fillId="5" borderId="22" xfId="0" applyNumberFormat="1" applyFont="1" applyFill="1" applyBorder="1"/>
    <xf numFmtId="0" fontId="16" fillId="2" borderId="1" xfId="4" applyFont="1" applyFill="1" applyBorder="1" applyAlignment="1">
      <alignment horizontal="left" vertical="center"/>
    </xf>
    <xf numFmtId="0" fontId="16" fillId="2" borderId="16" xfId="4" applyFont="1" applyFill="1" applyBorder="1" applyAlignment="1">
      <alignment horizontal="left" vertical="center"/>
    </xf>
    <xf numFmtId="0" fontId="17" fillId="0" borderId="0" xfId="0" applyFont="1" applyAlignment="1">
      <alignment horizontal="center" wrapText="1"/>
    </xf>
    <xf numFmtId="0" fontId="22" fillId="3" borderId="21" xfId="9" applyFont="1" applyFill="1" applyBorder="1" applyAlignment="1">
      <alignment horizontal="left"/>
    </xf>
    <xf numFmtId="0" fontId="22" fillId="3" borderId="6" xfId="9" applyFont="1" applyFill="1" applyBorder="1" applyAlignment="1">
      <alignment horizontal="left"/>
    </xf>
    <xf numFmtId="0" fontId="22" fillId="0" borderId="21" xfId="9" applyFont="1" applyBorder="1" applyAlignment="1">
      <alignment horizontal="left"/>
    </xf>
    <xf numFmtId="0" fontId="22" fillId="0" borderId="6" xfId="9" applyFont="1" applyBorder="1" applyAlignment="1">
      <alignment horizontal="left"/>
    </xf>
    <xf numFmtId="0" fontId="22" fillId="0" borderId="34" xfId="9" applyFont="1" applyBorder="1" applyAlignment="1">
      <alignment horizontal="left"/>
    </xf>
    <xf numFmtId="0" fontId="22" fillId="0" borderId="35" xfId="9" applyFont="1" applyBorder="1" applyAlignment="1">
      <alignment horizontal="left"/>
    </xf>
    <xf numFmtId="0" fontId="22" fillId="3" borderId="22" xfId="9" applyFont="1" applyFill="1" applyBorder="1" applyAlignment="1">
      <alignment horizontal="left"/>
    </xf>
    <xf numFmtId="0" fontId="22" fillId="3" borderId="0" xfId="9" applyFont="1" applyFill="1" applyAlignment="1">
      <alignment horizontal="left"/>
    </xf>
    <xf numFmtId="0" fontId="22" fillId="0" borderId="22" xfId="9" applyFont="1" applyBorder="1" applyAlignment="1">
      <alignment horizontal="left"/>
    </xf>
    <xf numFmtId="0" fontId="22" fillId="0" borderId="0" xfId="9" applyFont="1" applyAlignment="1">
      <alignment horizontal="left"/>
    </xf>
    <xf numFmtId="0" fontId="22" fillId="0" borderId="0" xfId="9" applyFont="1" applyBorder="1" applyAlignment="1">
      <alignment horizontal="left"/>
    </xf>
    <xf numFmtId="0" fontId="22" fillId="3" borderId="37" xfId="9" applyFont="1" applyFill="1" applyBorder="1" applyAlignment="1">
      <alignment horizontal="left"/>
    </xf>
    <xf numFmtId="0" fontId="22" fillId="3" borderId="24" xfId="9" applyFont="1" applyFill="1" applyBorder="1" applyAlignment="1">
      <alignment horizontal="left"/>
    </xf>
    <xf numFmtId="0" fontId="22" fillId="0" borderId="37" xfId="9" applyFont="1" applyBorder="1" applyAlignment="1">
      <alignment horizontal="left"/>
    </xf>
    <xf numFmtId="0" fontId="22" fillId="0" borderId="24" xfId="9" applyFont="1" applyBorder="1" applyAlignment="1">
      <alignment horizontal="left"/>
    </xf>
  </cellXfs>
  <cellStyles count="15">
    <cellStyle name="Comma" xfId="1" builtinId="3"/>
    <cellStyle name="Comma 2" xfId="8" xr:uid="{E8E6E197-25FD-490B-BF21-5F5BA32647E5}"/>
    <cellStyle name="Comma 3" xfId="11" xr:uid="{A5C6A9E2-4E5A-499D-AD97-C34146DD9C46}"/>
    <cellStyle name="Currency" xfId="2" builtinId="4"/>
    <cellStyle name="Currency 2" xfId="5" xr:uid="{41BEF12E-A0E7-46EF-88EA-FDC5047234E3}"/>
    <cellStyle name="Currency 2 2" xfId="13" xr:uid="{6D449D52-6B70-43D5-BE7C-C3222E360ED1}"/>
    <cellStyle name="Currency 2 2 2" xfId="12" xr:uid="{0CD4533E-4A9D-4F24-A825-B9D4D9A75DDD}"/>
    <cellStyle name="Normal" xfId="0" builtinId="0"/>
    <cellStyle name="Normal 2" xfId="4" xr:uid="{9CF4B79B-D261-4135-9452-5E38B4F0BB0B}"/>
    <cellStyle name="Normal 3" xfId="7" xr:uid="{307527F8-D786-453A-8D67-34F4303D60B2}"/>
    <cellStyle name="Normal 3 2 2" xfId="9" xr:uid="{2E71E455-BC56-4C3D-872D-382031077946}"/>
    <cellStyle name="Percent" xfId="3" builtinId="5"/>
    <cellStyle name="Percent 2" xfId="6" xr:uid="{C25C9AA1-3B53-4BC0-835E-53D892D92325}"/>
    <cellStyle name="Percent 2 2" xfId="10" xr:uid="{AEA02EA4-A99E-4BDB-8AFE-C860DD37890D}"/>
    <cellStyle name="Percent 4" xfId="14" xr:uid="{948CD3EE-31E5-4C9A-B7D4-4E7CA6CECA43}"/>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xdr:row>
      <xdr:rowOff>0</xdr:rowOff>
    </xdr:from>
    <xdr:to>
      <xdr:col>9</xdr:col>
      <xdr:colOff>304800</xdr:colOff>
      <xdr:row>2</xdr:row>
      <xdr:rowOff>123824</xdr:rowOff>
    </xdr:to>
    <xdr:sp macro="" textlink="">
      <xdr:nvSpPr>
        <xdr:cNvPr id="2" name="AutoShape 2" descr="Image result for american woodmark">
          <a:extLst>
            <a:ext uri="{FF2B5EF4-FFF2-40B4-BE49-F238E27FC236}">
              <a16:creationId xmlns:a16="http://schemas.microsoft.com/office/drawing/2014/main" id="{9E24E4E3-DC02-41E0-85A3-C531DAC268E9}"/>
            </a:ext>
          </a:extLst>
        </xdr:cNvPr>
        <xdr:cNvSpPr>
          <a:spLocks noChangeAspect="1" noChangeArrowheads="1"/>
        </xdr:cNvSpPr>
      </xdr:nvSpPr>
      <xdr:spPr bwMode="auto">
        <a:xfrm>
          <a:off x="6981825" y="200025"/>
          <a:ext cx="304800" cy="32384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26A30-E9E8-4FFC-B6AC-F8F68DCB0447}">
  <sheetPr>
    <pageSetUpPr autoPageBreaks="0"/>
  </sheetPr>
  <dimension ref="H2:O27"/>
  <sheetViews>
    <sheetView showGridLines="0" zoomScale="80" zoomScaleNormal="80" workbookViewId="0">
      <selection activeCell="F12" sqref="F12"/>
    </sheetView>
  </sheetViews>
  <sheetFormatPr defaultColWidth="8.88671875" defaultRowHeight="15.6" x14ac:dyDescent="0.3"/>
  <cols>
    <col min="1" max="7" width="8.88671875" style="104"/>
    <col min="8" max="8" width="30.6640625" style="103" customWidth="1"/>
    <col min="9" max="9" width="9" style="103" customWidth="1"/>
    <col min="10" max="10" width="23.33203125" style="103" customWidth="1"/>
    <col min="11" max="11" width="25.44140625" style="103" customWidth="1"/>
    <col min="12" max="12" width="23.5546875" style="103" customWidth="1"/>
    <col min="13" max="16384" width="8.88671875" style="104"/>
  </cols>
  <sheetData>
    <row r="2" spans="8:13" x14ac:dyDescent="0.3">
      <c r="H2" s="103" t="s">
        <v>392</v>
      </c>
    </row>
    <row r="3" spans="8:13" ht="16.2" thickBot="1" x14ac:dyDescent="0.35"/>
    <row r="4" spans="8:13" ht="16.2" thickBot="1" x14ac:dyDescent="0.35">
      <c r="H4" s="707" t="s">
        <v>183</v>
      </c>
      <c r="I4" s="708"/>
      <c r="J4" s="105" t="s">
        <v>90</v>
      </c>
      <c r="K4" s="459"/>
      <c r="L4" s="460" t="s">
        <v>186</v>
      </c>
    </row>
    <row r="5" spans="8:13" x14ac:dyDescent="0.3">
      <c r="H5" s="106" t="s">
        <v>91</v>
      </c>
      <c r="I5" s="107"/>
      <c r="J5" s="108"/>
      <c r="K5" s="109" t="s">
        <v>92</v>
      </c>
      <c r="L5" s="538" t="s">
        <v>93</v>
      </c>
    </row>
    <row r="6" spans="8:13" x14ac:dyDescent="0.3">
      <c r="H6" s="620" t="s">
        <v>94</v>
      </c>
      <c r="I6" s="621"/>
      <c r="J6" s="622"/>
      <c r="K6" s="623">
        <f>DCF!R25</f>
        <v>9.4271385661356923</v>
      </c>
      <c r="L6" s="110">
        <v>0.4</v>
      </c>
    </row>
    <row r="7" spans="8:13" x14ac:dyDescent="0.3">
      <c r="H7" s="615" t="s">
        <v>381</v>
      </c>
      <c r="I7" s="616"/>
      <c r="J7" s="617"/>
      <c r="K7" s="618">
        <f>Peers!O51</f>
        <v>9.2982078044278751</v>
      </c>
      <c r="L7" s="619">
        <v>0.15</v>
      </c>
    </row>
    <row r="8" spans="8:13" x14ac:dyDescent="0.3">
      <c r="H8" s="111" t="s">
        <v>320</v>
      </c>
      <c r="I8" s="112"/>
      <c r="J8" s="113"/>
      <c r="K8" s="116">
        <f>Peers!N51</f>
        <v>7.0961865037480916</v>
      </c>
      <c r="L8" s="110">
        <v>0.15</v>
      </c>
    </row>
    <row r="9" spans="8:13" x14ac:dyDescent="0.3">
      <c r="H9" s="615" t="s">
        <v>380</v>
      </c>
      <c r="I9" s="616"/>
      <c r="J9" s="617"/>
      <c r="K9" s="618">
        <f>Peers!P51</f>
        <v>5.752592488129741</v>
      </c>
      <c r="L9" s="619">
        <v>0.15</v>
      </c>
    </row>
    <row r="10" spans="8:13" x14ac:dyDescent="0.3">
      <c r="H10" s="641">
        <v>15</v>
      </c>
      <c r="I10" s="112"/>
      <c r="J10" s="113"/>
      <c r="K10" s="116">
        <f>H10*DCF!H14</f>
        <v>8.8491828345731882</v>
      </c>
      <c r="L10" s="110">
        <v>0.15</v>
      </c>
      <c r="M10" s="121"/>
    </row>
    <row r="11" spans="8:13" x14ac:dyDescent="0.3">
      <c r="H11" s="117" t="s">
        <v>95</v>
      </c>
      <c r="I11" s="118"/>
      <c r="J11" s="118"/>
      <c r="K11" s="119"/>
      <c r="L11" s="120">
        <f>(K6*L6)++(K7*L7)+(K8*L8)+(K9*L9)+(K10*L10)</f>
        <v>8.4202808710861117</v>
      </c>
      <c r="M11" s="121"/>
    </row>
    <row r="12" spans="8:13" x14ac:dyDescent="0.3">
      <c r="H12" s="117" t="s">
        <v>391</v>
      </c>
      <c r="I12" s="118"/>
      <c r="J12" s="118"/>
      <c r="K12" s="118"/>
      <c r="L12" s="122">
        <v>5.98</v>
      </c>
    </row>
    <row r="13" spans="8:13" ht="16.2" thickBot="1" x14ac:dyDescent="0.35">
      <c r="H13" s="123" t="s">
        <v>96</v>
      </c>
      <c r="I13" s="124"/>
      <c r="J13" s="124"/>
      <c r="K13" s="125"/>
      <c r="L13" s="126">
        <f>(L11/L12)-1</f>
        <v>0.40807372426189148</v>
      </c>
    </row>
    <row r="14" spans="8:13" ht="16.2" thickBot="1" x14ac:dyDescent="0.35">
      <c r="H14" s="127"/>
      <c r="L14" s="128"/>
    </row>
    <row r="15" spans="8:13" x14ac:dyDescent="0.3">
      <c r="H15" s="129" t="s">
        <v>97</v>
      </c>
      <c r="I15" s="130"/>
      <c r="J15" s="130"/>
      <c r="K15" s="130"/>
      <c r="L15" s="131"/>
    </row>
    <row r="16" spans="8:13" x14ac:dyDescent="0.3">
      <c r="H16" s="114" t="s">
        <v>98</v>
      </c>
      <c r="I16" s="115"/>
      <c r="J16" s="115"/>
      <c r="K16" s="115"/>
      <c r="L16" s="132" t="s">
        <v>184</v>
      </c>
    </row>
    <row r="17" spans="8:15" x14ac:dyDescent="0.3">
      <c r="H17" s="111" t="s">
        <v>99</v>
      </c>
      <c r="I17" s="112"/>
      <c r="J17" s="112"/>
      <c r="K17" s="112"/>
      <c r="L17" s="133" t="s">
        <v>185</v>
      </c>
    </row>
    <row r="18" spans="8:15" x14ac:dyDescent="0.3">
      <c r="H18" s="134" t="s">
        <v>100</v>
      </c>
      <c r="I18" s="135"/>
      <c r="J18" s="115"/>
      <c r="K18" s="115"/>
      <c r="L18" s="132" t="str">
        <f>L4</f>
        <v>Technology</v>
      </c>
    </row>
    <row r="19" spans="8:15" x14ac:dyDescent="0.3">
      <c r="H19" s="136" t="s">
        <v>101</v>
      </c>
      <c r="I19" s="137"/>
      <c r="J19" s="112"/>
      <c r="K19" s="112"/>
      <c r="L19" s="133" t="s">
        <v>187</v>
      </c>
    </row>
    <row r="20" spans="8:15" x14ac:dyDescent="0.3">
      <c r="H20" s="114" t="s">
        <v>102</v>
      </c>
      <c r="I20" s="115"/>
      <c r="J20" s="115"/>
      <c r="K20" s="115"/>
      <c r="L20" s="138">
        <f>318.4423+10.28+30.98</f>
        <v>359.70229999999998</v>
      </c>
    </row>
    <row r="21" spans="8:15" x14ac:dyDescent="0.3">
      <c r="H21" s="111" t="s">
        <v>103</v>
      </c>
      <c r="I21" s="112"/>
      <c r="J21" s="112"/>
      <c r="K21" s="112"/>
      <c r="L21" s="139">
        <v>44561</v>
      </c>
    </row>
    <row r="22" spans="8:15" x14ac:dyDescent="0.3">
      <c r="H22" s="114" t="s">
        <v>104</v>
      </c>
      <c r="I22" s="115"/>
      <c r="J22" s="115"/>
      <c r="K22" s="115"/>
      <c r="L22" s="140">
        <f>L12</f>
        <v>5.98</v>
      </c>
      <c r="O22" s="141"/>
    </row>
    <row r="23" spans="8:15" x14ac:dyDescent="0.3">
      <c r="H23" s="111" t="s">
        <v>105</v>
      </c>
      <c r="I23" s="112"/>
      <c r="J23" s="112"/>
      <c r="K23" s="112"/>
      <c r="L23" s="142">
        <v>205743.9</v>
      </c>
    </row>
    <row r="24" spans="8:15" x14ac:dyDescent="0.3">
      <c r="H24" s="114" t="s">
        <v>106</v>
      </c>
      <c r="I24" s="115"/>
      <c r="J24" s="115"/>
      <c r="K24" s="115"/>
      <c r="L24" s="143">
        <f>1685.424+145.632</f>
        <v>1831.056</v>
      </c>
    </row>
    <row r="25" spans="8:15" x14ac:dyDescent="0.3">
      <c r="H25" s="111" t="s">
        <v>107</v>
      </c>
      <c r="I25" s="112"/>
      <c r="J25" s="112"/>
      <c r="K25" s="112"/>
      <c r="L25" s="144">
        <f>((L24*1000)+('Pro Forma'!L59)-('Pro Forma'!L135))/1000</f>
        <v>1694.097</v>
      </c>
    </row>
    <row r="26" spans="8:15" x14ac:dyDescent="0.3">
      <c r="H26" s="114" t="s">
        <v>108</v>
      </c>
      <c r="I26" s="115"/>
      <c r="J26" s="115"/>
      <c r="K26" s="115"/>
      <c r="L26" s="145" t="s">
        <v>367</v>
      </c>
    </row>
    <row r="27" spans="8:15" ht="16.2" thickBot="1" x14ac:dyDescent="0.35">
      <c r="H27" s="146" t="s">
        <v>109</v>
      </c>
      <c r="I27" s="147"/>
      <c r="J27" s="147"/>
      <c r="K27" s="147"/>
      <c r="L27" s="148" t="s">
        <v>70</v>
      </c>
    </row>
  </sheetData>
  <mergeCells count="1">
    <mergeCell ref="H4:I4"/>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F295-E731-4C18-8ED9-A00682187865}">
  <sheetPr>
    <pageSetUpPr autoPageBreaks="0"/>
  </sheetPr>
  <dimension ref="D1:T43"/>
  <sheetViews>
    <sheetView showGridLines="0" zoomScale="65" zoomScaleNormal="65" workbookViewId="0">
      <selection activeCell="B2" sqref="B2"/>
    </sheetView>
  </sheetViews>
  <sheetFormatPr defaultRowHeight="15.6" x14ac:dyDescent="0.3"/>
  <cols>
    <col min="1" max="3" width="8.88671875" style="104"/>
    <col min="4" max="4" width="38.6640625" style="104" bestFit="1" customWidth="1"/>
    <col min="5" max="17" width="15.77734375" style="104" customWidth="1"/>
    <col min="18" max="18" width="17.6640625" style="104" bestFit="1" customWidth="1"/>
    <col min="19" max="19" width="16" style="104" customWidth="1"/>
    <col min="20" max="20" width="9.77734375" style="104" bestFit="1" customWidth="1"/>
    <col min="21" max="16384" width="8.88671875" style="104"/>
  </cols>
  <sheetData>
    <row r="1" spans="4:18" ht="16.2" thickBot="1" x14ac:dyDescent="0.35"/>
    <row r="2" spans="4:18" x14ac:dyDescent="0.3">
      <c r="D2" s="149" t="s">
        <v>110</v>
      </c>
      <c r="E2" s="150"/>
      <c r="F2" s="150"/>
      <c r="G2" s="150"/>
      <c r="H2" s="150"/>
      <c r="I2" s="150"/>
      <c r="J2" s="150"/>
      <c r="K2" s="150"/>
      <c r="L2" s="150"/>
      <c r="M2" s="150"/>
      <c r="N2" s="150"/>
      <c r="O2" s="150"/>
      <c r="P2" s="150"/>
      <c r="Q2" s="150"/>
      <c r="R2" s="151"/>
    </row>
    <row r="3" spans="4:18" ht="16.8" thickBot="1" x14ac:dyDescent="0.4">
      <c r="D3" s="152" t="s">
        <v>111</v>
      </c>
      <c r="E3" s="153">
        <v>18</v>
      </c>
      <c r="F3" s="153">
        <f>E3+1</f>
        <v>19</v>
      </c>
      <c r="G3" s="153">
        <f t="shared" ref="G3:Q3" si="0">F3+1</f>
        <v>20</v>
      </c>
      <c r="H3" s="154">
        <f t="shared" si="0"/>
        <v>21</v>
      </c>
      <c r="I3" s="154">
        <f t="shared" si="0"/>
        <v>22</v>
      </c>
      <c r="J3" s="154">
        <f t="shared" si="0"/>
        <v>23</v>
      </c>
      <c r="K3" s="154">
        <f t="shared" si="0"/>
        <v>24</v>
      </c>
      <c r="L3" s="154">
        <f t="shared" si="0"/>
        <v>25</v>
      </c>
      <c r="M3" s="154">
        <f t="shared" si="0"/>
        <v>26</v>
      </c>
      <c r="N3" s="154">
        <f t="shared" si="0"/>
        <v>27</v>
      </c>
      <c r="O3" s="154">
        <f t="shared" si="0"/>
        <v>28</v>
      </c>
      <c r="P3" s="154">
        <f t="shared" si="0"/>
        <v>29</v>
      </c>
      <c r="Q3" s="154">
        <f t="shared" si="0"/>
        <v>30</v>
      </c>
      <c r="R3" s="155" t="s">
        <v>112</v>
      </c>
    </row>
    <row r="4" spans="4:18" x14ac:dyDescent="0.3">
      <c r="D4" s="156" t="s">
        <v>113</v>
      </c>
      <c r="E4" s="291">
        <f>'Pro Forma'!C78</f>
        <v>18325</v>
      </c>
      <c r="F4" s="291">
        <f>'Pro Forma'!D78</f>
        <v>25570</v>
      </c>
      <c r="G4" s="291">
        <f>'Pro Forma'!I78</f>
        <v>-538689</v>
      </c>
      <c r="H4" s="291">
        <f>'Pro Forma'!N78</f>
        <v>-1037725.0525712336</v>
      </c>
      <c r="I4" s="291">
        <f>'Pro Forma'!O78</f>
        <v>-47578.937585825013</v>
      </c>
      <c r="J4" s="291">
        <f>'Pro Forma'!P78</f>
        <v>115102.06035712254</v>
      </c>
      <c r="K4" s="291">
        <f>'Pro Forma'!Q78</f>
        <v>143440.28654454241</v>
      </c>
      <c r="L4" s="291">
        <f>'Pro Forma'!R78</f>
        <v>185176.48623674689</v>
      </c>
      <c r="M4" s="291">
        <f>'Pro Forma'!S78</f>
        <v>231407.26577543264</v>
      </c>
      <c r="N4" s="291">
        <f>'Pro Forma'!T78</f>
        <v>292449.3910215607</v>
      </c>
      <c r="O4" s="291">
        <f>'Pro Forma'!U78</f>
        <v>391941.37351453246</v>
      </c>
      <c r="P4" s="291">
        <f>'Pro Forma'!V78</f>
        <v>488519.67720708187</v>
      </c>
      <c r="Q4" s="291">
        <f>'Pro Forma'!W78</f>
        <v>605899.09231441945</v>
      </c>
      <c r="R4" s="157"/>
    </row>
    <row r="5" spans="4:18" x14ac:dyDescent="0.3">
      <c r="D5" s="158" t="s">
        <v>114</v>
      </c>
      <c r="E5" s="159">
        <v>1</v>
      </c>
      <c r="F5" s="159">
        <v>1</v>
      </c>
      <c r="G5" s="159">
        <v>1</v>
      </c>
      <c r="H5" s="159">
        <f>1-'Pro Forma'!$N$94</f>
        <v>0.99120842295201783</v>
      </c>
      <c r="I5" s="159">
        <f>1-'Pro Forma'!$O$94</f>
        <v>0.75</v>
      </c>
      <c r="J5" s="159">
        <f>1-'Pro Forma'!$O$94</f>
        <v>0.75</v>
      </c>
      <c r="K5" s="159">
        <f>1-'Pro Forma'!$O$94</f>
        <v>0.75</v>
      </c>
      <c r="L5" s="159">
        <f>1-'Pro Forma'!$O$94</f>
        <v>0.75</v>
      </c>
      <c r="M5" s="159">
        <f>1-'Pro Forma'!$O$94</f>
        <v>0.75</v>
      </c>
      <c r="N5" s="159">
        <f>1-'Pro Forma'!$O$94</f>
        <v>0.75</v>
      </c>
      <c r="O5" s="159">
        <f>1-'Pro Forma'!$O$94</f>
        <v>0.75</v>
      </c>
      <c r="P5" s="159">
        <f>1-'Pro Forma'!$O$94</f>
        <v>0.75</v>
      </c>
      <c r="Q5" s="159">
        <f>1-'Pro Forma'!$O$94</f>
        <v>0.75</v>
      </c>
      <c r="R5" s="160"/>
    </row>
    <row r="6" spans="4:18" ht="16.2" thickBot="1" x14ac:dyDescent="0.35">
      <c r="D6" s="161" t="s">
        <v>115</v>
      </c>
      <c r="E6" s="292">
        <f>(E4*E5)</f>
        <v>18325</v>
      </c>
      <c r="F6" s="292">
        <f t="shared" ref="F6:Q6" si="1">(F4*F5)</f>
        <v>25570</v>
      </c>
      <c r="G6" s="292">
        <f t="shared" si="1"/>
        <v>-538689</v>
      </c>
      <c r="H6" s="292">
        <f t="shared" si="1"/>
        <v>-1028601.8128169322</v>
      </c>
      <c r="I6" s="292">
        <f t="shared" si="1"/>
        <v>-35684.20318936876</v>
      </c>
      <c r="J6" s="292">
        <f>(J4*J5)</f>
        <v>86326.545267841895</v>
      </c>
      <c r="K6" s="292">
        <f t="shared" si="1"/>
        <v>107580.21490840681</v>
      </c>
      <c r="L6" s="292">
        <f t="shared" si="1"/>
        <v>138882.36467756017</v>
      </c>
      <c r="M6" s="292">
        <f t="shared" si="1"/>
        <v>173555.44933157449</v>
      </c>
      <c r="N6" s="292">
        <f t="shared" si="1"/>
        <v>219337.04326617054</v>
      </c>
      <c r="O6" s="292">
        <f t="shared" si="1"/>
        <v>293956.03013589932</v>
      </c>
      <c r="P6" s="292">
        <f t="shared" si="1"/>
        <v>366389.75790531142</v>
      </c>
      <c r="Q6" s="292">
        <f t="shared" si="1"/>
        <v>454424.31923581462</v>
      </c>
      <c r="R6" s="162"/>
    </row>
    <row r="7" spans="4:18" ht="16.2" thickTop="1" x14ac:dyDescent="0.3">
      <c r="D7" s="163"/>
      <c r="E7" s="301"/>
      <c r="F7" s="301"/>
      <c r="G7" s="301"/>
      <c r="H7" s="301"/>
      <c r="I7" s="301"/>
      <c r="J7" s="301"/>
      <c r="K7" s="301"/>
      <c r="L7" s="301"/>
      <c r="M7" s="301"/>
      <c r="N7" s="301"/>
      <c r="O7" s="301"/>
      <c r="P7" s="301"/>
      <c r="Q7" s="301"/>
      <c r="R7" s="160"/>
    </row>
    <row r="8" spans="4:18" x14ac:dyDescent="0.3">
      <c r="D8" s="164" t="s">
        <v>116</v>
      </c>
      <c r="E8" s="299">
        <f>'Pro Forma'!C59</f>
        <v>2534</v>
      </c>
      <c r="F8" s="299">
        <f>'Pro Forma'!D59</f>
        <v>2334</v>
      </c>
      <c r="G8" s="299">
        <f>'Pro Forma'!I59</f>
        <v>2553</v>
      </c>
      <c r="H8" s="299">
        <f>'Pro Forma'!N59</f>
        <v>2768</v>
      </c>
      <c r="I8" s="299">
        <f>'Pro Forma'!O59</f>
        <v>3183.6</v>
      </c>
      <c r="J8" s="299">
        <f>'Pro Forma'!P59</f>
        <v>3075.2392038480953</v>
      </c>
      <c r="K8" s="299">
        <f>'Pro Forma'!Q59</f>
        <v>2970.5667046376007</v>
      </c>
      <c r="L8" s="299">
        <f>'Pro Forma'!R59</f>
        <v>2869.4569631069839</v>
      </c>
      <c r="M8" s="299">
        <f>'Pro Forma'!S59</f>
        <v>2771.7887129983333</v>
      </c>
      <c r="N8" s="299">
        <f>'Pro Forma'!T59</f>
        <v>2677.4448156163244</v>
      </c>
      <c r="O8" s="299">
        <f>'Pro Forma'!U59</f>
        <v>2586.3121193375914</v>
      </c>
      <c r="P8" s="299">
        <f>'Pro Forma'!V59</f>
        <v>2498.281323902002</v>
      </c>
      <c r="Q8" s="299">
        <f>'Pro Forma'!W59</f>
        <v>2413.2468493230804</v>
      </c>
      <c r="R8" s="294"/>
    </row>
    <row r="9" spans="4:18" x14ac:dyDescent="0.3">
      <c r="D9" s="158" t="s">
        <v>201</v>
      </c>
      <c r="E9" s="302">
        <f>'Pro Forma'!C181</f>
        <v>39572</v>
      </c>
      <c r="F9" s="302">
        <f>'Pro Forma'!D181</f>
        <v>15422</v>
      </c>
      <c r="G9" s="302">
        <f>'Pro Forma'!I181</f>
        <v>116494</v>
      </c>
      <c r="H9" s="302">
        <f>'Pro Forma'!N181</f>
        <v>138736.3918374335</v>
      </c>
      <c r="I9" s="302">
        <f>'Pro Forma'!O181</f>
        <v>51423.774630391927</v>
      </c>
      <c r="J9" s="302">
        <f>'Pro Forma'!P181</f>
        <v>108844.34697630373</v>
      </c>
      <c r="K9" s="302">
        <f>'Pro Forma'!Q181</f>
        <v>72298.982964383904</v>
      </c>
      <c r="L9" s="302">
        <f>'Pro Forma'!R181</f>
        <v>25888.073911295534</v>
      </c>
      <c r="M9" s="302">
        <f>'Pro Forma'!S181</f>
        <v>-16499.059845621639</v>
      </c>
      <c r="N9" s="302">
        <f>'Pro Forma'!T181</f>
        <v>-57494.230169740273</v>
      </c>
      <c r="O9" s="302">
        <f>'Pro Forma'!U181</f>
        <v>-86584.841387717694</v>
      </c>
      <c r="P9" s="302">
        <f>'Pro Forma'!V181</f>
        <v>-122389.42906896421</v>
      </c>
      <c r="Q9" s="302">
        <f>'Pro Forma'!W181</f>
        <v>-194570.5888790997</v>
      </c>
      <c r="R9" s="295"/>
    </row>
    <row r="10" spans="4:18" x14ac:dyDescent="0.3">
      <c r="D10" s="164" t="s">
        <v>117</v>
      </c>
      <c r="E10" s="299">
        <f>'Pro Forma'!C207</f>
        <v>-1503</v>
      </c>
      <c r="F10" s="299">
        <f>'Pro Forma'!D207</f>
        <v>-1122</v>
      </c>
      <c r="G10" s="299">
        <f>'Pro Forma'!I207</f>
        <v>-9649</v>
      </c>
      <c r="H10" s="299">
        <f>'Pro Forma'!N207</f>
        <v>-8226.3333333333321</v>
      </c>
      <c r="I10" s="299">
        <f>'Pro Forma'!O207</f>
        <v>-4528.833333333333</v>
      </c>
      <c r="J10" s="299">
        <f>'Pro Forma'!P207</f>
        <v>-4528.833333333333</v>
      </c>
      <c r="K10" s="299">
        <f>'Pro Forma'!Q207</f>
        <v>-4528.833333333333</v>
      </c>
      <c r="L10" s="299">
        <f>'Pro Forma'!R207</f>
        <v>-4528.833333333333</v>
      </c>
      <c r="M10" s="299">
        <f>'Pro Forma'!S207</f>
        <v>-4528.833333333333</v>
      </c>
      <c r="N10" s="299">
        <f>'Pro Forma'!T207</f>
        <v>-4528.833333333333</v>
      </c>
      <c r="O10" s="299">
        <f>'Pro Forma'!U207</f>
        <v>-4528.833333333333</v>
      </c>
      <c r="P10" s="299">
        <f>'Pro Forma'!V207</f>
        <v>-4528.833333333333</v>
      </c>
      <c r="Q10" s="299">
        <f>'Pro Forma'!W207</f>
        <v>-4528.833333333333</v>
      </c>
      <c r="R10" s="294"/>
    </row>
    <row r="11" spans="4:18" x14ac:dyDescent="0.3">
      <c r="D11" s="163"/>
      <c r="E11" s="302"/>
      <c r="F11" s="302"/>
      <c r="G11" s="302"/>
      <c r="H11" s="302"/>
      <c r="I11" s="302"/>
      <c r="J11" s="302"/>
      <c r="K11" s="302"/>
      <c r="L11" s="302"/>
      <c r="M11" s="302"/>
      <c r="N11" s="302"/>
      <c r="O11" s="302"/>
      <c r="P11" s="302"/>
      <c r="Q11" s="302"/>
      <c r="R11" s="295"/>
    </row>
    <row r="12" spans="4:18" ht="16.2" thickBot="1" x14ac:dyDescent="0.35">
      <c r="D12" s="161" t="s">
        <v>118</v>
      </c>
      <c r="E12" s="292">
        <f t="shared" ref="E12:Q12" si="2">(E6+E8+E9+E10)</f>
        <v>58928</v>
      </c>
      <c r="F12" s="292">
        <f t="shared" si="2"/>
        <v>42204</v>
      </c>
      <c r="G12" s="292">
        <f t="shared" si="2"/>
        <v>-429291</v>
      </c>
      <c r="H12" s="292">
        <f t="shared" si="2"/>
        <v>-895323.75431283202</v>
      </c>
      <c r="I12" s="292">
        <f>(I6+I8+I9+I10)</f>
        <v>14394.338107689833</v>
      </c>
      <c r="J12" s="292">
        <f t="shared" si="2"/>
        <v>193717.29811466037</v>
      </c>
      <c r="K12" s="292">
        <f t="shared" si="2"/>
        <v>178320.93124409497</v>
      </c>
      <c r="L12" s="292">
        <f t="shared" si="2"/>
        <v>163111.06221862935</v>
      </c>
      <c r="M12" s="292">
        <f t="shared" si="2"/>
        <v>155299.34486561784</v>
      </c>
      <c r="N12" s="292">
        <f t="shared" si="2"/>
        <v>159991.42457871325</v>
      </c>
      <c r="O12" s="292">
        <f t="shared" si="2"/>
        <v>205428.66753418589</v>
      </c>
      <c r="P12" s="292">
        <f t="shared" si="2"/>
        <v>241969.77682691588</v>
      </c>
      <c r="Q12" s="292">
        <f t="shared" si="2"/>
        <v>257738.14387270468</v>
      </c>
      <c r="R12" s="296">
        <f>(Q12*(1+Q29))/(Q29-Q31)</f>
        <v>2905199.4404503363</v>
      </c>
    </row>
    <row r="13" spans="4:18" ht="16.2" thickTop="1" x14ac:dyDescent="0.3">
      <c r="D13" s="467" t="s">
        <v>239</v>
      </c>
      <c r="E13" s="468">
        <f>E12+'Pro Forma'!C74</f>
        <v>87140</v>
      </c>
      <c r="F13" s="468">
        <f>F12+'Pro Forma'!D74</f>
        <v>62643</v>
      </c>
      <c r="G13" s="468">
        <f>G12+'Pro Forma'!I74</f>
        <v>124309</v>
      </c>
      <c r="H13" s="468">
        <f>('Pro Forma'!N64*H5)+DCF!H8+DCF!H9+DCF!H10</f>
        <v>212204.76124776635</v>
      </c>
      <c r="I13" s="468">
        <f>('Pro Forma'!O64*I5)+DCF!I8+DCF!I9+DCF!I10</f>
        <v>121446.94767579614</v>
      </c>
      <c r="J13" s="468">
        <f>('Pro Forma'!P64*J5)+DCF!J8+DCF!J9+DCF!J10</f>
        <v>193717.29811466037</v>
      </c>
      <c r="K13" s="468">
        <f>('Pro Forma'!Q64*K5)+DCF!K8+DCF!K9+DCF!K10</f>
        <v>178320.93124409497</v>
      </c>
      <c r="L13" s="468">
        <f>('Pro Forma'!R64*L5)+DCF!L8+DCF!L9+DCF!L10</f>
        <v>163111.06221862935</v>
      </c>
      <c r="M13" s="468">
        <f>('Pro Forma'!S64*M5)+DCF!M8+DCF!M9+DCF!M10</f>
        <v>155299.34486561784</v>
      </c>
      <c r="N13" s="468">
        <f>('Pro Forma'!T64*N5)+DCF!N8+DCF!N9+DCF!N10</f>
        <v>159991.42457871325</v>
      </c>
      <c r="O13" s="468">
        <f>('Pro Forma'!U64*O5)+DCF!O8+DCF!O9+DCF!O10</f>
        <v>205428.66753418589</v>
      </c>
      <c r="P13" s="468">
        <f>('Pro Forma'!V64*P5)+DCF!P8+DCF!P9+DCF!P10</f>
        <v>241969.77682691588</v>
      </c>
      <c r="Q13" s="468">
        <f>('Pro Forma'!W64*Q5)+DCF!Q8+DCF!Q9+DCF!Q10</f>
        <v>257738.14387270468</v>
      </c>
      <c r="R13" s="470"/>
    </row>
    <row r="14" spans="4:18" x14ac:dyDescent="0.3">
      <c r="D14" s="467" t="s">
        <v>240</v>
      </c>
      <c r="E14" s="469">
        <f>E13/($R$23)</f>
        <v>0.24225588771603629</v>
      </c>
      <c r="F14" s="469">
        <f t="shared" ref="F14:Q14" si="3">F13/($R$23)</f>
        <v>0.17415234764970922</v>
      </c>
      <c r="G14" s="469">
        <f t="shared" si="3"/>
        <v>0.34558856031779617</v>
      </c>
      <c r="H14" s="469">
        <f t="shared" si="3"/>
        <v>0.58994552230487918</v>
      </c>
      <c r="I14" s="469">
        <f t="shared" si="3"/>
        <v>0.33763183520315587</v>
      </c>
      <c r="J14" s="469">
        <f t="shared" si="3"/>
        <v>0.53854895594123353</v>
      </c>
      <c r="K14" s="469">
        <f t="shared" si="3"/>
        <v>0.49574587441919327</v>
      </c>
      <c r="L14" s="469">
        <f t="shared" si="3"/>
        <v>0.45346127121964291</v>
      </c>
      <c r="M14" s="469">
        <f t="shared" si="3"/>
        <v>0.43174409745397191</v>
      </c>
      <c r="N14" s="469">
        <f t="shared" si="3"/>
        <v>0.44478843915847427</v>
      </c>
      <c r="O14" s="469">
        <f t="shared" si="3"/>
        <v>0.5711074617376255</v>
      </c>
      <c r="P14" s="469">
        <f t="shared" si="3"/>
        <v>0.67269454998457301</v>
      </c>
      <c r="Q14" s="469">
        <f t="shared" si="3"/>
        <v>0.71653182054355691</v>
      </c>
      <c r="R14" s="470"/>
    </row>
    <row r="15" spans="4:18" x14ac:dyDescent="0.3">
      <c r="D15" s="466"/>
      <c r="E15" s="299"/>
      <c r="F15" s="299"/>
      <c r="G15" s="299"/>
      <c r="H15" s="299"/>
      <c r="I15" s="299"/>
      <c r="J15" s="299"/>
      <c r="K15" s="299"/>
      <c r="L15" s="299"/>
      <c r="M15" s="299"/>
      <c r="N15" s="299"/>
      <c r="O15" s="299"/>
      <c r="P15" s="299"/>
      <c r="Q15" s="299"/>
      <c r="R15" s="294"/>
    </row>
    <row r="16" spans="4:18" x14ac:dyDescent="0.3">
      <c r="D16" s="158" t="s">
        <v>119</v>
      </c>
      <c r="E16" s="303"/>
      <c r="F16" s="303"/>
      <c r="G16" s="303"/>
      <c r="H16" s="300">
        <v>1</v>
      </c>
      <c r="I16" s="300">
        <v>2</v>
      </c>
      <c r="J16" s="300">
        <v>3</v>
      </c>
      <c r="K16" s="300">
        <v>4</v>
      </c>
      <c r="L16" s="300">
        <v>5</v>
      </c>
      <c r="M16" s="300">
        <v>6</v>
      </c>
      <c r="N16" s="300">
        <v>7</v>
      </c>
      <c r="O16" s="300">
        <v>8</v>
      </c>
      <c r="P16" s="300">
        <v>9</v>
      </c>
      <c r="Q16" s="300">
        <v>10</v>
      </c>
      <c r="R16" s="165">
        <v>10</v>
      </c>
    </row>
    <row r="17" spans="4:20" x14ac:dyDescent="0.3">
      <c r="D17" s="164" t="s">
        <v>120</v>
      </c>
      <c r="E17" s="304"/>
      <c r="F17" s="304"/>
      <c r="G17" s="304"/>
      <c r="H17" s="299">
        <f t="shared" ref="H17:L17" si="4">(H12)/((1+$Q$29)^H16)</f>
        <v>-799896.14429807209</v>
      </c>
      <c r="I17" s="299">
        <f t="shared" si="4"/>
        <v>11489.435517185409</v>
      </c>
      <c r="J17" s="299">
        <f t="shared" si="4"/>
        <v>138143.00273532112</v>
      </c>
      <c r="K17" s="299">
        <f t="shared" si="4"/>
        <v>113609.93423684593</v>
      </c>
      <c r="L17" s="299">
        <f t="shared" si="4"/>
        <v>92843.370256872935</v>
      </c>
      <c r="M17" s="299">
        <f>(M12)/((1+$Q$30)^M16)</f>
        <v>90091.726263734279</v>
      </c>
      <c r="N17" s="299">
        <f t="shared" ref="N17:R17" si="5">(N12)/((1+$Q$30)^N16)</f>
        <v>84761.351181380727</v>
      </c>
      <c r="O17" s="299">
        <f t="shared" si="5"/>
        <v>99391.237008459488</v>
      </c>
      <c r="P17" s="299">
        <f t="shared" si="5"/>
        <v>106913.87029446244</v>
      </c>
      <c r="Q17" s="299">
        <f t="shared" si="5"/>
        <v>104000.99751652835</v>
      </c>
      <c r="R17" s="294">
        <f t="shared" si="5"/>
        <v>1172289.1895292064</v>
      </c>
    </row>
    <row r="18" spans="4:20" x14ac:dyDescent="0.3">
      <c r="D18" s="163"/>
      <c r="E18" s="303"/>
      <c r="F18" s="303"/>
      <c r="G18" s="303"/>
      <c r="H18" s="603"/>
      <c r="I18" s="603"/>
      <c r="J18" s="303"/>
      <c r="K18" s="303"/>
      <c r="L18" s="303"/>
      <c r="M18" s="303"/>
      <c r="N18" s="303"/>
      <c r="O18" s="303"/>
      <c r="P18" s="303"/>
      <c r="Q18" s="303"/>
      <c r="R18" s="166"/>
      <c r="T18" s="182"/>
    </row>
    <row r="19" spans="4:20" x14ac:dyDescent="0.3">
      <c r="D19" s="167" t="s">
        <v>121</v>
      </c>
      <c r="E19" s="304"/>
      <c r="F19" s="304"/>
      <c r="G19" s="304"/>
      <c r="H19" s="304"/>
      <c r="I19" s="304"/>
      <c r="J19" s="550"/>
      <c r="K19" s="304"/>
      <c r="L19" s="304"/>
      <c r="M19" s="304"/>
      <c r="N19" s="304"/>
      <c r="O19" s="304"/>
      <c r="P19" s="304"/>
      <c r="Q19" s="304"/>
      <c r="R19" s="294">
        <f>SUM(H17:R17)</f>
        <v>1213637.970241925</v>
      </c>
    </row>
    <row r="20" spans="4:20" x14ac:dyDescent="0.3">
      <c r="D20" s="158" t="s">
        <v>122</v>
      </c>
      <c r="E20" s="303"/>
      <c r="F20" s="303"/>
      <c r="G20" s="303"/>
      <c r="H20" s="562"/>
      <c r="I20" s="303"/>
      <c r="J20" s="303"/>
      <c r="K20" s="303"/>
      <c r="L20" s="303"/>
      <c r="M20" s="303"/>
      <c r="N20" s="303"/>
      <c r="O20" s="303"/>
      <c r="P20" s="303"/>
      <c r="Q20" s="303"/>
      <c r="R20" s="295">
        <f>'Pro Forma'!W135</f>
        <v>2183145.7946178154</v>
      </c>
    </row>
    <row r="21" spans="4:20" x14ac:dyDescent="0.3">
      <c r="D21" s="164" t="s">
        <v>123</v>
      </c>
      <c r="E21" s="304"/>
      <c r="F21" s="304"/>
      <c r="G21" s="304"/>
      <c r="H21" s="304"/>
      <c r="I21" s="304"/>
      <c r="J21" s="304"/>
      <c r="K21" s="304"/>
      <c r="L21" s="304"/>
      <c r="M21" s="304"/>
      <c r="N21" s="304"/>
      <c r="O21" s="304"/>
      <c r="P21" s="304"/>
      <c r="Q21" s="304"/>
      <c r="R21" s="294">
        <f>'Pro Forma'!W129+'Pro Forma'!W131</f>
        <v>5820.340202030342</v>
      </c>
    </row>
    <row r="22" spans="4:20" x14ac:dyDescent="0.3">
      <c r="D22" s="163" t="s">
        <v>124</v>
      </c>
      <c r="E22" s="303"/>
      <c r="F22" s="303"/>
      <c r="G22" s="303"/>
      <c r="H22" s="303"/>
      <c r="I22" s="303"/>
      <c r="J22" s="303"/>
      <c r="K22" s="303"/>
      <c r="L22" s="303"/>
      <c r="M22" s="303"/>
      <c r="N22" s="303"/>
      <c r="O22" s="303"/>
      <c r="P22" s="303"/>
      <c r="Q22" s="303"/>
      <c r="R22" s="295">
        <f>R19+R20-R21</f>
        <v>3390963.4246577104</v>
      </c>
    </row>
    <row r="23" spans="4:20" x14ac:dyDescent="0.3">
      <c r="D23" s="164" t="s">
        <v>125</v>
      </c>
      <c r="E23" s="304"/>
      <c r="F23" s="304"/>
      <c r="G23" s="304"/>
      <c r="H23" s="304"/>
      <c r="I23" s="304"/>
      <c r="J23" s="304"/>
      <c r="K23" s="304"/>
      <c r="L23" s="304"/>
      <c r="M23" s="304"/>
      <c r="N23" s="304"/>
      <c r="O23" s="304"/>
      <c r="P23" s="304"/>
      <c r="Q23" s="304"/>
      <c r="R23" s="415">
        <f>(Cover!L20*1000)</f>
        <v>359702.3</v>
      </c>
    </row>
    <row r="24" spans="4:20" ht="16.2" thickBot="1" x14ac:dyDescent="0.35">
      <c r="D24" s="168"/>
      <c r="E24" s="169"/>
      <c r="F24" s="169"/>
      <c r="G24" s="169"/>
      <c r="H24" s="169"/>
      <c r="I24" s="169"/>
      <c r="J24" s="169"/>
      <c r="K24" s="169"/>
      <c r="L24" s="169"/>
      <c r="M24" s="169"/>
      <c r="N24" s="169"/>
      <c r="O24" s="169"/>
      <c r="P24" s="169"/>
      <c r="Q24" s="169"/>
      <c r="R24" s="298"/>
    </row>
    <row r="25" spans="4:20" ht="16.2" thickTop="1" x14ac:dyDescent="0.3">
      <c r="D25" s="167" t="s">
        <v>126</v>
      </c>
      <c r="E25" s="304"/>
      <c r="F25" s="304"/>
      <c r="G25" s="304"/>
      <c r="H25" s="304"/>
      <c r="I25" s="304"/>
      <c r="J25" s="304"/>
      <c r="K25" s="304"/>
      <c r="L25" s="304"/>
      <c r="M25" s="304"/>
      <c r="N25" s="304"/>
      <c r="O25" s="304"/>
      <c r="P25" s="304"/>
      <c r="Q25" s="304"/>
      <c r="R25" s="297">
        <f>(R22/R23)</f>
        <v>9.4271385661356923</v>
      </c>
    </row>
    <row r="26" spans="4:20" x14ac:dyDescent="0.3">
      <c r="D26" s="163" t="s">
        <v>127</v>
      </c>
      <c r="E26" s="303"/>
      <c r="F26" s="303"/>
      <c r="G26" s="303"/>
      <c r="H26" s="303"/>
      <c r="I26" s="303"/>
      <c r="J26" s="303"/>
      <c r="K26" s="303"/>
      <c r="L26" s="303"/>
      <c r="M26" s="303"/>
      <c r="N26" s="303"/>
      <c r="O26" s="303"/>
      <c r="P26" s="303"/>
      <c r="Q26" s="303"/>
      <c r="R26" s="293">
        <f>Cover!L12</f>
        <v>5.98</v>
      </c>
    </row>
    <row r="27" spans="4:20" ht="16.2" thickBot="1" x14ac:dyDescent="0.35">
      <c r="D27" s="170" t="s">
        <v>128</v>
      </c>
      <c r="E27" s="171"/>
      <c r="F27" s="171"/>
      <c r="G27" s="171"/>
      <c r="H27" s="171"/>
      <c r="I27" s="171"/>
      <c r="J27" s="171"/>
      <c r="K27" s="171"/>
      <c r="L27" s="171"/>
      <c r="M27" s="171"/>
      <c r="N27" s="171"/>
      <c r="O27" s="171"/>
      <c r="P27" s="171"/>
      <c r="Q27" s="171"/>
      <c r="R27" s="373">
        <f>(R25/R26)-1</f>
        <v>0.57644457627687151</v>
      </c>
    </row>
    <row r="28" spans="4:20" ht="16.2" thickBot="1" x14ac:dyDescent="0.35"/>
    <row r="29" spans="4:20" x14ac:dyDescent="0.3">
      <c r="H29" s="702" t="s">
        <v>393</v>
      </c>
      <c r="N29" s="149" t="s">
        <v>390</v>
      </c>
      <c r="O29" s="172"/>
      <c r="P29" s="172"/>
      <c r="Q29" s="173">
        <f>'Wacc &amp; Beta'!C24</f>
        <v>0.11929999999999999</v>
      </c>
    </row>
    <row r="30" spans="4:20" x14ac:dyDescent="0.3">
      <c r="D30" s="178"/>
      <c r="E30" s="698">
        <f>R25</f>
        <v>9.4271385661356923</v>
      </c>
      <c r="F30" s="179">
        <f>G30-0.005</f>
        <v>0.10929999999999999</v>
      </c>
      <c r="G30" s="179">
        <f>H30-0.005</f>
        <v>0.1143</v>
      </c>
      <c r="H30" s="700">
        <v>0.1193</v>
      </c>
      <c r="I30" s="179">
        <f>H30+0.005</f>
        <v>0.12430000000000001</v>
      </c>
      <c r="J30" s="179">
        <f>I30+0.005</f>
        <v>0.1293</v>
      </c>
      <c r="N30" s="693" t="s">
        <v>389</v>
      </c>
      <c r="O30" s="694"/>
      <c r="P30" s="694"/>
      <c r="Q30" s="695">
        <f>'Wacc &amp; Beta'!D24</f>
        <v>9.5000000000000001E-2</v>
      </c>
    </row>
    <row r="31" spans="4:20" ht="16.2" thickBot="1" x14ac:dyDescent="0.35">
      <c r="D31" s="180"/>
      <c r="E31" s="697">
        <f t="shared" ref="E31" si="6">E32-0.0025</f>
        <v>1.5000000000000001E-2</v>
      </c>
      <c r="F31" s="182">
        <f t="dataTable" ref="F31:J35" dt2D="1" dtr="1" r1="Q29" r2="Q31"/>
        <v>9.5836817869043962</v>
      </c>
      <c r="G31" s="182">
        <v>9.4196324131873084</v>
      </c>
      <c r="H31" s="182">
        <v>9.2709039584495159</v>
      </c>
      <c r="I31" s="182">
        <v>9.1354252738289912</v>
      </c>
      <c r="J31" s="182">
        <v>9.0114863021078193</v>
      </c>
      <c r="N31" s="175" t="s">
        <v>130</v>
      </c>
      <c r="O31" s="176"/>
      <c r="P31" s="176"/>
      <c r="Q31" s="177">
        <f>'Wacc &amp; Beta'!D27</f>
        <v>0.02</v>
      </c>
    </row>
    <row r="32" spans="4:20" x14ac:dyDescent="0.3">
      <c r="D32" s="529" t="s">
        <v>112</v>
      </c>
      <c r="E32" s="697">
        <f>E33-0.0025</f>
        <v>1.7500000000000002E-2</v>
      </c>
      <c r="F32" s="182">
        <v>9.6763069397747401</v>
      </c>
      <c r="G32" s="182">
        <v>9.5034262011383284</v>
      </c>
      <c r="H32" s="182">
        <v>9.3471028609212112</v>
      </c>
      <c r="I32" s="182">
        <v>9.2050438432377693</v>
      </c>
      <c r="J32" s="182">
        <v>9.0753649320510537</v>
      </c>
    </row>
    <row r="33" spans="4:10" x14ac:dyDescent="0.3">
      <c r="D33" s="703" t="s">
        <v>395</v>
      </c>
      <c r="E33" s="699">
        <v>0.02</v>
      </c>
      <c r="F33" s="182">
        <v>9.7741182714172226</v>
      </c>
      <c r="G33" s="182">
        <v>9.5916629258842079</v>
      </c>
      <c r="H33" s="182">
        <v>9.4271385661356923</v>
      </c>
      <c r="I33" s="182">
        <v>9.2779998320812922</v>
      </c>
      <c r="J33" s="182">
        <v>9.1421657317080687</v>
      </c>
    </row>
    <row r="34" spans="4:10" x14ac:dyDescent="0.3">
      <c r="D34" s="180"/>
      <c r="E34" s="697">
        <f>E33+0.0025</f>
        <v>2.2499999999999999E-2</v>
      </c>
      <c r="F34" s="182">
        <v>9.8775638963570813</v>
      </c>
      <c r="G34" s="182">
        <v>9.6847055724572062</v>
      </c>
      <c r="H34" s="182">
        <v>9.5113083470327364</v>
      </c>
      <c r="I34" s="182">
        <v>9.3545391209662441</v>
      </c>
      <c r="J34" s="182">
        <v>9.2120939096261782</v>
      </c>
    </row>
    <row r="35" spans="4:10" x14ac:dyDescent="0.3">
      <c r="D35" s="180"/>
      <c r="E35" s="697">
        <f>E34+0.0025</f>
        <v>2.4999999999999998E-2</v>
      </c>
      <c r="F35" s="182">
        <v>9.9871450862399929</v>
      </c>
      <c r="G35" s="182">
        <v>9.7829577737095406</v>
      </c>
      <c r="H35" s="182">
        <v>9.5999410007239003</v>
      </c>
      <c r="I35" s="182">
        <v>9.4349323518897119</v>
      </c>
      <c r="J35" s="182">
        <v>9.2853743491894534</v>
      </c>
    </row>
    <row r="37" spans="4:10" x14ac:dyDescent="0.3">
      <c r="F37" s="702" t="s">
        <v>394</v>
      </c>
      <c r="G37" s="174"/>
      <c r="H37" s="174"/>
      <c r="I37" s="174"/>
      <c r="J37" s="174"/>
    </row>
    <row r="38" spans="4:10" x14ac:dyDescent="0.3">
      <c r="E38" s="387">
        <f>R25</f>
        <v>9.4271385661356923</v>
      </c>
      <c r="F38" s="181">
        <f>G38-0.005</f>
        <v>8.4999999999999992E-2</v>
      </c>
      <c r="G38" s="181">
        <f>H38-0.005</f>
        <v>0.09</v>
      </c>
      <c r="H38" s="701">
        <v>9.5000000000000001E-2</v>
      </c>
      <c r="I38" s="181">
        <f>H38+0.005</f>
        <v>0.1</v>
      </c>
      <c r="J38" s="181">
        <f>I38+0.005</f>
        <v>0.10500000000000001</v>
      </c>
    </row>
    <row r="39" spans="4:10" x14ac:dyDescent="0.3">
      <c r="E39" s="179">
        <f>E40-0.0025</f>
        <v>1.5000000000000001E-2</v>
      </c>
      <c r="F39" s="182">
        <f t="dataTable" ref="F39:J43" dt2D="1" dtr="1" r1="Q30" r2="Q31" ca="1"/>
        <v>9.6732456234550046</v>
      </c>
      <c r="G39" s="182">
        <v>9.4671966424775569</v>
      </c>
      <c r="H39" s="182">
        <v>9.2709039584495159</v>
      </c>
      <c r="I39" s="182">
        <v>9.0838602407561329</v>
      </c>
      <c r="J39" s="182">
        <v>8.9055868152025397</v>
      </c>
    </row>
    <row r="40" spans="4:10" x14ac:dyDescent="0.3">
      <c r="D40" s="529" t="s">
        <v>112</v>
      </c>
      <c r="E40" s="179">
        <f>E41-0.0025</f>
        <v>1.7500000000000002E-2</v>
      </c>
      <c r="F40" s="182">
        <v>9.7567660158292426</v>
      </c>
      <c r="G40" s="182">
        <v>9.5469639491433291</v>
      </c>
      <c r="H40" s="182">
        <v>9.3471028609212112</v>
      </c>
      <c r="I40" s="182">
        <v>9.156665550892173</v>
      </c>
      <c r="J40" s="182">
        <v>8.9751640440668119</v>
      </c>
    </row>
    <row r="41" spans="4:10" x14ac:dyDescent="0.3">
      <c r="D41" s="703" t="s">
        <v>395</v>
      </c>
      <c r="E41" s="700">
        <v>0.02</v>
      </c>
      <c r="F41" s="182">
        <v>9.8444918660269565</v>
      </c>
      <c r="G41" s="182">
        <v>9.630747736507276</v>
      </c>
      <c r="H41" s="182">
        <v>9.4271385661356923</v>
      </c>
      <c r="I41" s="182">
        <v>9.2331367880239874</v>
      </c>
      <c r="J41" s="182">
        <v>9.0482446580702725</v>
      </c>
    </row>
    <row r="42" spans="4:10" x14ac:dyDescent="0.3">
      <c r="E42" s="179">
        <f>E41+0.0025</f>
        <v>2.2499999999999999E-2</v>
      </c>
      <c r="F42" s="182">
        <v>9.9367490101398399</v>
      </c>
      <c r="G42" s="182">
        <v>9.7188591988383699</v>
      </c>
      <c r="H42" s="182">
        <v>9.5113083470327364</v>
      </c>
      <c r="I42" s="182">
        <v>9.3135579857514514</v>
      </c>
      <c r="J42" s="182">
        <v>9.1251000971772154</v>
      </c>
    </row>
    <row r="43" spans="4:10" x14ac:dyDescent="0.3">
      <c r="E43" s="179">
        <f>E42+0.0025</f>
        <v>2.4999999999999998E-2</v>
      </c>
      <c r="F43" s="182">
        <v>10.033897837397628</v>
      </c>
      <c r="G43" s="182">
        <v>9.8116425308582809</v>
      </c>
      <c r="H43" s="182">
        <v>9.5999410007239003</v>
      </c>
      <c r="I43" s="182">
        <v>9.3982432978865216</v>
      </c>
      <c r="J43" s="182">
        <v>9.2060305860777412</v>
      </c>
    </row>
  </sheetData>
  <conditionalFormatting sqref="F31:J35">
    <cfRule type="colorScale" priority="3">
      <colorScale>
        <cfvo type="min"/>
        <cfvo type="percentile" val="50"/>
        <cfvo type="max"/>
        <color rgb="FFF8696B"/>
        <color rgb="FFFFEB84"/>
        <color rgb="FF63BE7B"/>
      </colorScale>
    </cfRule>
  </conditionalFormatting>
  <conditionalFormatting sqref="F39:J43">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01AFE-D6E2-49E7-ADB2-B4EA2EA4B8B4}">
  <sheetPr>
    <pageSetUpPr autoPageBreaks="0"/>
  </sheetPr>
  <dimension ref="B1:AA212"/>
  <sheetViews>
    <sheetView showGridLines="0" tabSelected="1" zoomScale="65" zoomScaleNormal="65" workbookViewId="0">
      <pane xSplit="2" ySplit="4" topLeftCell="I5" activePane="bottomRight" state="frozen"/>
      <selection pane="topRight" activeCell="C1" sqref="C1"/>
      <selection pane="bottomLeft" activeCell="A5" sqref="A5"/>
      <selection pane="bottomRight" activeCell="P20" sqref="P20"/>
    </sheetView>
  </sheetViews>
  <sheetFormatPr defaultRowHeight="15.6" x14ac:dyDescent="0.3"/>
  <cols>
    <col min="1" max="1" width="8.88671875" style="4"/>
    <col min="2" max="2" width="47.5546875" style="4" customWidth="1"/>
    <col min="3" max="4" width="17" style="4" bestFit="1" customWidth="1"/>
    <col min="5" max="8" width="17" style="4" customWidth="1"/>
    <col min="9" max="9" width="16.6640625" style="4" bestFit="1" customWidth="1"/>
    <col min="10" max="13" width="16.6640625" style="4" customWidth="1"/>
    <col min="14" max="14" width="16.6640625" style="4" bestFit="1" customWidth="1"/>
    <col min="15" max="23" width="16.6640625" style="4" customWidth="1"/>
    <col min="24" max="24" width="18.109375" style="4" bestFit="1" customWidth="1"/>
    <col min="25" max="28" width="18.109375" style="4" customWidth="1"/>
    <col min="29" max="30" width="18.77734375" style="4" bestFit="1" customWidth="1"/>
    <col min="31" max="31" width="17.44140625" style="4" bestFit="1" customWidth="1"/>
    <col min="32" max="33" width="16.6640625" style="4" bestFit="1" customWidth="1"/>
    <col min="34" max="35" width="16.6640625" style="4" customWidth="1"/>
    <col min="36" max="36" width="17.5546875" style="4" bestFit="1" customWidth="1"/>
    <col min="37" max="37" width="18.77734375" style="4" bestFit="1" customWidth="1"/>
    <col min="38" max="38" width="17.88671875" style="4" bestFit="1" customWidth="1"/>
    <col min="39" max="39" width="12.109375" style="4" bestFit="1" customWidth="1"/>
    <col min="40" max="40" width="11.109375" style="4" customWidth="1"/>
    <col min="41" max="41" width="8.88671875" style="4"/>
    <col min="42" max="42" width="20.77734375" style="4" bestFit="1" customWidth="1"/>
    <col min="43" max="16384" width="8.88671875" style="4"/>
  </cols>
  <sheetData>
    <row r="1" spans="2:24" ht="16.8" thickBot="1" x14ac:dyDescent="0.4">
      <c r="D1" s="388"/>
      <c r="F1" s="16" t="s">
        <v>7</v>
      </c>
      <c r="G1" s="17"/>
      <c r="H1" s="18">
        <f>(R25/I25)^(1/5)-1</f>
        <v>0.29576216748294648</v>
      </c>
      <c r="J1" s="433" t="s">
        <v>223</v>
      </c>
      <c r="K1" s="434">
        <v>800</v>
      </c>
      <c r="L1" s="435" t="s">
        <v>224</v>
      </c>
      <c r="M1" s="436">
        <v>800</v>
      </c>
      <c r="N1" s="437" t="s">
        <v>225</v>
      </c>
      <c r="O1" s="438">
        <v>800</v>
      </c>
      <c r="P1" s="439" t="s">
        <v>226</v>
      </c>
      <c r="R1" s="16" t="s">
        <v>7</v>
      </c>
      <c r="S1" s="17"/>
      <c r="T1" s="18">
        <f>(R25/I25)^(1/5)-1</f>
        <v>0.29576216748294648</v>
      </c>
      <c r="V1" s="13">
        <f>(R9/I9)^(1/5)-1</f>
        <v>0.14106057517364201</v>
      </c>
    </row>
    <row r="2" spans="2:24" ht="16.8" thickBot="1" x14ac:dyDescent="0.4">
      <c r="F2" s="19" t="s">
        <v>8</v>
      </c>
      <c r="G2" s="20"/>
      <c r="H2" s="21">
        <f>ABS((R98/I98)^(1/5)-1)</f>
        <v>1.7530304712489315</v>
      </c>
      <c r="R2" s="19" t="s">
        <v>8</v>
      </c>
      <c r="S2" s="20"/>
      <c r="T2" s="21">
        <f>ABS((R98/I98)^(1/5)-1)</f>
        <v>1.7530304712489315</v>
      </c>
    </row>
    <row r="3" spans="2:24" ht="16.8" thickBot="1" x14ac:dyDescent="0.4">
      <c r="B3" s="1" t="s">
        <v>0</v>
      </c>
      <c r="C3" s="2">
        <v>18</v>
      </c>
      <c r="D3" s="2">
        <f>C3+1</f>
        <v>19</v>
      </c>
      <c r="E3" s="76">
        <v>1</v>
      </c>
      <c r="F3" s="76">
        <f>E3+1</f>
        <v>2</v>
      </c>
      <c r="G3" s="76">
        <f t="shared" ref="G3:H3" si="0">F3+1</f>
        <v>3</v>
      </c>
      <c r="H3" s="76">
        <f t="shared" si="0"/>
        <v>4</v>
      </c>
      <c r="I3" s="2">
        <f>D3+1</f>
        <v>20</v>
      </c>
      <c r="J3" s="78">
        <v>1</v>
      </c>
      <c r="K3" s="78">
        <f>J3+1</f>
        <v>2</v>
      </c>
      <c r="L3" s="78">
        <f t="shared" ref="L3:M3" si="1">K3+1</f>
        <v>3</v>
      </c>
      <c r="M3" s="78">
        <f t="shared" si="1"/>
        <v>4</v>
      </c>
      <c r="N3" s="3">
        <f t="shared" ref="N3" si="2">I3+1</f>
        <v>21</v>
      </c>
      <c r="O3" s="3">
        <f>N3+1</f>
        <v>22</v>
      </c>
      <c r="P3" s="3">
        <f t="shared" ref="P3:W3" si="3">O3+1</f>
        <v>23</v>
      </c>
      <c r="Q3" s="3">
        <f t="shared" si="3"/>
        <v>24</v>
      </c>
      <c r="R3" s="3">
        <f t="shared" si="3"/>
        <v>25</v>
      </c>
      <c r="S3" s="3">
        <f t="shared" si="3"/>
        <v>26</v>
      </c>
      <c r="T3" s="3">
        <f t="shared" si="3"/>
        <v>27</v>
      </c>
      <c r="U3" s="3">
        <f t="shared" si="3"/>
        <v>28</v>
      </c>
      <c r="V3" s="3">
        <f t="shared" si="3"/>
        <v>29</v>
      </c>
      <c r="W3" s="3">
        <f t="shared" si="3"/>
        <v>30</v>
      </c>
    </row>
    <row r="4" spans="2:24" ht="16.2" x14ac:dyDescent="0.35">
      <c r="B4" s="6" t="s">
        <v>1</v>
      </c>
      <c r="C4" s="7" t="s">
        <v>2</v>
      </c>
      <c r="D4" s="7" t="s">
        <v>2</v>
      </c>
      <c r="E4" s="77" t="s">
        <v>2</v>
      </c>
      <c r="F4" s="77" t="s">
        <v>2</v>
      </c>
      <c r="G4" s="77" t="s">
        <v>2</v>
      </c>
      <c r="H4" s="77" t="s">
        <v>2</v>
      </c>
      <c r="I4" s="7" t="s">
        <v>2</v>
      </c>
      <c r="J4" s="7" t="s">
        <v>2</v>
      </c>
      <c r="K4" s="7" t="s">
        <v>2</v>
      </c>
      <c r="L4" s="7" t="s">
        <v>2</v>
      </c>
      <c r="M4" s="368" t="s">
        <v>72</v>
      </c>
      <c r="N4" s="368" t="s">
        <v>72</v>
      </c>
      <c r="O4" s="368" t="s">
        <v>72</v>
      </c>
      <c r="P4" s="368" t="s">
        <v>72</v>
      </c>
      <c r="Q4" s="368" t="s">
        <v>72</v>
      </c>
      <c r="R4" s="368" t="s">
        <v>72</v>
      </c>
      <c r="S4" s="368" t="s">
        <v>72</v>
      </c>
      <c r="T4" s="368" t="s">
        <v>72</v>
      </c>
      <c r="U4" s="368" t="s">
        <v>72</v>
      </c>
      <c r="V4" s="368" t="s">
        <v>72</v>
      </c>
      <c r="W4" s="368" t="s">
        <v>72</v>
      </c>
      <c r="X4" s="8" t="s">
        <v>3</v>
      </c>
    </row>
    <row r="5" spans="2:24" ht="16.2" x14ac:dyDescent="0.35">
      <c r="B5" s="9"/>
      <c r="C5" s="36"/>
      <c r="D5" s="36"/>
      <c r="E5" s="46"/>
      <c r="F5" s="46"/>
      <c r="G5" s="46"/>
      <c r="H5" s="46"/>
      <c r="I5" s="36"/>
      <c r="J5" s="47"/>
      <c r="K5" s="47"/>
      <c r="L5" s="47"/>
      <c r="M5" s="47"/>
      <c r="N5" s="91"/>
      <c r="O5" s="36"/>
      <c r="P5" s="36"/>
      <c r="Q5" s="36"/>
      <c r="R5" s="36"/>
      <c r="S5" s="36"/>
      <c r="T5" s="36"/>
      <c r="U5" s="36"/>
      <c r="V5" s="36"/>
      <c r="W5" s="36"/>
    </row>
    <row r="6" spans="2:24" ht="16.2" x14ac:dyDescent="0.35">
      <c r="B6" s="25" t="s">
        <v>37</v>
      </c>
      <c r="C6" s="37"/>
      <c r="D6" s="37"/>
      <c r="E6" s="46"/>
      <c r="F6" s="46"/>
      <c r="G6" s="46"/>
      <c r="H6" s="46"/>
      <c r="I6" s="37"/>
      <c r="J6" s="47"/>
      <c r="K6" s="47"/>
      <c r="L6" s="47"/>
      <c r="M6" s="47"/>
      <c r="N6" s="92"/>
      <c r="O6" s="37"/>
      <c r="P6" s="37"/>
      <c r="Q6" s="37"/>
      <c r="R6" s="37"/>
      <c r="S6" s="37"/>
      <c r="T6" s="37"/>
      <c r="U6" s="37"/>
      <c r="V6" s="37"/>
      <c r="W6" s="37"/>
    </row>
    <row r="7" spans="2:24" ht="16.2" x14ac:dyDescent="0.35">
      <c r="B7" s="11" t="s">
        <v>77</v>
      </c>
      <c r="C7" s="334">
        <f>C9+C11</f>
        <v>3294</v>
      </c>
      <c r="D7" s="334">
        <f>D9+D11</f>
        <v>5553</v>
      </c>
      <c r="E7" s="335">
        <f>E9+E11</f>
        <v>6500</v>
      </c>
      <c r="F7" s="335">
        <f>F9+F11</f>
        <v>7500</v>
      </c>
      <c r="G7" s="335">
        <f>SUM(G9+G11)</f>
        <v>8933.5130000000008</v>
      </c>
      <c r="H7" s="335">
        <f>H9+H11</f>
        <v>10387</v>
      </c>
      <c r="I7" s="334">
        <f>H7</f>
        <v>10387</v>
      </c>
      <c r="J7" s="335">
        <f>J9+J11</f>
        <v>11900</v>
      </c>
      <c r="K7" s="335">
        <f>K9+K11</f>
        <v>12964.847</v>
      </c>
      <c r="L7" s="335">
        <f>L9+L11</f>
        <v>13765.562</v>
      </c>
      <c r="M7" s="90">
        <f>M9+M11</f>
        <v>15050.720500000001</v>
      </c>
      <c r="N7" s="328">
        <f>M7</f>
        <v>15050.720500000001</v>
      </c>
      <c r="O7" s="89">
        <f>O9+O11</f>
        <v>20124.472675000005</v>
      </c>
      <c r="P7" s="89">
        <f t="shared" ref="P7:W7" si="4">P9+P11</f>
        <v>26873.386956887509</v>
      </c>
      <c r="Q7" s="89">
        <f t="shared" si="4"/>
        <v>35833.910371668411</v>
      </c>
      <c r="R7" s="89">
        <f t="shared" si="4"/>
        <v>47707.700907236103</v>
      </c>
      <c r="S7" s="89">
        <f t="shared" si="4"/>
        <v>63410.22561132913</v>
      </c>
      <c r="T7" s="89">
        <f t="shared" si="4"/>
        <v>84132.935951464708</v>
      </c>
      <c r="U7" s="89">
        <f t="shared" si="4"/>
        <v>111422.60364898038</v>
      </c>
      <c r="V7" s="89">
        <f t="shared" si="4"/>
        <v>147282.28800231154</v>
      </c>
      <c r="W7" s="89">
        <f t="shared" si="4"/>
        <v>194299.49838784485</v>
      </c>
    </row>
    <row r="8" spans="2:24" x14ac:dyDescent="0.3">
      <c r="B8" s="12" t="s">
        <v>6</v>
      </c>
      <c r="C8" s="37"/>
      <c r="D8" s="41">
        <f>(D7/C7)-1</f>
        <v>0.68579234972677594</v>
      </c>
      <c r="E8" s="46"/>
      <c r="F8" s="49">
        <f>(F7/E7)-1</f>
        <v>0.15384615384615374</v>
      </c>
      <c r="G8" s="49">
        <f t="shared" ref="G8:H8" si="5">(G7/F7)-1</f>
        <v>0.19113506666666669</v>
      </c>
      <c r="H8" s="49">
        <f t="shared" si="5"/>
        <v>0.16270049643404549</v>
      </c>
      <c r="I8" s="41">
        <f>(I7/D7)-1</f>
        <v>0.87052043940212487</v>
      </c>
      <c r="J8" s="55">
        <f>(J7/H7)-1</f>
        <v>0.14566284779050731</v>
      </c>
      <c r="K8" s="49">
        <f t="shared" ref="K8:M8" si="6">(K7/J7)-1</f>
        <v>8.9482941176470598E-2</v>
      </c>
      <c r="L8" s="49">
        <f t="shared" si="6"/>
        <v>6.1760466590928598E-2</v>
      </c>
      <c r="M8" s="49">
        <f t="shared" si="6"/>
        <v>9.3360409113699916E-2</v>
      </c>
      <c r="N8" s="340">
        <f>(N7/I7)-1</f>
        <v>0.44899590834697234</v>
      </c>
      <c r="O8" s="41">
        <f>(O7/N7)-1</f>
        <v>0.33711025163213959</v>
      </c>
      <c r="P8" s="41">
        <f t="shared" ref="P8:W8" si="7">(P7/O7)-1</f>
        <v>0.33535856520958518</v>
      </c>
      <c r="Q8" s="41">
        <f t="shared" si="7"/>
        <v>0.33343483756461767</v>
      </c>
      <c r="R8" s="41">
        <f t="shared" si="7"/>
        <v>0.33135626038054555</v>
      </c>
      <c r="S8" s="41">
        <f t="shared" si="7"/>
        <v>0.32914025210783815</v>
      </c>
      <c r="T8" s="41">
        <f t="shared" si="7"/>
        <v>0.32680392066659314</v>
      </c>
      <c r="U8" s="41">
        <f t="shared" si="7"/>
        <v>0.32436366791310789</v>
      </c>
      <c r="V8" s="41">
        <f t="shared" si="7"/>
        <v>0.32183491660544505</v>
      </c>
      <c r="W8" s="41">
        <f t="shared" si="7"/>
        <v>0.31923193904208902</v>
      </c>
    </row>
    <row r="9" spans="2:24" ht="16.2" x14ac:dyDescent="0.35">
      <c r="B9" s="327" t="s">
        <v>78</v>
      </c>
      <c r="C9" s="350">
        <v>553</v>
      </c>
      <c r="D9" s="350">
        <v>526</v>
      </c>
      <c r="E9" s="351">
        <v>600</v>
      </c>
      <c r="F9" s="351">
        <v>700</v>
      </c>
      <c r="G9" s="351">
        <v>785.53899999999999</v>
      </c>
      <c r="H9" s="351">
        <v>857</v>
      </c>
      <c r="I9" s="350">
        <f>H9</f>
        <v>857</v>
      </c>
      <c r="J9" s="351">
        <v>1000</v>
      </c>
      <c r="K9" s="351">
        <v>994.49099999999999</v>
      </c>
      <c r="L9" s="351">
        <v>964.90700000000004</v>
      </c>
      <c r="M9" s="352">
        <v>970</v>
      </c>
      <c r="N9" s="353">
        <f>M9</f>
        <v>970</v>
      </c>
      <c r="O9" s="354">
        <f>N9*(1+O10)</f>
        <v>1115.5</v>
      </c>
      <c r="P9" s="354">
        <f t="shared" ref="P9:W9" si="8">O9*(1+P10)</f>
        <v>1277.8052499999999</v>
      </c>
      <c r="Q9" s="354">
        <f t="shared" si="8"/>
        <v>1458.1482939587499</v>
      </c>
      <c r="R9" s="354">
        <f t="shared" si="8"/>
        <v>1657.7701806425821</v>
      </c>
      <c r="S9" s="354">
        <f t="shared" si="8"/>
        <v>1877.9119838758741</v>
      </c>
      <c r="T9" s="354">
        <f t="shared" si="8"/>
        <v>2119.8060215494747</v>
      </c>
      <c r="U9" s="354">
        <f t="shared" si="8"/>
        <v>2384.6668823240698</v>
      </c>
      <c r="V9" s="354">
        <f t="shared" si="8"/>
        <v>2673.6823720394018</v>
      </c>
      <c r="W9" s="354">
        <f t="shared" si="8"/>
        <v>2988.0044926891278</v>
      </c>
    </row>
    <row r="10" spans="2:24" ht="16.2" x14ac:dyDescent="0.35">
      <c r="B10" s="12" t="s">
        <v>6</v>
      </c>
      <c r="C10" s="37"/>
      <c r="D10" s="41">
        <f>(D9/C9)-1</f>
        <v>-4.8824593128390603E-2</v>
      </c>
      <c r="E10" s="46"/>
      <c r="F10" s="49">
        <f t="shared" ref="F10:H10" si="9">(F9/E9)-1</f>
        <v>0.16666666666666674</v>
      </c>
      <c r="G10" s="49">
        <f t="shared" si="9"/>
        <v>0.12219857142857138</v>
      </c>
      <c r="H10" s="49">
        <f t="shared" si="9"/>
        <v>9.0970658363238588E-2</v>
      </c>
      <c r="I10" s="41">
        <f>(I9/D9)-1</f>
        <v>0.62927756653992395</v>
      </c>
      <c r="J10" s="55">
        <f>(J9/H9)-1</f>
        <v>0.16686114352392067</v>
      </c>
      <c r="K10" s="49">
        <f t="shared" ref="K10" si="10">(K9/J9)-1</f>
        <v>-5.5089999999999861E-3</v>
      </c>
      <c r="L10" s="49">
        <f t="shared" ref="L10:M10" si="11">(L9/K9)-1</f>
        <v>-2.9747881076852334E-2</v>
      </c>
      <c r="M10" s="49">
        <f t="shared" si="11"/>
        <v>5.2782288863071347E-3</v>
      </c>
      <c r="N10" s="340">
        <f>(N9/I9)-1</f>
        <v>0.1318553092182031</v>
      </c>
      <c r="O10" s="360">
        <v>0.15</v>
      </c>
      <c r="P10" s="360">
        <f>O10*(1+$X$10)</f>
        <v>0.14549999999999999</v>
      </c>
      <c r="Q10" s="360">
        <f>P10*(1+$X$10)</f>
        <v>0.14113499999999998</v>
      </c>
      <c r="R10" s="360">
        <f t="shared" ref="R10:W10" si="12">Q10*(1+$X$10)</f>
        <v>0.13690094999999997</v>
      </c>
      <c r="S10" s="360">
        <f t="shared" si="12"/>
        <v>0.13279392149999997</v>
      </c>
      <c r="T10" s="360">
        <f t="shared" si="12"/>
        <v>0.12881010385499997</v>
      </c>
      <c r="U10" s="360">
        <f t="shared" si="12"/>
        <v>0.12494580073934997</v>
      </c>
      <c r="V10" s="360">
        <f t="shared" si="12"/>
        <v>0.12119742671716946</v>
      </c>
      <c r="W10" s="360">
        <f t="shared" si="12"/>
        <v>0.11756150391565437</v>
      </c>
      <c r="X10" s="348">
        <v>-0.03</v>
      </c>
    </row>
    <row r="11" spans="2:24" ht="16.2" x14ac:dyDescent="0.35">
      <c r="B11" s="11" t="s">
        <v>79</v>
      </c>
      <c r="C11" s="332">
        <v>2741</v>
      </c>
      <c r="D11" s="332">
        <v>5027</v>
      </c>
      <c r="E11" s="333">
        <v>5900</v>
      </c>
      <c r="F11" s="333">
        <v>6800</v>
      </c>
      <c r="G11" s="333">
        <v>8147.9740000000002</v>
      </c>
      <c r="H11" s="333">
        <v>9530</v>
      </c>
      <c r="I11" s="332">
        <f>H11</f>
        <v>9530</v>
      </c>
      <c r="J11" s="336">
        <v>10900</v>
      </c>
      <c r="K11" s="336">
        <v>11970.356</v>
      </c>
      <c r="L11" s="333">
        <v>12800.655000000001</v>
      </c>
      <c r="M11" s="90">
        <f>L11*(1+M12)</f>
        <v>14080.720500000001</v>
      </c>
      <c r="N11" s="328">
        <f>M11</f>
        <v>14080.720500000001</v>
      </c>
      <c r="O11" s="89">
        <f>N11*(1+O12)</f>
        <v>19008.972675000005</v>
      </c>
      <c r="P11" s="89">
        <f t="shared" ref="P11:W11" si="13">O11*(1+P12)</f>
        <v>25595.581706887508</v>
      </c>
      <c r="Q11" s="89">
        <f t="shared" si="13"/>
        <v>34375.76207770966</v>
      </c>
      <c r="R11" s="89">
        <f t="shared" si="13"/>
        <v>46049.93072659352</v>
      </c>
      <c r="S11" s="89">
        <f t="shared" si="13"/>
        <v>61532.313627453259</v>
      </c>
      <c r="T11" s="89">
        <f t="shared" si="13"/>
        <v>82013.129929915231</v>
      </c>
      <c r="U11" s="89">
        <f t="shared" si="13"/>
        <v>109037.9367666563</v>
      </c>
      <c r="V11" s="89">
        <f t="shared" si="13"/>
        <v>144608.60563027216</v>
      </c>
      <c r="W11" s="89">
        <f t="shared" si="13"/>
        <v>191311.49389515573</v>
      </c>
    </row>
    <row r="12" spans="2:24" ht="16.2" x14ac:dyDescent="0.35">
      <c r="B12" s="12" t="s">
        <v>6</v>
      </c>
      <c r="C12" s="37"/>
      <c r="D12" s="41">
        <f>(D11/C11)-1</f>
        <v>0.83400218898212342</v>
      </c>
      <c r="E12" s="46"/>
      <c r="F12" s="49">
        <f t="shared" ref="F12" si="14">(F11/E11)-1</f>
        <v>0.15254237288135597</v>
      </c>
      <c r="G12" s="49">
        <f t="shared" ref="G12" si="15">(G11/F11)-1</f>
        <v>0.19823147058823531</v>
      </c>
      <c r="H12" s="49">
        <f t="shared" ref="H12" si="16">(H11/G11)-1</f>
        <v>0.16961590697270257</v>
      </c>
      <c r="I12" s="41">
        <f>(I11/D11)-1</f>
        <v>0.89576288044559371</v>
      </c>
      <c r="J12" s="55">
        <f>(J11/H11)-1</f>
        <v>0.14375655823714584</v>
      </c>
      <c r="K12" s="49">
        <f t="shared" ref="K12" si="17">(K11/J11)-1</f>
        <v>9.8197798165137629E-2</v>
      </c>
      <c r="L12" s="49">
        <f t="shared" ref="L12" si="18">(L11/K11)-1</f>
        <v>6.936293289857054E-2</v>
      </c>
      <c r="M12" s="337">
        <v>0.1</v>
      </c>
      <c r="N12" s="359">
        <f>(N11/I11)-1</f>
        <v>0.47751526757607565</v>
      </c>
      <c r="O12" s="341">
        <v>0.35</v>
      </c>
      <c r="P12" s="341">
        <f>O12*(1+$X$12)</f>
        <v>0.34649999999999997</v>
      </c>
      <c r="Q12" s="341">
        <f t="shared" ref="Q12:W12" si="19">P12*(1+$X$12)</f>
        <v>0.34303499999999998</v>
      </c>
      <c r="R12" s="341">
        <f t="shared" si="19"/>
        <v>0.33960464999999995</v>
      </c>
      <c r="S12" s="341">
        <f t="shared" si="19"/>
        <v>0.33620860349999993</v>
      </c>
      <c r="T12" s="341">
        <f t="shared" si="19"/>
        <v>0.33284651746499994</v>
      </c>
      <c r="U12" s="341">
        <f t="shared" si="19"/>
        <v>0.32951805229034992</v>
      </c>
      <c r="V12" s="341">
        <f t="shared" si="19"/>
        <v>0.32622287176744641</v>
      </c>
      <c r="W12" s="361">
        <f t="shared" si="19"/>
        <v>0.32296064304977196</v>
      </c>
      <c r="X12" s="348">
        <v>-0.01</v>
      </c>
    </row>
    <row r="13" spans="2:24" ht="16.2" x14ac:dyDescent="0.35">
      <c r="B13" s="327" t="s">
        <v>199</v>
      </c>
      <c r="C13" s="355">
        <v>280500</v>
      </c>
      <c r="D13" s="355">
        <v>310060</v>
      </c>
      <c r="E13" s="356">
        <v>117454</v>
      </c>
      <c r="F13" s="356">
        <v>123113</v>
      </c>
      <c r="G13" s="356">
        <v>149907</v>
      </c>
      <c r="H13" s="356">
        <v>158362</v>
      </c>
      <c r="I13" s="355">
        <f>SUM(E13:H13)</f>
        <v>548836</v>
      </c>
      <c r="J13" s="356">
        <v>255303</v>
      </c>
      <c r="K13" s="356">
        <v>185100</v>
      </c>
      <c r="L13" s="356">
        <v>138093</v>
      </c>
      <c r="M13" s="50">
        <f>L13*(1+M14)</f>
        <v>158806.94999999998</v>
      </c>
      <c r="N13" s="44">
        <f>SUM(J13:M13)</f>
        <v>737302.95</v>
      </c>
      <c r="O13" s="42">
        <f>O15*O9</f>
        <v>895845.86908808933</v>
      </c>
      <c r="P13" s="42">
        <f t="shared" ref="P13:W13" si="20">P15*P9</f>
        <v>1092893.8868380326</v>
      </c>
      <c r="Q13" s="42">
        <f t="shared" si="20"/>
        <v>1321967.8334903335</v>
      </c>
      <c r="R13" s="42">
        <f t="shared" si="20"/>
        <v>1585608.542481655</v>
      </c>
      <c r="S13" s="42">
        <f t="shared" si="20"/>
        <v>1885976.1047417782</v>
      </c>
      <c r="T13" s="42">
        <f t="shared" si="20"/>
        <v>2224709.7823813879</v>
      </c>
      <c r="U13" s="42">
        <f t="shared" si="20"/>
        <v>2602785.0446558436</v>
      </c>
      <c r="V13" s="42">
        <f t="shared" si="20"/>
        <v>3020374.1506688767</v>
      </c>
      <c r="W13" s="42">
        <f t="shared" si="20"/>
        <v>3476717.4945557611</v>
      </c>
    </row>
    <row r="14" spans="2:24" x14ac:dyDescent="0.3">
      <c r="B14" s="12" t="s">
        <v>6</v>
      </c>
      <c r="C14" s="37"/>
      <c r="D14" s="41">
        <f>(D13/C13)-1</f>
        <v>0.1053832442067737</v>
      </c>
      <c r="E14" s="46"/>
      <c r="F14" s="49">
        <f t="shared" ref="F14" si="21">(F13/E13)-1</f>
        <v>4.8180564306026241E-2</v>
      </c>
      <c r="G14" s="49">
        <f t="shared" ref="G14" si="22">(G13/F13)-1</f>
        <v>0.21763745502099696</v>
      </c>
      <c r="H14" s="49">
        <f t="shared" ref="H14" si="23">(H13/G13)-1</f>
        <v>5.640163568078882E-2</v>
      </c>
      <c r="I14" s="41">
        <f>(I13/D13)-1</f>
        <v>0.77009611043023929</v>
      </c>
      <c r="J14" s="55">
        <f>(J13/H13)-1</f>
        <v>0.61214811634104138</v>
      </c>
      <c r="K14" s="49">
        <f t="shared" ref="K14" si="24">(K13/J13)-1</f>
        <v>-0.27497914243075872</v>
      </c>
      <c r="L14" s="49">
        <f t="shared" ref="L14" si="25">(L13/K13)-1</f>
        <v>-0.25395461912479744</v>
      </c>
      <c r="M14" s="337">
        <v>0.15</v>
      </c>
      <c r="N14" s="359">
        <f>(N13/I13)-1</f>
        <v>0.34339392824085868</v>
      </c>
      <c r="O14" s="359">
        <f>(O13/N13)-1</f>
        <v>0.21503090295256433</v>
      </c>
      <c r="P14" s="359">
        <f t="shared" ref="P14:W14" si="26">(P13/O13)-1</f>
        <v>0.21995749999999981</v>
      </c>
      <c r="Q14" s="359">
        <f t="shared" si="26"/>
        <v>0.20960310000000004</v>
      </c>
      <c r="R14" s="359">
        <f t="shared" si="26"/>
        <v>0.19943050225000003</v>
      </c>
      <c r="S14" s="359">
        <f t="shared" si="26"/>
        <v>0.18943361757500021</v>
      </c>
      <c r="T14" s="359">
        <f t="shared" si="26"/>
        <v>0.17960655852847518</v>
      </c>
      <c r="U14" s="359">
        <f t="shared" si="26"/>
        <v>0.1699436327689241</v>
      </c>
      <c r="V14" s="359">
        <f t="shared" si="26"/>
        <v>0.16043933665227028</v>
      </c>
      <c r="W14" s="359">
        <f t="shared" si="26"/>
        <v>0.15108834903312385</v>
      </c>
      <c r="X14" s="359"/>
    </row>
    <row r="15" spans="2:24" ht="16.2" x14ac:dyDescent="0.35">
      <c r="B15" s="423" t="s">
        <v>321</v>
      </c>
      <c r="C15" s="357">
        <f>C13/C9</f>
        <v>507.23327305605784</v>
      </c>
      <c r="D15" s="357">
        <f>D13/D9</f>
        <v>589.46768060836507</v>
      </c>
      <c r="E15" s="54"/>
      <c r="F15" s="54"/>
      <c r="G15" s="54"/>
      <c r="H15" s="54"/>
      <c r="I15" s="357">
        <f>I13/AVERAGE(E9:H9)</f>
        <v>746.071334993351</v>
      </c>
      <c r="J15" s="54">
        <f>SUM(J13,H13,G13,F13)/AVERAGE(J9,H9,G9,F9)</f>
        <v>821.75256593864731</v>
      </c>
      <c r="K15" s="54">
        <f>SUM(K13,J13,H13,G13)/AVERAGE(K9,J9,H9,G9)</f>
        <v>823.38831409144279</v>
      </c>
      <c r="L15" s="54">
        <f>SUM(L13,K13,J13,H13)/AVERAGE(L9,K9,J9,H9)</f>
        <v>772.30729080143101</v>
      </c>
      <c r="M15" s="47"/>
      <c r="N15" s="358">
        <f>N13/(AVERAGE(J9:M9))</f>
        <v>750.55054234770819</v>
      </c>
      <c r="O15" s="390">
        <f>N15*(1+O16)</f>
        <v>803.08908031204783</v>
      </c>
      <c r="P15" s="390">
        <f t="shared" ref="P15:W15" si="27">O15*(1+P16)</f>
        <v>855.28987053233084</v>
      </c>
      <c r="Q15" s="390">
        <f t="shared" si="27"/>
        <v>906.60726276427079</v>
      </c>
      <c r="R15" s="390">
        <f t="shared" si="27"/>
        <v>956.47066221630564</v>
      </c>
      <c r="S15" s="390">
        <f t="shared" si="27"/>
        <v>1004.294195327121</v>
      </c>
      <c r="T15" s="390">
        <f t="shared" si="27"/>
        <v>1049.4874341168413</v>
      </c>
      <c r="U15" s="390">
        <f t="shared" si="27"/>
        <v>1091.4669314815151</v>
      </c>
      <c r="V15" s="390">
        <f t="shared" si="27"/>
        <v>1129.668274083368</v>
      </c>
      <c r="W15" s="391">
        <f t="shared" si="27"/>
        <v>1163.5583223058691</v>
      </c>
      <c r="X15" s="392"/>
    </row>
    <row r="16" spans="2:24" x14ac:dyDescent="0.3">
      <c r="B16" s="321" t="s">
        <v>6</v>
      </c>
      <c r="C16" s="357"/>
      <c r="D16" s="70">
        <f>(D15/C15)-1</f>
        <v>0.16212344875731155</v>
      </c>
      <c r="E16" s="54"/>
      <c r="F16" s="54"/>
      <c r="G16" s="54"/>
      <c r="H16" s="54"/>
      <c r="I16" s="70">
        <f>(I15/D15)-1</f>
        <v>0.26566961944946965</v>
      </c>
      <c r="J16" s="54"/>
      <c r="K16" s="54"/>
      <c r="L16" s="54"/>
      <c r="M16" s="47"/>
      <c r="N16" s="70">
        <f>(N15/I15)-1</f>
        <v>6.0037253065046148E-3</v>
      </c>
      <c r="O16" s="448">
        <v>7.0000000000000007E-2</v>
      </c>
      <c r="P16" s="448">
        <f>O16-0.005</f>
        <v>6.5000000000000002E-2</v>
      </c>
      <c r="Q16" s="448">
        <f t="shared" ref="Q16:W16" si="28">P16-0.005</f>
        <v>6.0000000000000005E-2</v>
      </c>
      <c r="R16" s="448">
        <f t="shared" si="28"/>
        <v>5.5000000000000007E-2</v>
      </c>
      <c r="S16" s="448">
        <f t="shared" si="28"/>
        <v>5.000000000000001E-2</v>
      </c>
      <c r="T16" s="448">
        <f t="shared" si="28"/>
        <v>4.5000000000000012E-2</v>
      </c>
      <c r="U16" s="448">
        <f t="shared" si="28"/>
        <v>4.0000000000000015E-2</v>
      </c>
      <c r="V16" s="448">
        <f t="shared" si="28"/>
        <v>3.5000000000000017E-2</v>
      </c>
      <c r="W16" s="400">
        <f t="shared" si="28"/>
        <v>3.0000000000000016E-2</v>
      </c>
      <c r="X16" s="392"/>
    </row>
    <row r="17" spans="2:27" x14ac:dyDescent="0.3">
      <c r="B17" s="12"/>
      <c r="C17" s="37"/>
      <c r="D17" s="37"/>
      <c r="E17" s="46"/>
      <c r="F17" s="46"/>
      <c r="G17" s="46"/>
      <c r="H17" s="46"/>
      <c r="I17" s="37"/>
      <c r="J17" s="47"/>
      <c r="K17" s="560"/>
      <c r="L17" s="560"/>
      <c r="M17" s="47"/>
      <c r="N17" s="92"/>
      <c r="O17" s="448"/>
      <c r="P17" s="37"/>
      <c r="Q17" s="37"/>
      <c r="R17" s="37"/>
      <c r="S17" s="37"/>
      <c r="T17" s="37"/>
      <c r="U17" s="37"/>
      <c r="V17" s="37"/>
      <c r="W17" s="37"/>
    </row>
    <row r="18" spans="2:27" ht="16.2" x14ac:dyDescent="0.35">
      <c r="B18" s="10" t="s">
        <v>4</v>
      </c>
      <c r="C18" s="37"/>
      <c r="D18" s="37"/>
      <c r="E18" s="46"/>
      <c r="F18" s="46"/>
      <c r="G18" s="46"/>
      <c r="H18" s="46"/>
      <c r="I18" s="37"/>
      <c r="J18" s="47"/>
      <c r="K18" s="47"/>
      <c r="L18" s="47"/>
      <c r="M18" s="47"/>
      <c r="N18" s="340"/>
      <c r="O18" s="37"/>
      <c r="P18" s="37"/>
      <c r="Q18" s="37"/>
      <c r="R18" s="37"/>
      <c r="S18" s="37"/>
      <c r="T18" s="37"/>
      <c r="U18" s="37"/>
      <c r="V18" s="37"/>
      <c r="W18" s="37"/>
    </row>
    <row r="19" spans="2:27" ht="16.2" x14ac:dyDescent="0.35">
      <c r="B19" s="11" t="s">
        <v>38</v>
      </c>
      <c r="C19" s="79">
        <v>232865</v>
      </c>
      <c r="D19" s="79">
        <v>265398</v>
      </c>
      <c r="E19" s="80" t="s">
        <v>71</v>
      </c>
      <c r="F19" s="81">
        <v>81905</v>
      </c>
      <c r="G19" s="81">
        <v>97118</v>
      </c>
      <c r="H19" s="80" t="s">
        <v>71</v>
      </c>
      <c r="I19" s="79">
        <v>360793</v>
      </c>
      <c r="J19" s="80" t="s">
        <v>71</v>
      </c>
      <c r="K19" s="81">
        <v>141884</v>
      </c>
      <c r="L19" s="81">
        <v>140422</v>
      </c>
      <c r="M19" s="47"/>
      <c r="N19" s="45"/>
      <c r="O19" s="40"/>
      <c r="P19" s="40"/>
      <c r="Q19" s="40"/>
      <c r="R19" s="40"/>
      <c r="S19" s="40"/>
      <c r="T19" s="40"/>
      <c r="U19" s="40"/>
      <c r="V19" s="40"/>
      <c r="W19" s="40"/>
    </row>
    <row r="20" spans="2:27" x14ac:dyDescent="0.3">
      <c r="B20" s="12" t="s">
        <v>5</v>
      </c>
      <c r="C20" s="41">
        <f>C19/C25</f>
        <v>0.97658609004898345</v>
      </c>
      <c r="D20" s="41">
        <f>D19/D25</f>
        <v>0.97492864306101978</v>
      </c>
      <c r="E20" s="47"/>
      <c r="F20" s="47"/>
      <c r="G20" s="47"/>
      <c r="H20" s="47"/>
      <c r="I20" s="41">
        <f>I19/I25</f>
        <v>0.99070237438182873</v>
      </c>
      <c r="J20" s="47"/>
      <c r="K20" s="47"/>
      <c r="L20" s="47"/>
      <c r="M20" s="47"/>
      <c r="N20" s="92"/>
      <c r="O20" s="37"/>
      <c r="P20" s="37"/>
      <c r="Q20" s="37"/>
      <c r="R20" s="37"/>
      <c r="S20" s="37"/>
      <c r="T20" s="37"/>
      <c r="U20" s="37"/>
      <c r="V20" s="37"/>
      <c r="W20" s="37"/>
      <c r="X20" s="13"/>
    </row>
    <row r="21" spans="2:27" x14ac:dyDescent="0.3">
      <c r="B21" s="12" t="s">
        <v>6</v>
      </c>
      <c r="C21" s="37"/>
      <c r="D21" s="41">
        <f>(D19/C19)-1</f>
        <v>0.13970755588001627</v>
      </c>
      <c r="E21" s="47"/>
      <c r="F21" s="47"/>
      <c r="G21" s="47"/>
      <c r="H21" s="47"/>
      <c r="I21" s="41">
        <f>(I19/D19)-1</f>
        <v>0.35944129194643515</v>
      </c>
      <c r="J21" s="47"/>
      <c r="K21" s="47"/>
      <c r="L21" s="47"/>
      <c r="M21" s="47"/>
      <c r="N21" s="92"/>
      <c r="O21" s="37"/>
      <c r="P21" s="37"/>
      <c r="Q21" s="37"/>
      <c r="R21" s="37"/>
      <c r="S21" s="37"/>
      <c r="T21" s="37"/>
      <c r="U21" s="37"/>
      <c r="V21" s="37"/>
      <c r="W21" s="37"/>
    </row>
    <row r="22" spans="2:27" ht="16.2" x14ac:dyDescent="0.35">
      <c r="B22" s="11" t="s">
        <v>39</v>
      </c>
      <c r="C22" s="79">
        <v>5583</v>
      </c>
      <c r="D22" s="79">
        <v>6825</v>
      </c>
      <c r="E22" s="80" t="s">
        <v>71</v>
      </c>
      <c r="F22" s="81">
        <v>890</v>
      </c>
      <c r="G22" s="81">
        <v>1041</v>
      </c>
      <c r="H22" s="80" t="s">
        <v>71</v>
      </c>
      <c r="I22" s="79">
        <v>3386</v>
      </c>
      <c r="J22" s="80" t="s">
        <v>71</v>
      </c>
      <c r="K22" s="81">
        <v>246</v>
      </c>
      <c r="L22" s="81">
        <v>245</v>
      </c>
      <c r="M22" s="48"/>
      <c r="N22" s="45"/>
      <c r="O22" s="41"/>
      <c r="P22" s="40"/>
      <c r="Q22" s="40"/>
      <c r="R22" s="40"/>
      <c r="S22" s="40"/>
      <c r="T22" s="40"/>
      <c r="U22" s="40"/>
      <c r="V22" s="40"/>
      <c r="W22" s="40"/>
    </row>
    <row r="23" spans="2:27" x14ac:dyDescent="0.3">
      <c r="B23" s="12" t="s">
        <v>5</v>
      </c>
      <c r="C23" s="41">
        <f>C22/C25</f>
        <v>2.3413909951016575E-2</v>
      </c>
      <c r="D23" s="41">
        <f>D22/D25</f>
        <v>2.5071356938980174E-2</v>
      </c>
      <c r="E23" s="47"/>
      <c r="F23" s="47"/>
      <c r="G23" s="47"/>
      <c r="H23" s="47"/>
      <c r="I23" s="41">
        <f>I22/I25</f>
        <v>9.2976256181712836E-3</v>
      </c>
      <c r="J23" s="47"/>
      <c r="K23" s="47"/>
      <c r="L23" s="47"/>
      <c r="M23" s="47"/>
      <c r="N23" s="92"/>
      <c r="O23" s="37"/>
      <c r="P23" s="37"/>
      <c r="Q23" s="37"/>
      <c r="R23" s="37"/>
      <c r="S23" s="37"/>
      <c r="T23" s="37"/>
      <c r="U23" s="37"/>
      <c r="V23" s="37"/>
      <c r="W23" s="37"/>
    </row>
    <row r="24" spans="2:27" x14ac:dyDescent="0.3">
      <c r="B24" s="12" t="s">
        <v>6</v>
      </c>
      <c r="C24" s="37"/>
      <c r="D24" s="41">
        <f>(D22/C22)-1</f>
        <v>0.22246104245029552</v>
      </c>
      <c r="E24" s="47"/>
      <c r="F24" s="47"/>
      <c r="G24" s="47"/>
      <c r="H24" s="47"/>
      <c r="I24" s="41">
        <f>(I22/D22)-1</f>
        <v>-0.50388278388278396</v>
      </c>
      <c r="J24" s="47"/>
      <c r="K24" s="47"/>
      <c r="L24" s="47"/>
      <c r="M24" s="47"/>
      <c r="N24" s="92"/>
      <c r="O24" s="37"/>
      <c r="P24" s="37"/>
      <c r="Q24" s="37"/>
      <c r="R24" s="37"/>
      <c r="S24" s="37"/>
      <c r="T24" s="37"/>
      <c r="U24" s="37"/>
      <c r="V24" s="37"/>
      <c r="W24" s="37"/>
    </row>
    <row r="25" spans="2:27" s="15" customFormat="1" ht="16.2" x14ac:dyDescent="0.35">
      <c r="B25" s="14" t="s">
        <v>40</v>
      </c>
      <c r="C25" s="82">
        <f>SUM(C19+C22)</f>
        <v>238448</v>
      </c>
      <c r="D25" s="82">
        <f>SUM(D19+D22)</f>
        <v>272223</v>
      </c>
      <c r="E25" s="83">
        <v>76382</v>
      </c>
      <c r="F25" s="83">
        <f>SUM(F19+F22)</f>
        <v>82795</v>
      </c>
      <c r="G25" s="83">
        <f>SUM(G19+G22)</f>
        <v>98159</v>
      </c>
      <c r="H25" s="83">
        <v>106843</v>
      </c>
      <c r="I25" s="82">
        <f>SUM(I19+I22)</f>
        <v>364179</v>
      </c>
      <c r="J25" s="83">
        <v>119714</v>
      </c>
      <c r="K25" s="83">
        <f>SUM(K19+K22)</f>
        <v>142130</v>
      </c>
      <c r="L25" s="83">
        <f>SUM(L19+L22)</f>
        <v>140667</v>
      </c>
      <c r="M25" s="84">
        <f>L25*(1+M26)</f>
        <v>140667</v>
      </c>
      <c r="N25" s="342">
        <f>SUM(J25:M25)</f>
        <v>543178</v>
      </c>
      <c r="O25" s="85">
        <f>'DR Schedule (DD)'!N57</f>
        <v>682539.38362500002</v>
      </c>
      <c r="P25" s="85">
        <f>'DR Schedule (DD)'!O57</f>
        <v>834956.29524356883</v>
      </c>
      <c r="Q25" s="85">
        <f>'DR Schedule (DD)'!P57</f>
        <v>1053597.240835808</v>
      </c>
      <c r="R25" s="85">
        <f>'DR Schedule (DD)'!Q57</f>
        <v>1330274.8403269346</v>
      </c>
      <c r="S25" s="85">
        <f>'DR Schedule (DD)'!R57</f>
        <v>1629354.6499883388</v>
      </c>
      <c r="T25" s="85">
        <f>'DR Schedule (DD)'!S57</f>
        <v>2020544.5560205495</v>
      </c>
      <c r="U25" s="85">
        <f>'DR Schedule (DD)'!T57</f>
        <v>2491130.3395080701</v>
      </c>
      <c r="V25" s="85">
        <f>'DR Schedule (DD)'!U57</f>
        <v>3056342.7765603969</v>
      </c>
      <c r="W25" s="85">
        <f>'DR Schedule (DD)'!V57</f>
        <v>3734020.4793261262</v>
      </c>
    </row>
    <row r="26" spans="2:27" s="15" customFormat="1" ht="16.2" x14ac:dyDescent="0.35">
      <c r="B26" s="12" t="s">
        <v>6</v>
      </c>
      <c r="C26" s="37"/>
      <c r="D26" s="41">
        <f>(D25/C25)-1</f>
        <v>0.14164513856270555</v>
      </c>
      <c r="E26" s="47"/>
      <c r="F26" s="55">
        <f>(F25/E25)-1</f>
        <v>8.3959571626823104E-2</v>
      </c>
      <c r="G26" s="55">
        <f>(G25/F25)-1</f>
        <v>0.18556676127785487</v>
      </c>
      <c r="H26" s="55">
        <f>(H25/G25)-1</f>
        <v>8.8468708931427553E-2</v>
      </c>
      <c r="I26" s="41">
        <f>(I25/D25)-1</f>
        <v>0.33779658588730554</v>
      </c>
      <c r="J26" s="55">
        <f>(J25/H25)-1</f>
        <v>0.12046647885214745</v>
      </c>
      <c r="K26" s="55">
        <f>(K25/J25)-1</f>
        <v>0.18724627027749463</v>
      </c>
      <c r="L26" s="55">
        <f>(L25/K25)-1</f>
        <v>-1.029339337226487E-2</v>
      </c>
      <c r="M26" s="349">
        <v>0</v>
      </c>
      <c r="N26" s="340">
        <f>(N25/I25)-1</f>
        <v>0.49151378854903771</v>
      </c>
      <c r="O26" s="41">
        <f>(O25/N25)-1</f>
        <v>0.25656669383701103</v>
      </c>
      <c r="P26" s="41">
        <f t="shared" ref="P26:W26" si="29">(P25/O25)-1</f>
        <v>0.22330859621473431</v>
      </c>
      <c r="Q26" s="41">
        <f t="shared" si="29"/>
        <v>0.26185914979952152</v>
      </c>
      <c r="R26" s="41">
        <f t="shared" si="29"/>
        <v>0.26260281326443202</v>
      </c>
      <c r="S26" s="41">
        <f t="shared" si="29"/>
        <v>0.22482557783916368</v>
      </c>
      <c r="T26" s="41">
        <f t="shared" si="29"/>
        <v>0.24008886342516678</v>
      </c>
      <c r="U26" s="41">
        <f t="shared" si="29"/>
        <v>0.2329004733329596</v>
      </c>
      <c r="V26" s="41">
        <f t="shared" si="29"/>
        <v>0.22688994954954489</v>
      </c>
      <c r="W26" s="41">
        <f t="shared" si="29"/>
        <v>0.22172830481023031</v>
      </c>
      <c r="X26" s="348"/>
    </row>
    <row r="27" spans="2:27" s="15" customFormat="1" ht="16.2" x14ac:dyDescent="0.35">
      <c r="B27" s="12" t="s">
        <v>200</v>
      </c>
      <c r="C27" s="37"/>
      <c r="D27" s="41">
        <f>D25/C13</f>
        <v>0.97049197860962566</v>
      </c>
      <c r="E27" s="47"/>
      <c r="F27" s="55"/>
      <c r="G27" s="55"/>
      <c r="H27" s="55"/>
      <c r="I27" s="41">
        <f>I25/D13</f>
        <v>1.1745436367154745</v>
      </c>
      <c r="J27" s="55">
        <f>(J25+H25+G25+F25)/(D13+E13-(D13/4))</f>
        <v>1.1643204694870557</v>
      </c>
      <c r="K27" s="55">
        <f>(K25+J25+H25+G25)/(F13+E13+(0.5*D13))</f>
        <v>1.1801050058519149</v>
      </c>
      <c r="L27" s="55">
        <f>(L25+K25+J25+H25)/(G13+F13+E13+(D13/4))</f>
        <v>1.088388829651979</v>
      </c>
      <c r="M27" s="55">
        <f>N25/I13</f>
        <v>0.98969090948844463</v>
      </c>
      <c r="N27" s="359">
        <f>N25/I13</f>
        <v>0.98969090948844463</v>
      </c>
      <c r="O27" s="370">
        <f t="shared" ref="O27:W27" si="30">O25/N13</f>
        <v>0.92572447136553582</v>
      </c>
      <c r="P27" s="370">
        <f t="shared" si="30"/>
        <v>0.93203119426503356</v>
      </c>
      <c r="Q27" s="370">
        <f t="shared" si="30"/>
        <v>0.96404349363146502</v>
      </c>
      <c r="R27" s="370">
        <f t="shared" si="30"/>
        <v>1.0062838191869377</v>
      </c>
      <c r="S27" s="370">
        <f t="shared" si="30"/>
        <v>1.0275894751665604</v>
      </c>
      <c r="T27" s="370">
        <f t="shared" si="30"/>
        <v>1.0713521507194259</v>
      </c>
      <c r="U27" s="370">
        <f t="shared" si="30"/>
        <v>1.1197551964919661</v>
      </c>
      <c r="V27" s="370">
        <f t="shared" si="30"/>
        <v>1.1742586207169965</v>
      </c>
      <c r="W27" s="370">
        <f t="shared" si="30"/>
        <v>1.2362774587046472</v>
      </c>
      <c r="X27" s="348"/>
      <c r="Y27" s="338"/>
      <c r="Z27" s="33"/>
      <c r="AA27" s="339"/>
    </row>
    <row r="28" spans="2:27" s="15" customFormat="1" ht="16.2" x14ac:dyDescent="0.35">
      <c r="B28" s="12"/>
      <c r="C28" s="37"/>
      <c r="D28" s="37"/>
      <c r="E28" s="47"/>
      <c r="F28" s="47"/>
      <c r="G28" s="47"/>
      <c r="H28" s="47"/>
      <c r="I28" s="37"/>
      <c r="J28" s="47"/>
      <c r="K28" s="47"/>
      <c r="L28" s="47"/>
      <c r="M28" s="47"/>
      <c r="N28" s="92"/>
      <c r="O28" s="37"/>
      <c r="P28" s="37"/>
      <c r="Q28" s="37"/>
      <c r="R28" s="37"/>
      <c r="S28" s="37"/>
      <c r="T28" s="37"/>
      <c r="U28" s="37"/>
      <c r="V28" s="37"/>
      <c r="W28" s="37"/>
    </row>
    <row r="29" spans="2:27" ht="16.2" x14ac:dyDescent="0.35">
      <c r="B29" s="9" t="s">
        <v>210</v>
      </c>
      <c r="C29" s="79">
        <v>35754</v>
      </c>
      <c r="D29" s="79">
        <v>37528</v>
      </c>
      <c r="E29" s="81">
        <v>11513</v>
      </c>
      <c r="F29" s="81">
        <f>27477-15058</f>
        <v>12419</v>
      </c>
      <c r="G29" s="81">
        <f>26749-13717</f>
        <v>13032</v>
      </c>
      <c r="H29" s="81">
        <v>14905</v>
      </c>
      <c r="I29" s="79">
        <f>SUM(E29:H29)</f>
        <v>51869</v>
      </c>
      <c r="J29" s="81">
        <v>18463</v>
      </c>
      <c r="K29" s="81">
        <f>26826-10568</f>
        <v>16258</v>
      </c>
      <c r="L29" s="81">
        <f>62024-46396</f>
        <v>15628</v>
      </c>
      <c r="M29" s="48">
        <f>M30*M25</f>
        <v>17804.381799854731</v>
      </c>
      <c r="N29" s="45">
        <f>SUM(J29:M29)</f>
        <v>68153.381799854731</v>
      </c>
      <c r="O29" s="40">
        <f t="shared" ref="O29:W29" si="31">O30*O25</f>
        <v>88730.119871250005</v>
      </c>
      <c r="P29" s="40">
        <f t="shared" si="31"/>
        <v>106916.15360593899</v>
      </c>
      <c r="Q29" s="40">
        <f t="shared" si="31"/>
        <v>132889.42978868983</v>
      </c>
      <c r="R29" s="40">
        <f t="shared" si="31"/>
        <v>165269.76938574141</v>
      </c>
      <c r="S29" s="40">
        <f t="shared" si="31"/>
        <v>199390.24117542751</v>
      </c>
      <c r="T29" s="40">
        <f t="shared" si="31"/>
        <v>243552.69329394621</v>
      </c>
      <c r="U29" s="40">
        <f t="shared" si="31"/>
        <v>295772.08738096908</v>
      </c>
      <c r="V29" s="40">
        <f t="shared" si="31"/>
        <v>357436.60434452567</v>
      </c>
      <c r="W29" s="40">
        <f t="shared" si="31"/>
        <v>430140.06045241794</v>
      </c>
      <c r="Y29" s="15"/>
    </row>
    <row r="30" spans="2:27" ht="16.2" x14ac:dyDescent="0.35">
      <c r="B30" s="12" t="s">
        <v>5</v>
      </c>
      <c r="C30" s="41">
        <f t="shared" ref="C30:L30" si="32">C29/C25</f>
        <v>0.14994464201838556</v>
      </c>
      <c r="D30" s="41">
        <f t="shared" si="32"/>
        <v>0.13785756530491544</v>
      </c>
      <c r="E30" s="55">
        <f t="shared" si="32"/>
        <v>0.15072922939959676</v>
      </c>
      <c r="F30" s="55">
        <f t="shared" si="32"/>
        <v>0.14999698049399118</v>
      </c>
      <c r="G30" s="55">
        <f t="shared" si="32"/>
        <v>0.13276418871422896</v>
      </c>
      <c r="H30" s="55">
        <f t="shared" si="32"/>
        <v>0.13950375785030372</v>
      </c>
      <c r="I30" s="41">
        <f t="shared" si="32"/>
        <v>0.14242721299141356</v>
      </c>
      <c r="J30" s="55">
        <f t="shared" si="32"/>
        <v>0.15422590507375913</v>
      </c>
      <c r="K30" s="55">
        <f t="shared" si="32"/>
        <v>0.11438823612186026</v>
      </c>
      <c r="L30" s="55">
        <f t="shared" si="32"/>
        <v>0.11109926279795546</v>
      </c>
      <c r="M30" s="349">
        <f>AVERAGE(J30:L30)</f>
        <v>0.12657113466452494</v>
      </c>
      <c r="N30" s="340">
        <f>N29/N25</f>
        <v>0.12547154302982583</v>
      </c>
      <c r="O30" s="341">
        <v>0.13</v>
      </c>
      <c r="P30" s="362">
        <f>O30*(1+$X$30)</f>
        <v>0.12805</v>
      </c>
      <c r="Q30" s="362">
        <f t="shared" ref="Q30:W30" si="33">P30*(1+$X$30)</f>
        <v>0.12612925</v>
      </c>
      <c r="R30" s="362">
        <f t="shared" si="33"/>
        <v>0.12423731125</v>
      </c>
      <c r="S30" s="362">
        <f t="shared" si="33"/>
        <v>0.12237375158125</v>
      </c>
      <c r="T30" s="362">
        <f t="shared" si="33"/>
        <v>0.12053814530753125</v>
      </c>
      <c r="U30" s="362">
        <f t="shared" si="33"/>
        <v>0.11873007312791828</v>
      </c>
      <c r="V30" s="362">
        <f t="shared" si="33"/>
        <v>0.1169491220309995</v>
      </c>
      <c r="W30" s="362">
        <f t="shared" si="33"/>
        <v>0.1151948852005345</v>
      </c>
      <c r="X30" s="348">
        <v>-1.4999999999999999E-2</v>
      </c>
    </row>
    <row r="31" spans="2:27" x14ac:dyDescent="0.3">
      <c r="B31" s="12" t="s">
        <v>6</v>
      </c>
      <c r="C31" s="37"/>
      <c r="D31" s="41">
        <f>(D29/C29)-1</f>
        <v>4.9616826089388555E-2</v>
      </c>
      <c r="E31" s="47"/>
      <c r="F31" s="55">
        <f>(F29/E29)-1</f>
        <v>7.8693650655780489E-2</v>
      </c>
      <c r="G31" s="55">
        <f t="shared" ref="G31:H31" si="34">(G29/F29)-1</f>
        <v>4.9359851839922753E-2</v>
      </c>
      <c r="H31" s="55">
        <f t="shared" si="34"/>
        <v>0.14372314303253519</v>
      </c>
      <c r="I31" s="41">
        <f>(I29/D29)-1</f>
        <v>0.38214133447026222</v>
      </c>
      <c r="J31" s="55">
        <f>(J29/H29)-1</f>
        <v>0.23871184166387116</v>
      </c>
      <c r="K31" s="55">
        <f>(K29/J29)-1</f>
        <v>-0.11942804527974871</v>
      </c>
      <c r="L31" s="55">
        <f t="shared" ref="L31:M31" si="35">(L29/K29)-1</f>
        <v>-3.8750153770451434E-2</v>
      </c>
      <c r="M31" s="55">
        <f t="shared" si="35"/>
        <v>0.13926169694488943</v>
      </c>
      <c r="N31" s="340">
        <f>(N29/I29)-1</f>
        <v>0.31395210626491221</v>
      </c>
      <c r="O31" s="41">
        <f>(O29/N29)-1</f>
        <v>0.30191807842819518</v>
      </c>
      <c r="P31" s="41">
        <f t="shared" ref="P31:W31" si="36">(P29/O29)-1</f>
        <v>0.2049589672715133</v>
      </c>
      <c r="Q31" s="41">
        <f t="shared" si="36"/>
        <v>0.24293126255252862</v>
      </c>
      <c r="R31" s="41">
        <f t="shared" si="36"/>
        <v>0.24366377106546566</v>
      </c>
      <c r="S31" s="41">
        <f t="shared" si="36"/>
        <v>0.20645319417157615</v>
      </c>
      <c r="T31" s="41">
        <f t="shared" si="36"/>
        <v>0.22148753047378933</v>
      </c>
      <c r="U31" s="41">
        <f t="shared" si="36"/>
        <v>0.21440696623296529</v>
      </c>
      <c r="V31" s="41">
        <f t="shared" si="36"/>
        <v>0.20848660030630151</v>
      </c>
      <c r="W31" s="41">
        <f t="shared" si="36"/>
        <v>0.20340238023807689</v>
      </c>
    </row>
    <row r="32" spans="2:27" ht="16.2" x14ac:dyDescent="0.35">
      <c r="B32" s="14" t="s">
        <v>9</v>
      </c>
      <c r="C32" s="85">
        <f t="shared" ref="C32:W32" si="37">C25-C29</f>
        <v>202694</v>
      </c>
      <c r="D32" s="85">
        <f t="shared" si="37"/>
        <v>234695</v>
      </c>
      <c r="E32" s="84">
        <f t="shared" si="37"/>
        <v>64869</v>
      </c>
      <c r="F32" s="84">
        <f t="shared" si="37"/>
        <v>70376</v>
      </c>
      <c r="G32" s="84">
        <f t="shared" si="37"/>
        <v>85127</v>
      </c>
      <c r="H32" s="84">
        <f t="shared" si="37"/>
        <v>91938</v>
      </c>
      <c r="I32" s="85">
        <f t="shared" si="37"/>
        <v>312310</v>
      </c>
      <c r="J32" s="84">
        <f t="shared" si="37"/>
        <v>101251</v>
      </c>
      <c r="K32" s="84">
        <f t="shared" si="37"/>
        <v>125872</v>
      </c>
      <c r="L32" s="84">
        <f t="shared" si="37"/>
        <v>125039</v>
      </c>
      <c r="M32" s="84">
        <f t="shared" si="37"/>
        <v>122862.61820014527</v>
      </c>
      <c r="N32" s="342">
        <f t="shared" si="37"/>
        <v>475024.61820014525</v>
      </c>
      <c r="O32" s="342">
        <f t="shared" si="37"/>
        <v>593809.26375375001</v>
      </c>
      <c r="P32" s="342">
        <f t="shared" si="37"/>
        <v>728040.14163762983</v>
      </c>
      <c r="Q32" s="342">
        <f t="shared" si="37"/>
        <v>920707.81104711816</v>
      </c>
      <c r="R32" s="342">
        <f t="shared" si="37"/>
        <v>1165005.0709411933</v>
      </c>
      <c r="S32" s="342">
        <f t="shared" si="37"/>
        <v>1429964.4088129112</v>
      </c>
      <c r="T32" s="342">
        <f t="shared" si="37"/>
        <v>1776991.8627266032</v>
      </c>
      <c r="U32" s="342">
        <f t="shared" si="37"/>
        <v>2195358.2521271012</v>
      </c>
      <c r="V32" s="342">
        <f t="shared" si="37"/>
        <v>2698906.172215871</v>
      </c>
      <c r="W32" s="85">
        <f t="shared" si="37"/>
        <v>3303880.4188737082</v>
      </c>
    </row>
    <row r="33" spans="2:24" x14ac:dyDescent="0.3">
      <c r="B33" s="329" t="s">
        <v>10</v>
      </c>
      <c r="C33" s="102">
        <f t="shared" ref="C33:W33" si="38">C32/C25</f>
        <v>0.85005535798161447</v>
      </c>
      <c r="D33" s="102">
        <f t="shared" si="38"/>
        <v>0.86214243469508456</v>
      </c>
      <c r="E33" s="68">
        <f t="shared" si="38"/>
        <v>0.84927077060040324</v>
      </c>
      <c r="F33" s="68">
        <f t="shared" si="38"/>
        <v>0.85000301950600887</v>
      </c>
      <c r="G33" s="68">
        <f t="shared" si="38"/>
        <v>0.8672358112857711</v>
      </c>
      <c r="H33" s="68">
        <f t="shared" si="38"/>
        <v>0.86049624214969633</v>
      </c>
      <c r="I33" s="102">
        <f t="shared" si="38"/>
        <v>0.85757278700858641</v>
      </c>
      <c r="J33" s="68">
        <f t="shared" si="38"/>
        <v>0.84577409492624089</v>
      </c>
      <c r="K33" s="68">
        <f t="shared" si="38"/>
        <v>0.88561176387813978</v>
      </c>
      <c r="L33" s="68">
        <f t="shared" si="38"/>
        <v>0.88890073720204454</v>
      </c>
      <c r="M33" s="68">
        <f t="shared" si="38"/>
        <v>0.87342886533547504</v>
      </c>
      <c r="N33" s="102">
        <f t="shared" si="38"/>
        <v>0.87452845697017412</v>
      </c>
      <c r="O33" s="102">
        <f t="shared" si="38"/>
        <v>0.87</v>
      </c>
      <c r="P33" s="102">
        <f t="shared" si="38"/>
        <v>0.87195</v>
      </c>
      <c r="Q33" s="102">
        <f t="shared" si="38"/>
        <v>0.87387075000000003</v>
      </c>
      <c r="R33" s="102">
        <f t="shared" si="38"/>
        <v>0.87576268875000007</v>
      </c>
      <c r="S33" s="102">
        <f t="shared" si="38"/>
        <v>0.87762624841874992</v>
      </c>
      <c r="T33" s="102">
        <f t="shared" si="38"/>
        <v>0.87946185469246874</v>
      </c>
      <c r="U33" s="102">
        <f t="shared" si="38"/>
        <v>0.88126992687208172</v>
      </c>
      <c r="V33" s="102">
        <f t="shared" si="38"/>
        <v>0.8830508779690005</v>
      </c>
      <c r="W33" s="102">
        <f t="shared" si="38"/>
        <v>0.88480511479946544</v>
      </c>
    </row>
    <row r="34" spans="2:24" x14ac:dyDescent="0.3">
      <c r="B34" s="12" t="s">
        <v>6</v>
      </c>
      <c r="C34" s="37"/>
      <c r="D34" s="41">
        <f>(D32/C32)-1</f>
        <v>0.15787837824503925</v>
      </c>
      <c r="E34" s="47"/>
      <c r="F34" s="55">
        <f>(F32/E32)-1</f>
        <v>8.489417132991095E-2</v>
      </c>
      <c r="G34" s="55">
        <f t="shared" ref="G34:H34" si="39">(G32/F32)-1</f>
        <v>0.20960270546777315</v>
      </c>
      <c r="H34" s="55">
        <f t="shared" si="39"/>
        <v>8.0009867609571517E-2</v>
      </c>
      <c r="I34" s="41">
        <f>(I32/D32)-1</f>
        <v>0.33070580966786678</v>
      </c>
      <c r="J34" s="55">
        <f>(J32/H32)-1</f>
        <v>0.10129652591964144</v>
      </c>
      <c r="K34" s="55">
        <f>(K32/J32)-1</f>
        <v>0.2431679687114201</v>
      </c>
      <c r="L34" s="55">
        <f t="shared" ref="L34:M34" si="40">(L32/K32)-1</f>
        <v>-6.6178339900851979E-3</v>
      </c>
      <c r="M34" s="55">
        <f t="shared" si="40"/>
        <v>-1.7405623844198415E-2</v>
      </c>
      <c r="N34" s="41">
        <f>(N32/I32)-1</f>
        <v>0.52100354839789076</v>
      </c>
      <c r="O34" s="41">
        <f>(O32/N32)-1</f>
        <v>0.25005997795161949</v>
      </c>
      <c r="P34" s="41">
        <f t="shared" ref="P34:W34" si="41">(P32/O32)-1</f>
        <v>0.22605049479245709</v>
      </c>
      <c r="Q34" s="41">
        <f t="shared" si="41"/>
        <v>0.26463879996521622</v>
      </c>
      <c r="R34" s="41">
        <f t="shared" si="41"/>
        <v>0.26533636074645295</v>
      </c>
      <c r="S34" s="41">
        <f t="shared" si="41"/>
        <v>0.22743191809256302</v>
      </c>
      <c r="T34" s="41">
        <f t="shared" si="41"/>
        <v>0.24268258131108156</v>
      </c>
      <c r="U34" s="41">
        <f t="shared" si="41"/>
        <v>0.23543517456436724</v>
      </c>
      <c r="V34" s="41">
        <f t="shared" si="41"/>
        <v>0.22936936128801677</v>
      </c>
      <c r="W34" s="41">
        <f t="shared" si="41"/>
        <v>0.22415534592710129</v>
      </c>
    </row>
    <row r="35" spans="2:24" ht="16.2" x14ac:dyDescent="0.35">
      <c r="B35" s="9"/>
      <c r="C35" s="37"/>
      <c r="D35" s="37"/>
      <c r="E35" s="47"/>
      <c r="F35" s="47"/>
      <c r="G35" s="47"/>
      <c r="H35" s="47"/>
      <c r="I35" s="37"/>
      <c r="J35" s="47"/>
      <c r="K35" s="47"/>
      <c r="L35" s="47"/>
      <c r="M35" s="47"/>
      <c r="N35" s="92"/>
      <c r="O35" s="37"/>
      <c r="P35" s="37"/>
      <c r="Q35" s="37"/>
      <c r="R35" s="37"/>
      <c r="S35" s="37"/>
      <c r="T35" s="37"/>
      <c r="U35" s="37"/>
      <c r="V35" s="37"/>
      <c r="W35" s="37"/>
    </row>
    <row r="36" spans="2:24" ht="16.2" x14ac:dyDescent="0.35">
      <c r="B36" s="31" t="s">
        <v>11</v>
      </c>
      <c r="C36" s="37"/>
      <c r="D36" s="37"/>
      <c r="E36" s="47"/>
      <c r="F36" s="47"/>
      <c r="G36" s="47"/>
      <c r="H36" s="47"/>
      <c r="I36" s="37"/>
      <c r="J36" s="47"/>
      <c r="K36" s="47"/>
      <c r="L36" s="47"/>
      <c r="M36" s="47"/>
      <c r="N36" s="92"/>
      <c r="O36" s="37">
        <v>49</v>
      </c>
      <c r="P36" s="37">
        <v>49.5</v>
      </c>
      <c r="Q36" s="37">
        <v>50</v>
      </c>
      <c r="R36" s="37">
        <v>50</v>
      </c>
      <c r="S36" s="37">
        <v>50</v>
      </c>
      <c r="T36" s="37">
        <v>50</v>
      </c>
      <c r="U36" s="37">
        <v>49</v>
      </c>
      <c r="V36" s="37">
        <v>49</v>
      </c>
      <c r="W36" s="37">
        <v>49</v>
      </c>
    </row>
    <row r="37" spans="2:24" ht="16.2" x14ac:dyDescent="0.35">
      <c r="B37" s="9" t="s">
        <v>211</v>
      </c>
      <c r="C37" s="79">
        <v>91009</v>
      </c>
      <c r="D37" s="79">
        <v>106094</v>
      </c>
      <c r="E37" s="81">
        <v>39129</v>
      </c>
      <c r="F37" s="81">
        <f>49241-1022</f>
        <v>48219</v>
      </c>
      <c r="G37" s="81">
        <f>56914-943</f>
        <v>55971</v>
      </c>
      <c r="H37" s="81">
        <v>60371</v>
      </c>
      <c r="I37" s="79">
        <f>SUM(E37:H37)</f>
        <v>203690</v>
      </c>
      <c r="J37" s="81">
        <v>77715</v>
      </c>
      <c r="K37" s="81">
        <f>59926-840</f>
        <v>59086</v>
      </c>
      <c r="L37" s="81">
        <f>82558-32606</f>
        <v>49952</v>
      </c>
      <c r="M37" s="48">
        <f>L37*(1+M40)</f>
        <v>77425.600000000006</v>
      </c>
      <c r="N37" s="45">
        <f>SUM(J37:M37)</f>
        <v>264178.59999999998</v>
      </c>
      <c r="O37" s="40">
        <f t="shared" ref="O37:W37" si="42">O38*O25</f>
        <v>334444.29797625</v>
      </c>
      <c r="P37" s="40">
        <f t="shared" si="42"/>
        <v>413303.36614556657</v>
      </c>
      <c r="Q37" s="40">
        <f t="shared" si="42"/>
        <v>526798.62041790399</v>
      </c>
      <c r="R37" s="40">
        <f t="shared" si="42"/>
        <v>665137.42016346729</v>
      </c>
      <c r="S37" s="40">
        <f t="shared" si="42"/>
        <v>814677.32499416941</v>
      </c>
      <c r="T37" s="40">
        <f t="shared" si="42"/>
        <v>1010272.2780102747</v>
      </c>
      <c r="U37" s="40">
        <f t="shared" si="42"/>
        <v>1220653.8663589545</v>
      </c>
      <c r="V37" s="40">
        <f t="shared" si="42"/>
        <v>1497607.9605145943</v>
      </c>
      <c r="W37" s="40">
        <f t="shared" si="42"/>
        <v>1829670.0348698017</v>
      </c>
    </row>
    <row r="38" spans="2:24" ht="16.2" x14ac:dyDescent="0.35">
      <c r="B38" s="12" t="s">
        <v>5</v>
      </c>
      <c r="C38" s="41">
        <f t="shared" ref="C38:N38" si="43">C37/C25</f>
        <v>0.3816723142991344</v>
      </c>
      <c r="D38" s="41">
        <f t="shared" si="43"/>
        <v>0.3897319477046392</v>
      </c>
      <c r="E38" s="55">
        <f t="shared" si="43"/>
        <v>0.51228038019428657</v>
      </c>
      <c r="F38" s="55">
        <f t="shared" si="43"/>
        <v>0.58239024095657954</v>
      </c>
      <c r="G38" s="55">
        <f t="shared" si="43"/>
        <v>0.57020752045151235</v>
      </c>
      <c r="H38" s="55">
        <f t="shared" si="43"/>
        <v>0.56504403657703361</v>
      </c>
      <c r="I38" s="41">
        <f t="shared" si="43"/>
        <v>0.55931286537664171</v>
      </c>
      <c r="J38" s="55">
        <f t="shared" si="43"/>
        <v>0.64917219372838597</v>
      </c>
      <c r="K38" s="55">
        <f t="shared" si="43"/>
        <v>0.41571800464363612</v>
      </c>
      <c r="L38" s="55">
        <f t="shared" si="43"/>
        <v>0.35510816325079797</v>
      </c>
      <c r="M38" s="55">
        <f t="shared" si="43"/>
        <v>0.55041765303873691</v>
      </c>
      <c r="N38" s="41">
        <f t="shared" si="43"/>
        <v>0.48635732669585291</v>
      </c>
      <c r="O38" s="87">
        <v>0.49</v>
      </c>
      <c r="P38" s="87">
        <v>0.495</v>
      </c>
      <c r="Q38" s="87">
        <v>0.5</v>
      </c>
      <c r="R38" s="87">
        <v>0.5</v>
      </c>
      <c r="S38" s="87">
        <v>0.5</v>
      </c>
      <c r="T38" s="87">
        <v>0.5</v>
      </c>
      <c r="U38" s="87">
        <v>0.49</v>
      </c>
      <c r="V38" s="87">
        <v>0.49</v>
      </c>
      <c r="W38" s="87">
        <v>0.49</v>
      </c>
      <c r="X38" s="363"/>
    </row>
    <row r="39" spans="2:24" x14ac:dyDescent="0.3">
      <c r="B39" s="12" t="s">
        <v>80</v>
      </c>
      <c r="C39" s="41">
        <f t="shared" ref="C39:W39" si="44">C37/C13</f>
        <v>0.32445276292335118</v>
      </c>
      <c r="D39" s="41">
        <f t="shared" si="44"/>
        <v>0.34217248274527512</v>
      </c>
      <c r="E39" s="55">
        <f t="shared" si="44"/>
        <v>0.33314318797146114</v>
      </c>
      <c r="F39" s="55">
        <f t="shared" si="44"/>
        <v>0.39166456832341018</v>
      </c>
      <c r="G39" s="55">
        <f t="shared" si="44"/>
        <v>0.37337149032400085</v>
      </c>
      <c r="H39" s="55">
        <f t="shared" si="44"/>
        <v>0.38122150515906594</v>
      </c>
      <c r="I39" s="41">
        <f t="shared" si="44"/>
        <v>0.37113090249181907</v>
      </c>
      <c r="J39" s="55">
        <f t="shared" si="44"/>
        <v>0.30440300348997074</v>
      </c>
      <c r="K39" s="55">
        <f t="shared" si="44"/>
        <v>0.31921123716909777</v>
      </c>
      <c r="L39" s="55">
        <f t="shared" si="44"/>
        <v>0.36172724178633242</v>
      </c>
      <c r="M39" s="55">
        <f t="shared" si="44"/>
        <v>0.48754541284244812</v>
      </c>
      <c r="N39" s="41">
        <f t="shared" si="44"/>
        <v>0.35830400515825955</v>
      </c>
      <c r="O39" s="88">
        <f t="shared" si="44"/>
        <v>0.37332794570643246</v>
      </c>
      <c r="P39" s="88">
        <f t="shared" si="44"/>
        <v>0.37817337174548432</v>
      </c>
      <c r="Q39" s="88">
        <f t="shared" si="44"/>
        <v>0.39849579321988554</v>
      </c>
      <c r="R39" s="88">
        <f t="shared" si="44"/>
        <v>0.41948400399158592</v>
      </c>
      <c r="S39" s="88">
        <f t="shared" si="44"/>
        <v>0.43196587854208918</v>
      </c>
      <c r="T39" s="88">
        <f t="shared" si="44"/>
        <v>0.45411418874099285</v>
      </c>
      <c r="U39" s="88">
        <f t="shared" si="44"/>
        <v>0.46897989861485351</v>
      </c>
      <c r="V39" s="88">
        <f t="shared" si="44"/>
        <v>0.49583524616741331</v>
      </c>
      <c r="W39" s="88">
        <f t="shared" si="44"/>
        <v>0.52626364889724486</v>
      </c>
      <c r="X39" s="22"/>
    </row>
    <row r="40" spans="2:24" x14ac:dyDescent="0.3">
      <c r="B40" s="12" t="s">
        <v>6</v>
      </c>
      <c r="C40" s="37"/>
      <c r="D40" s="41">
        <f>(D37/C37)-1</f>
        <v>0.165752837631443</v>
      </c>
      <c r="E40" s="47"/>
      <c r="F40" s="55">
        <f>(F37/E37)-1</f>
        <v>0.23230851797899255</v>
      </c>
      <c r="G40" s="55">
        <f>(G37/F37)-1</f>
        <v>0.16076650283083427</v>
      </c>
      <c r="H40" s="55">
        <f>(H37/G37)-1</f>
        <v>7.8612138428829192E-2</v>
      </c>
      <c r="I40" s="41">
        <f>(I37/D37)-1</f>
        <v>0.91990121967312</v>
      </c>
      <c r="J40" s="55">
        <f>(J37/H37)-1</f>
        <v>0.28729025525500651</v>
      </c>
      <c r="K40" s="55">
        <f>(K37/J37)-1</f>
        <v>-0.23970919384932121</v>
      </c>
      <c r="L40" s="55">
        <f>(L37/K37)-1</f>
        <v>-0.15458822732965505</v>
      </c>
      <c r="M40" s="349">
        <v>0.55000000000000004</v>
      </c>
      <c r="N40" s="340">
        <f>(N37/I37)-1</f>
        <v>0.29696401394275607</v>
      </c>
      <c r="O40" s="340">
        <f t="shared" ref="O40:W40" si="45">(O37/N37)-1</f>
        <v>0.2659780087268615</v>
      </c>
      <c r="P40" s="340">
        <f t="shared" si="45"/>
        <v>0.23579133699243582</v>
      </c>
      <c r="Q40" s="340">
        <f t="shared" si="45"/>
        <v>0.27460520181769854</v>
      </c>
      <c r="R40" s="340">
        <f t="shared" si="45"/>
        <v>0.26260281326443202</v>
      </c>
      <c r="S40" s="340">
        <f t="shared" si="45"/>
        <v>0.22482557783916368</v>
      </c>
      <c r="T40" s="340">
        <f t="shared" si="45"/>
        <v>0.24008886342516678</v>
      </c>
      <c r="U40" s="340">
        <f t="shared" si="45"/>
        <v>0.20824246386630052</v>
      </c>
      <c r="V40" s="340">
        <f t="shared" si="45"/>
        <v>0.22688994954954467</v>
      </c>
      <c r="W40" s="41">
        <f t="shared" si="45"/>
        <v>0.22172830481023031</v>
      </c>
    </row>
    <row r="41" spans="2:24" x14ac:dyDescent="0.3">
      <c r="B41" s="12" t="s">
        <v>386</v>
      </c>
      <c r="C41" s="484">
        <f>C37/C9</f>
        <v>164.57323688969259</v>
      </c>
      <c r="D41" s="484">
        <f>D37/D9</f>
        <v>201.69961977186313</v>
      </c>
      <c r="E41" s="560">
        <f>E37/E9</f>
        <v>65.215000000000003</v>
      </c>
      <c r="F41" s="560">
        <f t="shared" ref="F41:H41" si="46">F37/F9</f>
        <v>68.88428571428571</v>
      </c>
      <c r="G41" s="560">
        <f t="shared" si="46"/>
        <v>71.251713791422191</v>
      </c>
      <c r="H41" s="560">
        <f t="shared" si="46"/>
        <v>70.444574095682611</v>
      </c>
      <c r="I41" s="484">
        <f>I37/I9</f>
        <v>237.67794632438739</v>
      </c>
      <c r="J41" s="560">
        <f t="shared" ref="J41:M41" si="47">J37/J9</f>
        <v>77.715000000000003</v>
      </c>
      <c r="K41" s="560">
        <f t="shared" si="47"/>
        <v>59.413307913294339</v>
      </c>
      <c r="L41" s="560">
        <f t="shared" si="47"/>
        <v>51.768719679720427</v>
      </c>
      <c r="M41" s="560">
        <f t="shared" si="47"/>
        <v>79.820206185567017</v>
      </c>
      <c r="N41" s="484">
        <f>N37/N9</f>
        <v>272.34907216494844</v>
      </c>
      <c r="O41" s="484">
        <f t="shared" ref="O41:W41" si="48">O37/O9</f>
        <v>299.81559657216496</v>
      </c>
      <c r="P41" s="484">
        <f t="shared" si="48"/>
        <v>323.4478541589703</v>
      </c>
      <c r="Q41" s="484">
        <f t="shared" si="48"/>
        <v>361.27918031415726</v>
      </c>
      <c r="R41" s="484">
        <f t="shared" si="48"/>
        <v>401.22414308697955</v>
      </c>
      <c r="S41" s="484">
        <f t="shared" si="48"/>
        <v>433.82082439920032</v>
      </c>
      <c r="T41" s="484">
        <f t="shared" si="48"/>
        <v>476.58713473783558</v>
      </c>
      <c r="U41" s="484">
        <f t="shared" si="48"/>
        <v>511.87605086766615</v>
      </c>
      <c r="V41" s="484">
        <f t="shared" si="48"/>
        <v>560.12934676764371</v>
      </c>
      <c r="W41" s="484">
        <f t="shared" si="48"/>
        <v>612.33844840144309</v>
      </c>
    </row>
    <row r="42" spans="2:24" x14ac:dyDescent="0.3">
      <c r="B42" s="321" t="s">
        <v>6</v>
      </c>
      <c r="C42" s="484"/>
      <c r="D42" s="41">
        <f>(D41/C41)-1</f>
        <v>0.22559186161632705</v>
      </c>
      <c r="E42" s="560"/>
      <c r="F42" s="55">
        <f>(F41/E41)-1</f>
        <v>5.6264443981993484E-2</v>
      </c>
      <c r="G42" s="55">
        <f t="shared" ref="G42:H42" si="49">(G41/F41)-1</f>
        <v>3.4368187934124217E-2</v>
      </c>
      <c r="H42" s="55">
        <f t="shared" si="49"/>
        <v>-1.1328003956541322E-2</v>
      </c>
      <c r="I42" s="41">
        <f>(I41/D41)-1</f>
        <v>0.17837577776903268</v>
      </c>
      <c r="J42" s="55">
        <f>(J41/H41)-1</f>
        <v>0.10320774875354077</v>
      </c>
      <c r="K42" s="55">
        <f>(K41/J41)-1</f>
        <v>-0.23549754985145288</v>
      </c>
      <c r="L42" s="55">
        <f t="shared" ref="L42:M42" si="50">(L41/K41)-1</f>
        <v>-0.12866794497842393</v>
      </c>
      <c r="M42" s="55">
        <f t="shared" si="50"/>
        <v>0.54186170103092812</v>
      </c>
      <c r="N42" s="41">
        <f>(N41/I41)-1</f>
        <v>0.1458743916999401</v>
      </c>
      <c r="O42" s="41">
        <f>(O41/N41)-1</f>
        <v>0.10085044237118379</v>
      </c>
      <c r="P42" s="41">
        <f t="shared" ref="P42:W42" si="51">(P41/O41)-1</f>
        <v>7.8822642507582419E-2</v>
      </c>
      <c r="Q42" s="41">
        <f t="shared" si="51"/>
        <v>0.11696267472095623</v>
      </c>
      <c r="R42" s="41">
        <f t="shared" si="51"/>
        <v>0.11056536038995479</v>
      </c>
      <c r="S42" s="41">
        <f t="shared" si="51"/>
        <v>8.1243070422993613E-2</v>
      </c>
      <c r="T42" s="41">
        <f t="shared" si="51"/>
        <v>9.8580584272003113E-2</v>
      </c>
      <c r="U42" s="41">
        <f t="shared" si="51"/>
        <v>7.4045045612157745E-2</v>
      </c>
      <c r="V42" s="41">
        <f t="shared" si="51"/>
        <v>9.4267539608826834E-2</v>
      </c>
      <c r="W42" s="41">
        <f t="shared" si="51"/>
        <v>9.3209009553032907E-2</v>
      </c>
    </row>
    <row r="43" spans="2:24" ht="16.2" x14ac:dyDescent="0.35">
      <c r="B43" s="9" t="s">
        <v>41</v>
      </c>
      <c r="C43" s="79">
        <v>2303</v>
      </c>
      <c r="D43" s="79">
        <v>3672</v>
      </c>
      <c r="E43" s="81">
        <v>1027</v>
      </c>
      <c r="F43" s="81">
        <v>1190</v>
      </c>
      <c r="G43" s="81">
        <v>1255</v>
      </c>
      <c r="H43" s="81">
        <v>1298</v>
      </c>
      <c r="I43" s="79">
        <v>4770</v>
      </c>
      <c r="J43" s="81">
        <v>1778</v>
      </c>
      <c r="K43" s="81">
        <v>1927</v>
      </c>
      <c r="L43" s="81">
        <v>2137</v>
      </c>
      <c r="M43" s="48">
        <f>M44*M25</f>
        <v>2137</v>
      </c>
      <c r="N43" s="45">
        <f>I43*(N45+1)</f>
        <v>7114.5207713789096</v>
      </c>
      <c r="O43" s="40">
        <f>N43*(1+O45)</f>
        <v>8939.8698439263371</v>
      </c>
      <c r="P43" s="40">
        <f t="shared" ref="P43:W43" si="52">O43*(1+P45)</f>
        <v>10936.219629115963</v>
      </c>
      <c r="Q43" s="40">
        <f t="shared" si="52"/>
        <v>13799.968803217109</v>
      </c>
      <c r="R43" s="40">
        <f t="shared" si="52"/>
        <v>17423.879433903319</v>
      </c>
      <c r="S43" s="40">
        <f t="shared" si="52"/>
        <v>21341.213195830554</v>
      </c>
      <c r="T43" s="40">
        <f t="shared" si="52"/>
        <v>26465.000816131684</v>
      </c>
      <c r="U43" s="40">
        <f t="shared" si="52"/>
        <v>32628.712032965916</v>
      </c>
      <c r="V43" s="40">
        <f t="shared" si="52"/>
        <v>40031.838859992182</v>
      </c>
      <c r="W43" s="40">
        <f t="shared" si="52"/>
        <v>48908.030628854554</v>
      </c>
    </row>
    <row r="44" spans="2:24" ht="16.2" x14ac:dyDescent="0.35">
      <c r="B44" s="12" t="s">
        <v>5</v>
      </c>
      <c r="C44" s="41">
        <f t="shared" ref="C44:L44" si="53">C43/C25</f>
        <v>9.6582902771254111E-3</v>
      </c>
      <c r="D44" s="41">
        <f t="shared" si="53"/>
        <v>1.3488941052005158E-2</v>
      </c>
      <c r="E44" s="55">
        <f t="shared" si="53"/>
        <v>1.344557618287031E-2</v>
      </c>
      <c r="F44" s="55">
        <f t="shared" si="53"/>
        <v>1.4372848601968718E-2</v>
      </c>
      <c r="G44" s="55">
        <f t="shared" si="53"/>
        <v>1.2785378824152651E-2</v>
      </c>
      <c r="H44" s="55">
        <f t="shared" si="53"/>
        <v>1.2148666735303203E-2</v>
      </c>
      <c r="I44" s="41">
        <f t="shared" si="53"/>
        <v>1.309795457728205E-2</v>
      </c>
      <c r="J44" s="55">
        <f t="shared" si="53"/>
        <v>1.4852064086071804E-2</v>
      </c>
      <c r="K44" s="55">
        <f t="shared" si="53"/>
        <v>1.3558010272285936E-2</v>
      </c>
      <c r="L44" s="55">
        <f t="shared" si="53"/>
        <v>1.519190712818216E-2</v>
      </c>
      <c r="M44" s="349">
        <v>1.519190712818216E-2</v>
      </c>
      <c r="N44" s="41">
        <f t="shared" ref="N44:W44" si="54">N43/N25</f>
        <v>1.309795457728205E-2</v>
      </c>
      <c r="O44" s="41">
        <f t="shared" si="54"/>
        <v>1.3097954577282049E-2</v>
      </c>
      <c r="P44" s="41">
        <f t="shared" si="54"/>
        <v>1.3097954577282049E-2</v>
      </c>
      <c r="Q44" s="41">
        <f t="shared" si="54"/>
        <v>1.3097954577282049E-2</v>
      </c>
      <c r="R44" s="41">
        <f t="shared" si="54"/>
        <v>1.3097954577282049E-2</v>
      </c>
      <c r="S44" s="41">
        <f t="shared" si="54"/>
        <v>1.309795457728205E-2</v>
      </c>
      <c r="T44" s="41">
        <f t="shared" si="54"/>
        <v>1.309795457728205E-2</v>
      </c>
      <c r="U44" s="41">
        <f t="shared" si="54"/>
        <v>1.309795457728205E-2</v>
      </c>
      <c r="V44" s="41">
        <f t="shared" si="54"/>
        <v>1.309795457728205E-2</v>
      </c>
      <c r="W44" s="41">
        <f t="shared" si="54"/>
        <v>1.3097954577282052E-2</v>
      </c>
      <c r="X44" s="363"/>
    </row>
    <row r="45" spans="2:24" x14ac:dyDescent="0.3">
      <c r="B45" s="12" t="s">
        <v>6</v>
      </c>
      <c r="C45" s="37"/>
      <c r="D45" s="41">
        <f>(D43/C43)-1</f>
        <v>0.59444203213200164</v>
      </c>
      <c r="E45" s="47"/>
      <c r="F45" s="55">
        <f>(F43/E43)-1</f>
        <v>0.15871470301850055</v>
      </c>
      <c r="G45" s="55">
        <f t="shared" ref="G45:H45" si="55">(G43/F43)-1</f>
        <v>5.4621848739495826E-2</v>
      </c>
      <c r="H45" s="55">
        <f t="shared" si="55"/>
        <v>3.426294820717124E-2</v>
      </c>
      <c r="I45" s="41">
        <f>(I43/D43)-1</f>
        <v>0.2990196078431373</v>
      </c>
      <c r="J45" s="55">
        <f>(J43/H43)-1</f>
        <v>0.36979969183359018</v>
      </c>
      <c r="K45" s="55">
        <f>(K43/J43)-1</f>
        <v>8.3802024746906678E-2</v>
      </c>
      <c r="L45" s="55">
        <f t="shared" ref="L45:M45" si="56">(L43/K43)-1</f>
        <v>0.10897768552153608</v>
      </c>
      <c r="M45" s="55">
        <f t="shared" si="56"/>
        <v>0</v>
      </c>
      <c r="N45" s="87">
        <f t="shared" ref="N45:W45" si="57">N26</f>
        <v>0.49151378854903771</v>
      </c>
      <c r="O45" s="87">
        <f t="shared" si="57"/>
        <v>0.25656669383701103</v>
      </c>
      <c r="P45" s="87">
        <f t="shared" si="57"/>
        <v>0.22330859621473431</v>
      </c>
      <c r="Q45" s="87">
        <f t="shared" si="57"/>
        <v>0.26185914979952152</v>
      </c>
      <c r="R45" s="87">
        <f t="shared" si="57"/>
        <v>0.26260281326443202</v>
      </c>
      <c r="S45" s="87">
        <f t="shared" si="57"/>
        <v>0.22482557783916368</v>
      </c>
      <c r="T45" s="87">
        <f t="shared" si="57"/>
        <v>0.24008886342516678</v>
      </c>
      <c r="U45" s="87">
        <f t="shared" si="57"/>
        <v>0.2329004733329596</v>
      </c>
      <c r="V45" s="87">
        <f t="shared" si="57"/>
        <v>0.22688994954954489</v>
      </c>
      <c r="W45" s="87">
        <f t="shared" si="57"/>
        <v>0.22172830481023031</v>
      </c>
    </row>
    <row r="46" spans="2:24" s="63" customFormat="1" ht="16.2" x14ac:dyDescent="0.35">
      <c r="B46" s="64" t="s">
        <v>212</v>
      </c>
      <c r="C46" s="86">
        <v>58215</v>
      </c>
      <c r="D46" s="86">
        <v>76255</v>
      </c>
      <c r="E46" s="81">
        <v>20327</v>
      </c>
      <c r="F46" s="81">
        <f>84498-62547</f>
        <v>21951</v>
      </c>
      <c r="G46" s="81">
        <f>79885-58791</f>
        <v>21094</v>
      </c>
      <c r="H46" s="81">
        <v>22892</v>
      </c>
      <c r="I46" s="86">
        <f>SUM(E46:H46)</f>
        <v>86264</v>
      </c>
      <c r="J46" s="81">
        <v>34773</v>
      </c>
      <c r="K46" s="81">
        <f>64661-36037</f>
        <v>28624</v>
      </c>
      <c r="L46" s="81">
        <f>356286-333563</f>
        <v>22723</v>
      </c>
      <c r="M46" s="48">
        <f>M47*M25</f>
        <v>35166.75</v>
      </c>
      <c r="N46" s="343">
        <f>SUM(J46:M46)</f>
        <v>121286.75</v>
      </c>
      <c r="O46" s="65">
        <f t="shared" ref="O46:W46" si="58">O47*O25</f>
        <v>152063.62076192361</v>
      </c>
      <c r="P46" s="65">
        <f t="shared" si="58"/>
        <v>185603.25630197671</v>
      </c>
      <c r="Q46" s="65">
        <f t="shared" si="58"/>
        <v>233678.3685768171</v>
      </c>
      <c r="R46" s="65">
        <f t="shared" si="58"/>
        <v>294377.82814396865</v>
      </c>
      <c r="S46" s="65">
        <f t="shared" si="58"/>
        <v>359746.81613448029</v>
      </c>
      <c r="T46" s="65">
        <f t="shared" si="58"/>
        <v>445107.74806301983</v>
      </c>
      <c r="U46" s="65">
        <f t="shared" si="58"/>
        <v>547527.9881013108</v>
      </c>
      <c r="V46" s="65">
        <f t="shared" si="58"/>
        <v>670228.41431030084</v>
      </c>
      <c r="W46" s="65">
        <f t="shared" si="58"/>
        <v>816970.01421130949</v>
      </c>
    </row>
    <row r="47" spans="2:24" ht="16.2" x14ac:dyDescent="0.35">
      <c r="B47" s="12" t="s">
        <v>5</v>
      </c>
      <c r="C47" s="41">
        <f t="shared" ref="C47:L47" si="59">C46/C25</f>
        <v>0.24414128027913842</v>
      </c>
      <c r="D47" s="41">
        <f t="shared" si="59"/>
        <v>0.28011960782152867</v>
      </c>
      <c r="E47" s="55">
        <f t="shared" si="59"/>
        <v>0.26612290853866094</v>
      </c>
      <c r="F47" s="55">
        <f t="shared" si="59"/>
        <v>0.26512470559816415</v>
      </c>
      <c r="G47" s="55">
        <f t="shared" si="59"/>
        <v>0.21489623977424382</v>
      </c>
      <c r="H47" s="55">
        <f t="shared" si="59"/>
        <v>0.21425830424080192</v>
      </c>
      <c r="I47" s="41">
        <f t="shared" si="59"/>
        <v>0.23687252697162658</v>
      </c>
      <c r="J47" s="55">
        <f t="shared" si="59"/>
        <v>0.29046728035150443</v>
      </c>
      <c r="K47" s="55">
        <f t="shared" si="59"/>
        <v>0.20139309083233659</v>
      </c>
      <c r="L47" s="55">
        <f t="shared" si="59"/>
        <v>0.16153753190158318</v>
      </c>
      <c r="M47" s="349">
        <v>0.25</v>
      </c>
      <c r="N47" s="41">
        <f>N46/N25</f>
        <v>0.22329098380273132</v>
      </c>
      <c r="O47" s="87">
        <f>N47+$X$47</f>
        <v>0.22279098380273132</v>
      </c>
      <c r="P47" s="87">
        <f t="shared" ref="P47:W47" si="60">O47+$X$47</f>
        <v>0.22229098380273132</v>
      </c>
      <c r="Q47" s="87">
        <f t="shared" si="60"/>
        <v>0.22179098380273132</v>
      </c>
      <c r="R47" s="87">
        <f t="shared" si="60"/>
        <v>0.22129098380273132</v>
      </c>
      <c r="S47" s="87">
        <f t="shared" si="60"/>
        <v>0.22079098380273132</v>
      </c>
      <c r="T47" s="87">
        <f t="shared" si="60"/>
        <v>0.22029098380273132</v>
      </c>
      <c r="U47" s="87">
        <f t="shared" si="60"/>
        <v>0.21979098380273132</v>
      </c>
      <c r="V47" s="87">
        <f t="shared" si="60"/>
        <v>0.21929098380273132</v>
      </c>
      <c r="W47" s="87">
        <f t="shared" si="60"/>
        <v>0.21879098380273132</v>
      </c>
      <c r="X47" s="363">
        <v>-5.0000000000000001E-4</v>
      </c>
    </row>
    <row r="48" spans="2:24" x14ac:dyDescent="0.3">
      <c r="B48" s="12" t="s">
        <v>6</v>
      </c>
      <c r="C48" s="37"/>
      <c r="D48" s="41">
        <f>(D46/C46)-1</f>
        <v>0.30988576827278203</v>
      </c>
      <c r="E48" s="47"/>
      <c r="F48" s="55">
        <f>(F46/E46)-1</f>
        <v>7.9893737393614384E-2</v>
      </c>
      <c r="G48" s="55">
        <f t="shared" ref="G48:H48" si="61">(G46/F46)-1</f>
        <v>-3.9041501526126399E-2</v>
      </c>
      <c r="H48" s="55">
        <f t="shared" si="61"/>
        <v>8.5237508296198028E-2</v>
      </c>
      <c r="I48" s="41">
        <f>(I46/D46)-1</f>
        <v>0.13125696675627818</v>
      </c>
      <c r="J48" s="55">
        <f>(J46/H46)-1</f>
        <v>0.51900227153590772</v>
      </c>
      <c r="K48" s="55">
        <f>(K46/J46)-1</f>
        <v>-0.17683260000575163</v>
      </c>
      <c r="L48" s="55">
        <f t="shared" ref="L48:M48" si="62">(L46/K46)-1</f>
        <v>-0.20615567356064846</v>
      </c>
      <c r="M48" s="55">
        <f t="shared" si="62"/>
        <v>0.54762795405536235</v>
      </c>
      <c r="N48" s="41">
        <f>(N46/I46)-1</f>
        <v>0.40599496893257903</v>
      </c>
      <c r="O48" s="41">
        <f>(O46/N46)-1</f>
        <v>0.25375295126568731</v>
      </c>
      <c r="P48" s="41">
        <f t="shared" ref="P48:W48" si="63">(P46/O46)-1</f>
        <v>0.22056317856960672</v>
      </c>
      <c r="Q48" s="41">
        <f t="shared" si="63"/>
        <v>0.25902084496094258</v>
      </c>
      <c r="R48" s="41">
        <f t="shared" si="63"/>
        <v>0.25975643332685205</v>
      </c>
      <c r="S48" s="41">
        <f t="shared" si="63"/>
        <v>0.22205812306809403</v>
      </c>
      <c r="T48" s="41">
        <f t="shared" si="63"/>
        <v>0.23728057650586676</v>
      </c>
      <c r="U48" s="41">
        <f t="shared" si="63"/>
        <v>0.23010212804426389</v>
      </c>
      <c r="V48" s="41">
        <f t="shared" si="63"/>
        <v>0.22409891160903794</v>
      </c>
      <c r="W48" s="41">
        <f t="shared" si="63"/>
        <v>0.21894267203221052</v>
      </c>
      <c r="X48" s="13"/>
    </row>
    <row r="49" spans="2:23" ht="16.2" x14ac:dyDescent="0.35">
      <c r="B49" s="9" t="s">
        <v>42</v>
      </c>
      <c r="C49" s="79">
        <v>2096</v>
      </c>
      <c r="D49" s="79">
        <v>331</v>
      </c>
      <c r="E49" s="81">
        <v>50</v>
      </c>
      <c r="F49" s="81">
        <v>-17</v>
      </c>
      <c r="G49" s="81">
        <v>34</v>
      </c>
      <c r="H49" s="81">
        <v>56</v>
      </c>
      <c r="I49" s="79">
        <v>122</v>
      </c>
      <c r="J49" s="81">
        <v>20</v>
      </c>
      <c r="K49" s="81">
        <v>27</v>
      </c>
      <c r="L49" s="81">
        <v>10097</v>
      </c>
      <c r="M49" s="99">
        <v>20</v>
      </c>
      <c r="N49" s="364">
        <v>50</v>
      </c>
      <c r="O49" s="100">
        <v>20</v>
      </c>
      <c r="P49" s="100">
        <v>20</v>
      </c>
      <c r="Q49" s="100">
        <v>20</v>
      </c>
      <c r="R49" s="100">
        <v>20</v>
      </c>
      <c r="S49" s="100">
        <v>20</v>
      </c>
      <c r="T49" s="100">
        <v>20</v>
      </c>
      <c r="U49" s="100">
        <v>20</v>
      </c>
      <c r="V49" s="100">
        <v>20</v>
      </c>
      <c r="W49" s="100">
        <v>20</v>
      </c>
    </row>
    <row r="50" spans="2:23" x14ac:dyDescent="0.3">
      <c r="B50" s="12" t="s">
        <v>5</v>
      </c>
      <c r="C50" s="41">
        <f t="shared" ref="C50:W50" si="64">C49/C25</f>
        <v>8.7901764745353279E-3</v>
      </c>
      <c r="D50" s="41">
        <f t="shared" si="64"/>
        <v>1.2159148933043864E-3</v>
      </c>
      <c r="E50" s="55">
        <f t="shared" si="64"/>
        <v>6.5460448796836952E-4</v>
      </c>
      <c r="F50" s="61">
        <f t="shared" si="64"/>
        <v>-2.0532640859955312E-4</v>
      </c>
      <c r="G50" s="61">
        <f t="shared" si="64"/>
        <v>3.4637679682963354E-4</v>
      </c>
      <c r="H50" s="55">
        <f t="shared" si="64"/>
        <v>5.2413354173881307E-4</v>
      </c>
      <c r="I50" s="60">
        <f t="shared" si="64"/>
        <v>3.3500009610658494E-4</v>
      </c>
      <c r="J50" s="61">
        <f t="shared" si="64"/>
        <v>1.6706483786357485E-4</v>
      </c>
      <c r="K50" s="61">
        <f t="shared" si="64"/>
        <v>1.8996693168226271E-4</v>
      </c>
      <c r="L50" s="61">
        <f t="shared" si="64"/>
        <v>7.1779450759595353E-2</v>
      </c>
      <c r="M50" s="61">
        <f t="shared" si="64"/>
        <v>1.4217975786787236E-4</v>
      </c>
      <c r="N50" s="366">
        <f t="shared" si="64"/>
        <v>9.20508562570649E-5</v>
      </c>
      <c r="O50" s="366">
        <f t="shared" si="64"/>
        <v>2.930233841420113E-5</v>
      </c>
      <c r="P50" s="366">
        <f t="shared" si="64"/>
        <v>2.3953349551266885E-5</v>
      </c>
      <c r="Q50" s="366">
        <f t="shared" si="64"/>
        <v>1.898258577835132E-5</v>
      </c>
      <c r="R50" s="366">
        <f t="shared" si="64"/>
        <v>1.5034487155364605E-5</v>
      </c>
      <c r="S50" s="366">
        <f t="shared" si="64"/>
        <v>1.2274798491625589E-5</v>
      </c>
      <c r="T50" s="366">
        <f t="shared" si="64"/>
        <v>9.8983216877879111E-6</v>
      </c>
      <c r="U50" s="366">
        <f t="shared" si="64"/>
        <v>8.0284839708344811E-6</v>
      </c>
      <c r="V50" s="366">
        <f t="shared" si="64"/>
        <v>6.5437686353060065E-6</v>
      </c>
      <c r="W50" s="367">
        <f t="shared" si="64"/>
        <v>5.3561570191520141E-6</v>
      </c>
    </row>
    <row r="51" spans="2:23" x14ac:dyDescent="0.3">
      <c r="B51" s="12" t="s">
        <v>6</v>
      </c>
      <c r="C51" s="37"/>
      <c r="D51" s="41">
        <f>(D49/C49)-1</f>
        <v>-0.84208015267175573</v>
      </c>
      <c r="E51" s="47"/>
      <c r="F51" s="55">
        <f>(F49/E49)-1</f>
        <v>-1.34</v>
      </c>
      <c r="G51" s="55">
        <f t="shared" ref="G51:H51" si="65">(G49/F49)-1</f>
        <v>-3</v>
      </c>
      <c r="H51" s="55">
        <f t="shared" si="65"/>
        <v>0.64705882352941169</v>
      </c>
      <c r="I51" s="41">
        <f>(I49/D49)-1</f>
        <v>-0.63141993957703924</v>
      </c>
      <c r="J51" s="55">
        <f>(J49/H49)-1</f>
        <v>-0.64285714285714279</v>
      </c>
      <c r="K51" s="55">
        <f>(K49/J49)-1</f>
        <v>0.35000000000000009</v>
      </c>
      <c r="L51" s="55">
        <f t="shared" ref="L51:M51" si="66">(L49/K49)-1</f>
        <v>372.96296296296299</v>
      </c>
      <c r="M51" s="55">
        <f t="shared" si="66"/>
        <v>-0.99801921362781021</v>
      </c>
      <c r="N51" s="340">
        <f>(N49/I49)-1</f>
        <v>-0.5901639344262295</v>
      </c>
      <c r="O51" s="41">
        <f>(O49/N49)-1</f>
        <v>-0.6</v>
      </c>
      <c r="P51" s="41">
        <f t="shared" ref="P51:W51" si="67">(P49/O49)-1</f>
        <v>0</v>
      </c>
      <c r="Q51" s="41">
        <f t="shared" si="67"/>
        <v>0</v>
      </c>
      <c r="R51" s="41">
        <f t="shared" si="67"/>
        <v>0</v>
      </c>
      <c r="S51" s="41">
        <f t="shared" si="67"/>
        <v>0</v>
      </c>
      <c r="T51" s="41">
        <f t="shared" si="67"/>
        <v>0</v>
      </c>
      <c r="U51" s="41">
        <f t="shared" si="67"/>
        <v>0</v>
      </c>
      <c r="V51" s="41">
        <f t="shared" si="67"/>
        <v>0</v>
      </c>
      <c r="W51" s="41">
        <f t="shared" si="67"/>
        <v>0</v>
      </c>
    </row>
    <row r="52" spans="2:23" ht="16.2" x14ac:dyDescent="0.35">
      <c r="B52" s="14" t="s">
        <v>67</v>
      </c>
      <c r="C52" s="42">
        <f t="shared" ref="C52:W52" si="68">C37+C43+C46+C49</f>
        <v>153623</v>
      </c>
      <c r="D52" s="42">
        <f t="shared" si="68"/>
        <v>186352</v>
      </c>
      <c r="E52" s="50">
        <f t="shared" si="68"/>
        <v>60533</v>
      </c>
      <c r="F52" s="50">
        <f t="shared" si="68"/>
        <v>71343</v>
      </c>
      <c r="G52" s="50">
        <f t="shared" si="68"/>
        <v>78354</v>
      </c>
      <c r="H52" s="50">
        <f t="shared" si="68"/>
        <v>84617</v>
      </c>
      <c r="I52" s="42">
        <f t="shared" si="68"/>
        <v>294846</v>
      </c>
      <c r="J52" s="50">
        <f t="shared" si="68"/>
        <v>114286</v>
      </c>
      <c r="K52" s="50">
        <f t="shared" si="68"/>
        <v>89664</v>
      </c>
      <c r="L52" s="50">
        <f t="shared" si="68"/>
        <v>84909</v>
      </c>
      <c r="M52" s="50">
        <f t="shared" si="68"/>
        <v>114749.35</v>
      </c>
      <c r="N52" s="44">
        <f t="shared" si="68"/>
        <v>392629.87077137886</v>
      </c>
      <c r="O52" s="44">
        <f t="shared" si="68"/>
        <v>495467.78858209995</v>
      </c>
      <c r="P52" s="44">
        <f t="shared" si="68"/>
        <v>609862.8420766592</v>
      </c>
      <c r="Q52" s="44">
        <f t="shared" si="68"/>
        <v>774296.95779793814</v>
      </c>
      <c r="R52" s="44">
        <f t="shared" si="68"/>
        <v>976959.12774133938</v>
      </c>
      <c r="S52" s="44">
        <f t="shared" si="68"/>
        <v>1195785.3543244803</v>
      </c>
      <c r="T52" s="44">
        <f t="shared" si="68"/>
        <v>1481865.0268894262</v>
      </c>
      <c r="U52" s="44">
        <f t="shared" si="68"/>
        <v>1800830.5664932311</v>
      </c>
      <c r="V52" s="44">
        <f t="shared" si="68"/>
        <v>2207888.2136848872</v>
      </c>
      <c r="W52" s="42">
        <f t="shared" si="68"/>
        <v>2695568.0797099657</v>
      </c>
    </row>
    <row r="53" spans="2:23" x14ac:dyDescent="0.3">
      <c r="B53" s="12" t="s">
        <v>5</v>
      </c>
      <c r="C53" s="41">
        <f t="shared" ref="C53:W53" si="69">C52/C25</f>
        <v>0.64426206132993358</v>
      </c>
      <c r="D53" s="41">
        <f t="shared" si="69"/>
        <v>0.68455641147147739</v>
      </c>
      <c r="E53" s="55">
        <f t="shared" si="69"/>
        <v>0.79250346940378624</v>
      </c>
      <c r="F53" s="55">
        <f t="shared" si="69"/>
        <v>0.86168246874811283</v>
      </c>
      <c r="G53" s="55">
        <f t="shared" si="69"/>
        <v>0.79823551584673846</v>
      </c>
      <c r="H53" s="55">
        <f t="shared" si="69"/>
        <v>0.79197514109487754</v>
      </c>
      <c r="I53" s="41">
        <f t="shared" si="69"/>
        <v>0.80961834702165691</v>
      </c>
      <c r="J53" s="55">
        <f t="shared" si="69"/>
        <v>0.95465860300382577</v>
      </c>
      <c r="K53" s="55">
        <f t="shared" si="69"/>
        <v>0.6308590726799409</v>
      </c>
      <c r="L53" s="55">
        <f t="shared" si="69"/>
        <v>0.60361705304015867</v>
      </c>
      <c r="M53" s="55">
        <f t="shared" si="69"/>
        <v>0.815751739924787</v>
      </c>
      <c r="N53" s="41">
        <f t="shared" si="69"/>
        <v>0.72283831593212333</v>
      </c>
      <c r="O53" s="41">
        <f t="shared" si="69"/>
        <v>0.72591824071842759</v>
      </c>
      <c r="P53" s="41">
        <f t="shared" si="69"/>
        <v>0.73041289172956458</v>
      </c>
      <c r="Q53" s="41">
        <f t="shared" si="69"/>
        <v>0.73490792096579172</v>
      </c>
      <c r="R53" s="41">
        <f t="shared" si="69"/>
        <v>0.73440397286716885</v>
      </c>
      <c r="S53" s="41">
        <f t="shared" si="69"/>
        <v>0.73390121317850499</v>
      </c>
      <c r="T53" s="41">
        <f t="shared" si="69"/>
        <v>0.73339883670170114</v>
      </c>
      <c r="U53" s="41">
        <f t="shared" si="69"/>
        <v>0.72289696686398419</v>
      </c>
      <c r="V53" s="41">
        <f t="shared" si="69"/>
        <v>0.72239548214864857</v>
      </c>
      <c r="W53" s="41">
        <f t="shared" si="69"/>
        <v>0.72189429453703247</v>
      </c>
    </row>
    <row r="54" spans="2:23" x14ac:dyDescent="0.3">
      <c r="B54" s="12" t="s">
        <v>6</v>
      </c>
      <c r="C54" s="37"/>
      <c r="D54" s="41">
        <f>(D52/C52)-1</f>
        <v>0.21304752543564431</v>
      </c>
      <c r="E54" s="47"/>
      <c r="F54" s="55">
        <f>(F52/E52)-1</f>
        <v>0.17858027852576286</v>
      </c>
      <c r="G54" s="55">
        <f t="shared" ref="G54:H54" si="70">(G52/F52)-1</f>
        <v>9.8271729531979268E-2</v>
      </c>
      <c r="H54" s="55">
        <f t="shared" si="70"/>
        <v>7.9932103019628942E-2</v>
      </c>
      <c r="I54" s="41">
        <f>(I52/D52)-1</f>
        <v>0.58219927878423627</v>
      </c>
      <c r="J54" s="55">
        <f>(J52/H52)-1</f>
        <v>0.35062694257655092</v>
      </c>
      <c r="K54" s="55">
        <f>(K52/J52)-1</f>
        <v>-0.21544196139509653</v>
      </c>
      <c r="L54" s="55">
        <f t="shared" ref="L54:M54" si="71">(L52/K52)-1</f>
        <v>-5.3031316916488214E-2</v>
      </c>
      <c r="M54" s="55">
        <f t="shared" si="71"/>
        <v>0.35143918783638961</v>
      </c>
      <c r="N54" s="41">
        <f>(N52/I52)-1</f>
        <v>0.33164387772389259</v>
      </c>
      <c r="O54" s="41">
        <f>(O52/N52)-1</f>
        <v>0.26192076932068598</v>
      </c>
      <c r="P54" s="41">
        <f t="shared" ref="P54:W54" si="72">(P52/O52)-1</f>
        <v>0.23088292746926742</v>
      </c>
      <c r="Q54" s="41">
        <f t="shared" si="72"/>
        <v>0.26962474900316957</v>
      </c>
      <c r="R54" s="41">
        <f t="shared" si="72"/>
        <v>0.26173700916992138</v>
      </c>
      <c r="S54" s="41">
        <f t="shared" si="72"/>
        <v>0.22398708438197579</v>
      </c>
      <c r="T54" s="41">
        <f t="shared" si="72"/>
        <v>0.23923998695113413</v>
      </c>
      <c r="U54" s="41">
        <f t="shared" si="72"/>
        <v>0.21524601351402661</v>
      </c>
      <c r="V54" s="41">
        <f t="shared" si="72"/>
        <v>0.22603883717074069</v>
      </c>
      <c r="W54" s="41">
        <f t="shared" si="72"/>
        <v>0.22088068725687804</v>
      </c>
    </row>
    <row r="55" spans="2:23" s="15" customFormat="1" ht="16.2" x14ac:dyDescent="0.35">
      <c r="B55" s="14" t="s">
        <v>218</v>
      </c>
      <c r="C55" s="56">
        <f t="shared" ref="C55:W55" si="73">C32-C52</f>
        <v>49071</v>
      </c>
      <c r="D55" s="56">
        <f t="shared" si="73"/>
        <v>48343</v>
      </c>
      <c r="E55" s="57">
        <f t="shared" si="73"/>
        <v>4336</v>
      </c>
      <c r="F55" s="57">
        <f t="shared" si="73"/>
        <v>-967</v>
      </c>
      <c r="G55" s="57">
        <f t="shared" si="73"/>
        <v>6773</v>
      </c>
      <c r="H55" s="57">
        <f t="shared" si="73"/>
        <v>7321</v>
      </c>
      <c r="I55" s="56">
        <f t="shared" si="73"/>
        <v>17464</v>
      </c>
      <c r="J55" s="57">
        <f t="shared" si="73"/>
        <v>-13035</v>
      </c>
      <c r="K55" s="57">
        <f t="shared" si="73"/>
        <v>36208</v>
      </c>
      <c r="L55" s="57">
        <f t="shared" si="73"/>
        <v>40130</v>
      </c>
      <c r="M55" s="57">
        <f t="shared" si="73"/>
        <v>8113.2682001452631</v>
      </c>
      <c r="N55" s="413">
        <f t="shared" si="73"/>
        <v>82394.747428766394</v>
      </c>
      <c r="O55" s="413">
        <f t="shared" si="73"/>
        <v>98341.475171650061</v>
      </c>
      <c r="P55" s="413">
        <f t="shared" si="73"/>
        <v>118177.29956097063</v>
      </c>
      <c r="Q55" s="413">
        <f t="shared" si="73"/>
        <v>146410.85324918001</v>
      </c>
      <c r="R55" s="413">
        <f t="shared" si="73"/>
        <v>188045.94319985388</v>
      </c>
      <c r="S55" s="413">
        <f t="shared" si="73"/>
        <v>234179.05448843096</v>
      </c>
      <c r="T55" s="413">
        <f t="shared" si="73"/>
        <v>295126.835837177</v>
      </c>
      <c r="U55" s="413">
        <f t="shared" si="73"/>
        <v>394527.68563387007</v>
      </c>
      <c r="V55" s="413">
        <f t="shared" si="73"/>
        <v>491017.95853098389</v>
      </c>
      <c r="W55" s="56">
        <f t="shared" si="73"/>
        <v>608312.33916374249</v>
      </c>
    </row>
    <row r="56" spans="2:23" x14ac:dyDescent="0.3">
      <c r="B56" s="23" t="s">
        <v>195</v>
      </c>
      <c r="C56" s="41">
        <f t="shared" ref="C56:W56" si="74">C55/C25</f>
        <v>0.20579329665168086</v>
      </c>
      <c r="D56" s="41">
        <f t="shared" si="74"/>
        <v>0.17758602322360711</v>
      </c>
      <c r="E56" s="55">
        <f t="shared" si="74"/>
        <v>5.6767301196617007E-2</v>
      </c>
      <c r="F56" s="55">
        <f t="shared" si="74"/>
        <v>-1.1679449242103991E-2</v>
      </c>
      <c r="G56" s="55">
        <f t="shared" si="74"/>
        <v>6.9000295439032591E-2</v>
      </c>
      <c r="H56" s="55">
        <f t="shared" si="74"/>
        <v>6.8521101054818748E-2</v>
      </c>
      <c r="I56" s="41">
        <f t="shared" si="74"/>
        <v>4.7954439986929505E-2</v>
      </c>
      <c r="J56" s="55">
        <f t="shared" si="74"/>
        <v>-0.10888450807758492</v>
      </c>
      <c r="K56" s="55">
        <f t="shared" si="74"/>
        <v>0.25475269119819882</v>
      </c>
      <c r="L56" s="55">
        <f t="shared" si="74"/>
        <v>0.28528368416188588</v>
      </c>
      <c r="M56" s="55">
        <f t="shared" si="74"/>
        <v>5.7677125410688104E-2</v>
      </c>
      <c r="N56" s="41">
        <f t="shared" si="74"/>
        <v>0.15169014103805087</v>
      </c>
      <c r="O56" s="41">
        <f t="shared" si="74"/>
        <v>0.14408175928157241</v>
      </c>
      <c r="P56" s="41">
        <f t="shared" si="74"/>
        <v>0.14153710827043539</v>
      </c>
      <c r="Q56" s="41">
        <f t="shared" si="74"/>
        <v>0.13896282903420834</v>
      </c>
      <c r="R56" s="41">
        <f t="shared" si="74"/>
        <v>0.14135871588283128</v>
      </c>
      <c r="S56" s="41">
        <f t="shared" si="74"/>
        <v>0.14372503524024494</v>
      </c>
      <c r="T56" s="41">
        <f t="shared" si="74"/>
        <v>0.14606301799076757</v>
      </c>
      <c r="U56" s="41">
        <f t="shared" si="74"/>
        <v>0.15837296000809756</v>
      </c>
      <c r="V56" s="41">
        <f t="shared" si="74"/>
        <v>0.1606553958203519</v>
      </c>
      <c r="W56" s="41">
        <f t="shared" si="74"/>
        <v>0.162910820262433</v>
      </c>
    </row>
    <row r="57" spans="2:23" x14ac:dyDescent="0.3">
      <c r="B57" s="12" t="s">
        <v>6</v>
      </c>
      <c r="C57" s="37"/>
      <c r="D57" s="41">
        <f>(D55/C55)-1</f>
        <v>-1.4835646308410277E-2</v>
      </c>
      <c r="E57" s="47"/>
      <c r="F57" s="55">
        <f>(F55/E55)-1</f>
        <v>-1.2230166051660516</v>
      </c>
      <c r="G57" s="55">
        <f t="shared" ref="G57:H57" si="75">(G55/F55)-1</f>
        <v>-8.0041365046535677</v>
      </c>
      <c r="H57" s="55">
        <f t="shared" si="75"/>
        <v>8.0909493577439928E-2</v>
      </c>
      <c r="I57" s="41">
        <f>(I55/D55)-1</f>
        <v>-0.63874811244647622</v>
      </c>
      <c r="J57" s="55">
        <f>(J55/H55)-1</f>
        <v>-2.7804944679688566</v>
      </c>
      <c r="K57" s="55">
        <f>(K55/J55)-1</f>
        <v>-3.777752205600307</v>
      </c>
      <c r="L57" s="55">
        <f t="shared" ref="L57" si="76">(L55/K55)-1</f>
        <v>0.10831860362350865</v>
      </c>
      <c r="M57" s="47"/>
      <c r="N57" s="41">
        <f>(N55/I55)-1</f>
        <v>3.7179768339879979</v>
      </c>
      <c r="O57" s="41">
        <f>(O55/N55)-1</f>
        <v>0.19354058651214712</v>
      </c>
      <c r="P57" s="41">
        <f t="shared" ref="P57:W57" si="77">(P55/O55)-1</f>
        <v>0.20170354730492024</v>
      </c>
      <c r="Q57" s="41">
        <f t="shared" si="77"/>
        <v>0.23890843497945213</v>
      </c>
      <c r="R57" s="41">
        <f t="shared" si="77"/>
        <v>0.28437160925368099</v>
      </c>
      <c r="S57" s="41">
        <f t="shared" si="77"/>
        <v>0.24532893666069233</v>
      </c>
      <c r="T57" s="41">
        <f t="shared" si="77"/>
        <v>0.26026145456043337</v>
      </c>
      <c r="U57" s="41">
        <f t="shared" si="77"/>
        <v>0.33680722227352122</v>
      </c>
      <c r="V57" s="41">
        <f t="shared" si="77"/>
        <v>0.24457161413675488</v>
      </c>
      <c r="W57" s="41">
        <f t="shared" si="77"/>
        <v>0.23888002178917689</v>
      </c>
    </row>
    <row r="58" spans="2:23" x14ac:dyDescent="0.3">
      <c r="B58" s="12"/>
      <c r="C58" s="37"/>
      <c r="D58" s="37"/>
      <c r="E58" s="47"/>
      <c r="F58" s="47"/>
      <c r="G58" s="47"/>
      <c r="H58" s="47"/>
      <c r="I58" s="37"/>
      <c r="J58" s="47"/>
      <c r="K58" s="47"/>
      <c r="L58" s="47"/>
      <c r="M58" s="47"/>
      <c r="N58" s="92"/>
      <c r="O58" s="37"/>
      <c r="P58" s="37"/>
      <c r="Q58" s="37"/>
      <c r="R58" s="37"/>
      <c r="S58" s="37"/>
      <c r="T58" s="37"/>
      <c r="U58" s="37"/>
      <c r="V58" s="37"/>
      <c r="W58" s="37"/>
    </row>
    <row r="59" spans="2:23" s="388" customFormat="1" ht="16.2" x14ac:dyDescent="0.35">
      <c r="B59" s="423" t="s">
        <v>12</v>
      </c>
      <c r="C59" s="86">
        <v>2534</v>
      </c>
      <c r="D59" s="86">
        <v>2334</v>
      </c>
      <c r="E59" s="81">
        <v>611</v>
      </c>
      <c r="F59" s="81">
        <v>662</v>
      </c>
      <c r="G59" s="81">
        <v>639</v>
      </c>
      <c r="H59" s="81">
        <v>641</v>
      </c>
      <c r="I59" s="86">
        <v>2553</v>
      </c>
      <c r="J59" s="81">
        <v>751</v>
      </c>
      <c r="K59" s="81">
        <v>696</v>
      </c>
      <c r="L59" s="81">
        <v>629</v>
      </c>
      <c r="M59" s="99">
        <f>AVERAGE(J59:L59)</f>
        <v>692</v>
      </c>
      <c r="N59" s="343">
        <f>SUM(J59:M59)</f>
        <v>2768</v>
      </c>
      <c r="O59" s="65">
        <f t="shared" ref="O59:W59" si="78">O61*N111</f>
        <v>3183.6</v>
      </c>
      <c r="P59" s="65">
        <f t="shared" si="78"/>
        <v>3075.2392038480953</v>
      </c>
      <c r="Q59" s="65">
        <f t="shared" si="78"/>
        <v>2970.5667046376007</v>
      </c>
      <c r="R59" s="65">
        <f t="shared" si="78"/>
        <v>2869.4569631069839</v>
      </c>
      <c r="S59" s="65">
        <f t="shared" si="78"/>
        <v>2771.7887129983333</v>
      </c>
      <c r="T59" s="65">
        <f t="shared" si="78"/>
        <v>2677.4448156163244</v>
      </c>
      <c r="U59" s="65">
        <f t="shared" si="78"/>
        <v>2586.3121193375914</v>
      </c>
      <c r="V59" s="65">
        <f t="shared" si="78"/>
        <v>2498.281323902002</v>
      </c>
      <c r="W59" s="65">
        <f t="shared" si="78"/>
        <v>2413.2468493230804</v>
      </c>
    </row>
    <row r="60" spans="2:23" x14ac:dyDescent="0.3">
      <c r="B60" s="12" t="s">
        <v>13</v>
      </c>
      <c r="C60" s="37"/>
      <c r="D60" s="41">
        <f>D59/C107</f>
        <v>1.45875</v>
      </c>
      <c r="E60" s="55"/>
      <c r="F60" s="55"/>
      <c r="G60" s="55"/>
      <c r="H60" s="55"/>
      <c r="I60" s="70">
        <f>I59/D107</f>
        <v>1.6178707224334601</v>
      </c>
      <c r="J60" s="55"/>
      <c r="K60" s="55"/>
      <c r="L60" s="55"/>
      <c r="M60" s="55"/>
      <c r="N60" s="70">
        <f>N59/I107</f>
        <v>1.953422724064926</v>
      </c>
      <c r="O60" s="41">
        <f t="shared" ref="O60:W60" si="79">O59/N107</f>
        <v>2.6641004184100416</v>
      </c>
      <c r="P60" s="41">
        <f t="shared" si="79"/>
        <v>2.5229626744179958</v>
      </c>
      <c r="Q60" s="41">
        <f t="shared" si="79"/>
        <v>2.3893020745461597</v>
      </c>
      <c r="R60" s="41">
        <f t="shared" si="79"/>
        <v>2.2627224973700799</v>
      </c>
      <c r="S60" s="41">
        <f t="shared" si="79"/>
        <v>2.1428488070422</v>
      </c>
      <c r="T60" s="41">
        <f t="shared" si="79"/>
        <v>2.029325741525593</v>
      </c>
      <c r="U60" s="41">
        <f t="shared" si="79"/>
        <v>1.9218168597264442</v>
      </c>
      <c r="V60" s="41">
        <f t="shared" si="79"/>
        <v>1.820003544404964</v>
      </c>
      <c r="W60" s="41">
        <f t="shared" si="79"/>
        <v>1.7235840579097266</v>
      </c>
    </row>
    <row r="61" spans="2:23" x14ac:dyDescent="0.3">
      <c r="B61" s="12" t="s">
        <v>222</v>
      </c>
      <c r="C61" s="37"/>
      <c r="D61" s="41"/>
      <c r="E61" s="55"/>
      <c r="F61" s="55"/>
      <c r="G61" s="55"/>
      <c r="H61" s="55"/>
      <c r="I61" s="70">
        <f>I59/D111</f>
        <v>0.35384615384615387</v>
      </c>
      <c r="J61" s="55"/>
      <c r="K61" s="55"/>
      <c r="L61" s="55"/>
      <c r="M61" s="55"/>
      <c r="N61" s="70">
        <f>N59/I111</f>
        <v>0.52444107616521407</v>
      </c>
      <c r="O61" s="87">
        <v>0.35</v>
      </c>
      <c r="P61" s="87">
        <v>0.35</v>
      </c>
      <c r="Q61" s="87">
        <v>0.35</v>
      </c>
      <c r="R61" s="87">
        <v>0.35</v>
      </c>
      <c r="S61" s="87">
        <v>0.35</v>
      </c>
      <c r="T61" s="87">
        <v>0.35</v>
      </c>
      <c r="U61" s="87">
        <v>0.35</v>
      </c>
      <c r="V61" s="87">
        <v>0.35</v>
      </c>
      <c r="W61" s="87">
        <v>0.35</v>
      </c>
    </row>
    <row r="62" spans="2:23" x14ac:dyDescent="0.3">
      <c r="B62" s="12" t="s">
        <v>5</v>
      </c>
      <c r="C62" s="41">
        <f t="shared" ref="C62:W62" si="80">C59/C25</f>
        <v>1.0627054955378112E-2</v>
      </c>
      <c r="D62" s="41">
        <f t="shared" si="80"/>
        <v>8.5738530542973958E-3</v>
      </c>
      <c r="E62" s="55">
        <f t="shared" si="80"/>
        <v>7.9992668429734754E-3</v>
      </c>
      <c r="F62" s="55">
        <f t="shared" si="80"/>
        <v>7.9956519113473044E-3</v>
      </c>
      <c r="G62" s="55">
        <f t="shared" si="80"/>
        <v>6.5098462698275246E-3</v>
      </c>
      <c r="H62" s="55">
        <f t="shared" si="80"/>
        <v>5.9994571474031987E-3</v>
      </c>
      <c r="I62" s="41">
        <f t="shared" si="80"/>
        <v>7.0102888963943554E-3</v>
      </c>
      <c r="J62" s="55">
        <f t="shared" si="80"/>
        <v>6.2732846617772359E-3</v>
      </c>
      <c r="K62" s="55">
        <f t="shared" si="80"/>
        <v>4.8969253500316615E-3</v>
      </c>
      <c r="L62" s="55">
        <f t="shared" si="80"/>
        <v>4.4715533849445854E-3</v>
      </c>
      <c r="M62" s="55">
        <f t="shared" si="80"/>
        <v>4.9194196222283829E-3</v>
      </c>
      <c r="N62" s="41">
        <f t="shared" si="80"/>
        <v>5.0959354023911128E-3</v>
      </c>
      <c r="O62" s="41">
        <f t="shared" si="80"/>
        <v>4.6643462287725354E-3</v>
      </c>
      <c r="P62" s="41">
        <f t="shared" si="80"/>
        <v>3.6831139801766551E-3</v>
      </c>
      <c r="Q62" s="41">
        <f t="shared" si="80"/>
        <v>2.8194518640548834E-3</v>
      </c>
      <c r="R62" s="41">
        <f t="shared" si="80"/>
        <v>2.1570406927351742E-3</v>
      </c>
      <c r="S62" s="41">
        <f t="shared" si="80"/>
        <v>1.7011573956708386E-3</v>
      </c>
      <c r="T62" s="41">
        <f t="shared" si="80"/>
        <v>1.3251105043135182E-3</v>
      </c>
      <c r="U62" s="41">
        <f t="shared" si="80"/>
        <v>1.0382082696838405E-3</v>
      </c>
      <c r="V62" s="41">
        <f t="shared" si="80"/>
        <v>8.1740874847603434E-4</v>
      </c>
      <c r="W62" s="41">
        <f t="shared" si="80"/>
        <v>6.4628645254741505E-4</v>
      </c>
    </row>
    <row r="63" spans="2:23" x14ac:dyDescent="0.3">
      <c r="B63" s="12"/>
      <c r="C63" s="41"/>
      <c r="D63" s="41"/>
      <c r="E63" s="55"/>
      <c r="F63" s="55"/>
      <c r="G63" s="55"/>
      <c r="H63" s="55"/>
      <c r="I63" s="41"/>
      <c r="J63" s="55"/>
      <c r="K63" s="55"/>
      <c r="L63" s="55"/>
      <c r="M63" s="55"/>
      <c r="N63" s="340"/>
      <c r="O63" s="340"/>
      <c r="P63" s="340"/>
      <c r="Q63" s="340"/>
      <c r="R63" s="340"/>
      <c r="S63" s="340"/>
      <c r="T63" s="340"/>
      <c r="U63" s="340"/>
      <c r="V63" s="340"/>
      <c r="W63" s="41"/>
    </row>
    <row r="64" spans="2:23" ht="16.2" x14ac:dyDescent="0.35">
      <c r="B64" s="34" t="s">
        <v>213</v>
      </c>
      <c r="C64" s="58">
        <f t="shared" ref="C64:W64" si="81">C55-C59</f>
        <v>46537</v>
      </c>
      <c r="D64" s="58">
        <f t="shared" si="81"/>
        <v>46009</v>
      </c>
      <c r="E64" s="59">
        <f t="shared" si="81"/>
        <v>3725</v>
      </c>
      <c r="F64" s="59">
        <f t="shared" si="81"/>
        <v>-1629</v>
      </c>
      <c r="G64" s="59">
        <f t="shared" si="81"/>
        <v>6134</v>
      </c>
      <c r="H64" s="59">
        <f t="shared" si="81"/>
        <v>6680</v>
      </c>
      <c r="I64" s="58">
        <f t="shared" si="81"/>
        <v>14911</v>
      </c>
      <c r="J64" s="59">
        <f t="shared" si="81"/>
        <v>-13786</v>
      </c>
      <c r="K64" s="59">
        <f t="shared" si="81"/>
        <v>35512</v>
      </c>
      <c r="L64" s="59">
        <f t="shared" si="81"/>
        <v>39501</v>
      </c>
      <c r="M64" s="59">
        <f t="shared" si="81"/>
        <v>7421.2682001452631</v>
      </c>
      <c r="N64" s="383">
        <f>N55-N59</f>
        <v>79626.747428766394</v>
      </c>
      <c r="O64" s="383">
        <f t="shared" si="81"/>
        <v>95157.875171650056</v>
      </c>
      <c r="P64" s="383">
        <f t="shared" si="81"/>
        <v>115102.06035712254</v>
      </c>
      <c r="Q64" s="383">
        <f t="shared" si="81"/>
        <v>143440.28654454241</v>
      </c>
      <c r="R64" s="383">
        <f t="shared" si="81"/>
        <v>185176.48623674689</v>
      </c>
      <c r="S64" s="383">
        <f t="shared" si="81"/>
        <v>231407.26577543264</v>
      </c>
      <c r="T64" s="383">
        <f t="shared" si="81"/>
        <v>292449.3910215607</v>
      </c>
      <c r="U64" s="383">
        <f t="shared" si="81"/>
        <v>391941.37351453246</v>
      </c>
      <c r="V64" s="383">
        <f t="shared" si="81"/>
        <v>488519.67720708187</v>
      </c>
      <c r="W64" s="58">
        <f t="shared" si="81"/>
        <v>605899.09231441945</v>
      </c>
    </row>
    <row r="65" spans="2:23" x14ac:dyDescent="0.3">
      <c r="B65" s="705" t="s">
        <v>398</v>
      </c>
      <c r="C65" s="40">
        <f>C64/C9</f>
        <v>84.153707052441234</v>
      </c>
      <c r="D65" s="40">
        <f>D64/D9</f>
        <v>87.469581749049425</v>
      </c>
      <c r="E65" s="706">
        <f t="shared" ref="E65:W65" si="82">E64/E9</f>
        <v>6.208333333333333</v>
      </c>
      <c r="F65" s="48">
        <f t="shared" si="82"/>
        <v>-2.327142857142857</v>
      </c>
      <c r="G65" s="48">
        <f t="shared" si="82"/>
        <v>7.808651129988454</v>
      </c>
      <c r="H65" s="325">
        <f t="shared" si="82"/>
        <v>7.7946324387397903</v>
      </c>
      <c r="I65" s="40">
        <f t="shared" si="82"/>
        <v>17.399066511085181</v>
      </c>
      <c r="J65" s="706">
        <f t="shared" si="82"/>
        <v>-13.786</v>
      </c>
      <c r="K65" s="48">
        <f t="shared" si="82"/>
        <v>35.708719334815498</v>
      </c>
      <c r="L65" s="48">
        <f t="shared" si="82"/>
        <v>40.937624040451567</v>
      </c>
      <c r="M65" s="325">
        <f t="shared" si="82"/>
        <v>7.6507919589126425</v>
      </c>
      <c r="N65" s="40">
        <f t="shared" si="82"/>
        <v>82.08943033893442</v>
      </c>
      <c r="O65" s="40">
        <f t="shared" si="82"/>
        <v>85.30513238157782</v>
      </c>
      <c r="P65" s="40">
        <f t="shared" si="82"/>
        <v>90.077936647327547</v>
      </c>
      <c r="Q65" s="40">
        <f t="shared" si="82"/>
        <v>98.371535418468383</v>
      </c>
      <c r="R65" s="40">
        <f t="shared" si="82"/>
        <v>111.70214568883674</v>
      </c>
      <c r="S65" s="40">
        <f t="shared" si="82"/>
        <v>123.22583154180892</v>
      </c>
      <c r="T65" s="40">
        <f t="shared" si="82"/>
        <v>137.96044923383815</v>
      </c>
      <c r="U65" s="40">
        <f t="shared" si="82"/>
        <v>164.35896200837527</v>
      </c>
      <c r="V65" s="40">
        <f t="shared" si="82"/>
        <v>182.7141781371937</v>
      </c>
      <c r="W65" s="40">
        <f t="shared" si="82"/>
        <v>202.77716910965074</v>
      </c>
    </row>
    <row r="66" spans="2:23" x14ac:dyDescent="0.3">
      <c r="B66" s="424" t="s">
        <v>361</v>
      </c>
      <c r="C66" s="102">
        <f t="shared" ref="C66:W66" si="83">C64/C25</f>
        <v>0.19516624169630276</v>
      </c>
      <c r="D66" s="102">
        <f t="shared" si="83"/>
        <v>0.16901217016930972</v>
      </c>
      <c r="E66" s="68">
        <f t="shared" si="83"/>
        <v>4.8768034353643526E-2</v>
      </c>
      <c r="F66" s="68">
        <f t="shared" si="83"/>
        <v>-1.9675101153451294E-2</v>
      </c>
      <c r="G66" s="68">
        <f t="shared" si="83"/>
        <v>6.2490449169205063E-2</v>
      </c>
      <c r="H66" s="68">
        <f t="shared" si="83"/>
        <v>6.2521643907415547E-2</v>
      </c>
      <c r="I66" s="102">
        <f t="shared" si="83"/>
        <v>4.0944151090535147E-2</v>
      </c>
      <c r="J66" s="68">
        <f t="shared" si="83"/>
        <v>-0.11515779273936215</v>
      </c>
      <c r="K66" s="68">
        <f t="shared" si="83"/>
        <v>0.24985576584816718</v>
      </c>
      <c r="L66" s="68">
        <f t="shared" si="83"/>
        <v>0.28081213077694128</v>
      </c>
      <c r="M66" s="68">
        <f t="shared" si="83"/>
        <v>5.2757705788459716E-2</v>
      </c>
      <c r="N66" s="102">
        <f t="shared" si="83"/>
        <v>0.14659420563565975</v>
      </c>
      <c r="O66" s="102">
        <f t="shared" si="83"/>
        <v>0.13941741305279987</v>
      </c>
      <c r="P66" s="102">
        <f t="shared" si="83"/>
        <v>0.13785399429025874</v>
      </c>
      <c r="Q66" s="102">
        <f t="shared" si="83"/>
        <v>0.13614337717015346</v>
      </c>
      <c r="R66" s="102">
        <f t="shared" si="83"/>
        <v>0.1392016751900961</v>
      </c>
      <c r="S66" s="102">
        <f t="shared" si="83"/>
        <v>0.1420238778445741</v>
      </c>
      <c r="T66" s="102">
        <f t="shared" si="83"/>
        <v>0.14473790748645407</v>
      </c>
      <c r="U66" s="102">
        <f t="shared" si="83"/>
        <v>0.15733475173841371</v>
      </c>
      <c r="V66" s="102">
        <f t="shared" si="83"/>
        <v>0.15983798707187585</v>
      </c>
      <c r="W66" s="102">
        <f t="shared" si="83"/>
        <v>0.16226453380988559</v>
      </c>
    </row>
    <row r="67" spans="2:23" x14ac:dyDescent="0.3">
      <c r="B67" s="12" t="s">
        <v>6</v>
      </c>
      <c r="C67" s="37"/>
      <c r="D67" s="41">
        <f>(D64/C64)-1</f>
        <v>-1.134581086017572E-2</v>
      </c>
      <c r="E67" s="47"/>
      <c r="F67" s="55">
        <f>(F64/E64)-1</f>
        <v>-1.4373154362416107</v>
      </c>
      <c r="G67" s="55">
        <f t="shared" ref="G67:H67" si="84">(G64/F64)-1</f>
        <v>-4.7655003069367705</v>
      </c>
      <c r="H67" s="55">
        <f t="shared" si="84"/>
        <v>8.9012063906097172E-2</v>
      </c>
      <c r="I67" s="41">
        <f>(I64/D64)-1</f>
        <v>-0.67591123475841686</v>
      </c>
      <c r="J67" s="55">
        <f>(J64/H64)-1</f>
        <v>-3.0637724550898202</v>
      </c>
      <c r="K67" s="55">
        <f>ABS((K64/J64)-1)</f>
        <v>3.5759466125054402</v>
      </c>
      <c r="L67" s="55">
        <f>(L64/K64)-1</f>
        <v>0.11232822707817069</v>
      </c>
      <c r="M67" s="55">
        <f>(M64/L64)-1</f>
        <v>-0.81212454874192397</v>
      </c>
      <c r="N67" s="41">
        <f>(N64/I64)-1</f>
        <v>4.3401346273735086</v>
      </c>
      <c r="O67" s="41">
        <f>(O64/N64)-1</f>
        <v>0.19504912914818884</v>
      </c>
      <c r="P67" s="41">
        <f t="shared" ref="P67:W67" si="85">(P64/O64)-1</f>
        <v>0.20959048475490083</v>
      </c>
      <c r="Q67" s="41">
        <f t="shared" si="85"/>
        <v>0.24620085947632897</v>
      </c>
      <c r="R67" s="41">
        <f t="shared" si="85"/>
        <v>0.29096567427201947</v>
      </c>
      <c r="S67" s="41">
        <f t="shared" si="85"/>
        <v>0.24965793702111827</v>
      </c>
      <c r="T67" s="41">
        <f t="shared" si="85"/>
        <v>0.26378655415844166</v>
      </c>
      <c r="U67" s="41">
        <f t="shared" si="85"/>
        <v>0.34020239243937</v>
      </c>
      <c r="V67" s="41">
        <f t="shared" si="85"/>
        <v>0.24641007614616739</v>
      </c>
      <c r="W67" s="41">
        <f t="shared" si="85"/>
        <v>0.24027571576729101</v>
      </c>
    </row>
    <row r="68" spans="2:23" x14ac:dyDescent="0.3">
      <c r="B68" s="12" t="s">
        <v>196</v>
      </c>
      <c r="C68" s="39"/>
      <c r="D68" s="324">
        <f>D70-D69</f>
        <v>-34303</v>
      </c>
      <c r="E68" s="47"/>
      <c r="F68" s="48">
        <f>F70-F69</f>
        <v>-11767</v>
      </c>
      <c r="G68" s="48">
        <f t="shared" ref="G68:H68" si="86">G70-G69</f>
        <v>-7601</v>
      </c>
      <c r="H68" s="326">
        <f t="shared" si="86"/>
        <v>-8138</v>
      </c>
      <c r="I68" s="324">
        <f>I70-I69</f>
        <v>-123054</v>
      </c>
      <c r="J68" s="48">
        <f t="shared" ref="J68:M68" si="87">J70-J69</f>
        <v>-33337</v>
      </c>
      <c r="K68" s="48">
        <f t="shared" si="87"/>
        <v>26882</v>
      </c>
      <c r="L68" s="48">
        <f t="shared" si="87"/>
        <v>5452</v>
      </c>
      <c r="M68" s="48">
        <f t="shared" si="87"/>
        <v>-32079.731799854737</v>
      </c>
      <c r="N68" s="45">
        <f>N70-N69</f>
        <v>-114283.25257123361</v>
      </c>
      <c r="O68" s="45">
        <f>O70-O69</f>
        <v>-453881.50845334993</v>
      </c>
      <c r="P68" s="45">
        <f t="shared" ref="P68:W68" si="88">P70-P69</f>
        <v>-613236.23488644627</v>
      </c>
      <c r="Q68" s="45">
        <f t="shared" si="88"/>
        <v>-808990.95429126557</v>
      </c>
      <c r="R68" s="45">
        <f t="shared" si="88"/>
        <v>-1011852.622290333</v>
      </c>
      <c r="S68" s="45">
        <f t="shared" si="88"/>
        <v>-934396.13164167257</v>
      </c>
      <c r="T68" s="45">
        <f t="shared" si="88"/>
        <v>-1140713.6565456388</v>
      </c>
      <c r="U68" s="45">
        <f t="shared" si="88"/>
        <v>-1379334.7311070915</v>
      </c>
      <c r="V68" s="40">
        <f t="shared" si="88"/>
        <v>-1657666.1450620494</v>
      </c>
      <c r="W68" s="324">
        <f t="shared" si="88"/>
        <v>-1983023.0329215191</v>
      </c>
    </row>
    <row r="69" spans="2:23" x14ac:dyDescent="0.3">
      <c r="B69" s="322" t="s">
        <v>197</v>
      </c>
      <c r="C69" s="38"/>
      <c r="D69" s="323">
        <f>D25-C25</f>
        <v>33775</v>
      </c>
      <c r="E69" s="69"/>
      <c r="F69" s="50">
        <f>F25-E25</f>
        <v>6413</v>
      </c>
      <c r="G69" s="50">
        <f>G25-F25</f>
        <v>15364</v>
      </c>
      <c r="H69" s="325">
        <f>H25-G25</f>
        <v>8684</v>
      </c>
      <c r="I69" s="323">
        <f>I25-D25</f>
        <v>91956</v>
      </c>
      <c r="J69" s="50">
        <f>J25-H25</f>
        <v>12871</v>
      </c>
      <c r="K69" s="50">
        <f>K25-J25</f>
        <v>22416</v>
      </c>
      <c r="L69" s="50">
        <f>L25-K25</f>
        <v>-1463</v>
      </c>
      <c r="M69" s="50">
        <f>M25-L25</f>
        <v>0</v>
      </c>
      <c r="N69" s="44">
        <f t="shared" ref="N69:W69" si="89">N25-I25</f>
        <v>178999</v>
      </c>
      <c r="O69" s="44">
        <f t="shared" si="89"/>
        <v>562825.38362500002</v>
      </c>
      <c r="P69" s="44">
        <f t="shared" si="89"/>
        <v>692826.29524356883</v>
      </c>
      <c r="Q69" s="44">
        <f t="shared" si="89"/>
        <v>912930.24083580798</v>
      </c>
      <c r="R69" s="44">
        <f t="shared" si="89"/>
        <v>1189607.8403269346</v>
      </c>
      <c r="S69" s="44">
        <f t="shared" si="89"/>
        <v>1086176.6499883388</v>
      </c>
      <c r="T69" s="44">
        <f t="shared" si="89"/>
        <v>1338005.1723955495</v>
      </c>
      <c r="U69" s="44">
        <f t="shared" si="89"/>
        <v>1656174.0442645014</v>
      </c>
      <c r="V69" s="42">
        <f t="shared" si="89"/>
        <v>2002745.5357245889</v>
      </c>
      <c r="W69" s="323">
        <f t="shared" si="89"/>
        <v>2403745.6389991916</v>
      </c>
    </row>
    <row r="70" spans="2:23" x14ac:dyDescent="0.3">
      <c r="B70" s="321" t="s">
        <v>198</v>
      </c>
      <c r="C70" s="39"/>
      <c r="D70" s="324">
        <f>D64-C64</f>
        <v>-528</v>
      </c>
      <c r="E70" s="47"/>
      <c r="F70" s="48">
        <f>F64-E64</f>
        <v>-5354</v>
      </c>
      <c r="G70" s="48">
        <f t="shared" ref="G70:H70" si="90">G64-F64</f>
        <v>7763</v>
      </c>
      <c r="H70" s="325">
        <f t="shared" si="90"/>
        <v>546</v>
      </c>
      <c r="I70" s="324">
        <f>I64-D64</f>
        <v>-31098</v>
      </c>
      <c r="J70" s="48">
        <f>J64-H64</f>
        <v>-20466</v>
      </c>
      <c r="K70" s="48">
        <f t="shared" ref="K70:L70" si="91">K64-J64</f>
        <v>49298</v>
      </c>
      <c r="L70" s="48">
        <f t="shared" si="91"/>
        <v>3989</v>
      </c>
      <c r="M70" s="48">
        <f t="shared" ref="M70" si="92">M64-L64</f>
        <v>-32079.731799854737</v>
      </c>
      <c r="N70" s="45">
        <f>N64-I64</f>
        <v>64715.747428766394</v>
      </c>
      <c r="O70" s="45">
        <f>O64-J64</f>
        <v>108943.87517165006</v>
      </c>
      <c r="P70" s="45">
        <f t="shared" ref="P70:W70" si="93">P64-K64</f>
        <v>79590.060357122537</v>
      </c>
      <c r="Q70" s="45">
        <f t="shared" si="93"/>
        <v>103939.28654454241</v>
      </c>
      <c r="R70" s="45">
        <f t="shared" si="93"/>
        <v>177755.21803660161</v>
      </c>
      <c r="S70" s="45">
        <f t="shared" si="93"/>
        <v>151780.51834666624</v>
      </c>
      <c r="T70" s="45">
        <f t="shared" si="93"/>
        <v>197291.51584991065</v>
      </c>
      <c r="U70" s="45">
        <f t="shared" si="93"/>
        <v>276839.3131574099</v>
      </c>
      <c r="V70" s="45">
        <f t="shared" si="93"/>
        <v>345079.39066253946</v>
      </c>
      <c r="W70" s="40">
        <f t="shared" si="93"/>
        <v>420722.60607767256</v>
      </c>
    </row>
    <row r="71" spans="2:23" x14ac:dyDescent="0.3">
      <c r="B71" s="321"/>
      <c r="C71" s="39"/>
      <c r="D71" s="324"/>
      <c r="E71" s="47"/>
      <c r="F71" s="48"/>
      <c r="G71" s="48"/>
      <c r="H71" s="325"/>
      <c r="I71" s="324"/>
      <c r="J71" s="48"/>
      <c r="K71" s="48"/>
      <c r="L71" s="48"/>
      <c r="M71" s="48"/>
      <c r="N71" s="45"/>
      <c r="O71" s="45"/>
      <c r="P71" s="45"/>
      <c r="Q71" s="45"/>
      <c r="R71" s="45"/>
      <c r="S71" s="45"/>
      <c r="T71" s="45"/>
      <c r="U71" s="45"/>
      <c r="V71" s="45"/>
      <c r="W71" s="40"/>
    </row>
    <row r="72" spans="2:23" ht="16.2" x14ac:dyDescent="0.35">
      <c r="B72" s="11" t="s">
        <v>286</v>
      </c>
      <c r="C72" s="665">
        <f>(C64*(1-C94))/(Cover!$L$25*1000)</f>
        <v>2.7470091736187478E-2</v>
      </c>
      <c r="D72" s="665">
        <f>(D64*(1-D94))/(Cover!$L$25*1000)</f>
        <v>2.7158421271037018E-2</v>
      </c>
      <c r="E72" s="53"/>
      <c r="F72" s="59"/>
      <c r="G72" s="59"/>
      <c r="H72" s="666"/>
      <c r="I72" s="665">
        <f>(I64*(1-I94))/(Cover!$L$25*1000)</f>
        <v>8.8017392156411346E-3</v>
      </c>
      <c r="J72" s="59"/>
      <c r="K72" s="59"/>
      <c r="L72" s="59"/>
      <c r="M72" s="666"/>
      <c r="N72" s="665">
        <f>(N64*(1-N94))/(Cover!$L$25*1000)</f>
        <v>4.6589246509300339E-2</v>
      </c>
      <c r="O72" s="665">
        <f>(O64*(1-O94))/(Cover!$L$25*1000)</f>
        <v>4.2127697752098923E-2</v>
      </c>
      <c r="P72" s="665">
        <f>(P64*(1-P94))/(Cover!$L$25*1000)</f>
        <v>5.0957262345569292E-2</v>
      </c>
      <c r="Q72" s="665">
        <f>(Q64*(1-Q94))/(Cover!$L$25*1000)</f>
        <v>6.3502984131609236E-2</v>
      </c>
      <c r="R72" s="665">
        <f>(R64*(1-R94))/(Cover!$L$25*1000)</f>
        <v>8.1980172727748268E-2</v>
      </c>
      <c r="S72" s="665">
        <f>(S64*(1-S94))/(Cover!$L$25*1000)</f>
        <v>0.10244717352759286</v>
      </c>
      <c r="T72" s="665">
        <f>(T64*(1-T94))/(Cover!$L$25*1000)</f>
        <v>0.1294713604157085</v>
      </c>
      <c r="U72" s="665">
        <f>(U64*(1-U94))/(Cover!$L$25*1000)</f>
        <v>0.17351782698151247</v>
      </c>
      <c r="V72" s="665">
        <f>(V64*(1-V94))/(Cover!$L$25*1000)</f>
        <v>0.21627436794074448</v>
      </c>
      <c r="W72" s="665">
        <f>(W64*(1-W94))/(Cover!$L$25*1000)</f>
        <v>0.26823984649982535</v>
      </c>
    </row>
    <row r="73" spans="2:23" x14ac:dyDescent="0.3">
      <c r="B73" s="321"/>
      <c r="C73" s="39"/>
      <c r="D73" s="324"/>
      <c r="E73" s="47"/>
      <c r="F73" s="48"/>
      <c r="G73" s="48"/>
      <c r="H73" s="325"/>
      <c r="I73" s="324"/>
      <c r="J73" s="48"/>
      <c r="K73" s="48"/>
      <c r="L73" s="48"/>
      <c r="M73" s="48"/>
      <c r="N73" s="45"/>
      <c r="O73" s="45"/>
      <c r="P73" s="45"/>
      <c r="Q73" s="45"/>
      <c r="R73" s="45"/>
      <c r="S73" s="45"/>
      <c r="T73" s="45"/>
      <c r="U73" s="45"/>
      <c r="V73" s="45"/>
      <c r="W73" s="40"/>
    </row>
    <row r="74" spans="2:23" ht="16.2" x14ac:dyDescent="0.35">
      <c r="B74" s="34" t="s">
        <v>214</v>
      </c>
      <c r="C74" s="401">
        <v>28212</v>
      </c>
      <c r="D74" s="401">
        <v>20439</v>
      </c>
      <c r="E74" s="81">
        <v>20497</v>
      </c>
      <c r="F74" s="81">
        <v>78627</v>
      </c>
      <c r="G74" s="81">
        <v>73451</v>
      </c>
      <c r="H74" s="402">
        <v>381025</v>
      </c>
      <c r="I74" s="324">
        <f>SUM(E74:H74)</f>
        <v>553600</v>
      </c>
      <c r="J74" s="81">
        <v>601075</v>
      </c>
      <c r="K74" s="81">
        <v>47445</v>
      </c>
      <c r="L74" s="81">
        <v>412565</v>
      </c>
      <c r="M74" s="48">
        <f>M76*M25</f>
        <v>56266.8</v>
      </c>
      <c r="N74" s="45">
        <f>SUM(J74:M74)</f>
        <v>1117351.8</v>
      </c>
      <c r="O74" s="45">
        <f>O75*O64</f>
        <v>142736.81275747507</v>
      </c>
      <c r="P74" s="45">
        <f t="shared" ref="P74:W74" si="94">P75*P64</f>
        <v>0</v>
      </c>
      <c r="Q74" s="45">
        <f t="shared" si="94"/>
        <v>0</v>
      </c>
      <c r="R74" s="45">
        <f t="shared" si="94"/>
        <v>0</v>
      </c>
      <c r="S74" s="45">
        <f t="shared" si="94"/>
        <v>0</v>
      </c>
      <c r="T74" s="45">
        <f t="shared" si="94"/>
        <v>0</v>
      </c>
      <c r="U74" s="45">
        <f t="shared" si="94"/>
        <v>0</v>
      </c>
      <c r="V74" s="45">
        <f t="shared" si="94"/>
        <v>0</v>
      </c>
      <c r="W74" s="40">
        <f t="shared" si="94"/>
        <v>0</v>
      </c>
    </row>
    <row r="75" spans="2:23" x14ac:dyDescent="0.3">
      <c r="B75" s="12" t="s">
        <v>219</v>
      </c>
      <c r="C75" s="407">
        <f>C74/C64</f>
        <v>0.60622730300621008</v>
      </c>
      <c r="D75" s="407">
        <f>D74/D64</f>
        <v>0.44423917059705709</v>
      </c>
      <c r="E75" s="81"/>
      <c r="F75" s="81"/>
      <c r="G75" s="81"/>
      <c r="H75" s="402"/>
      <c r="I75" s="407">
        <f>I74/I64</f>
        <v>37.126953255985512</v>
      </c>
      <c r="J75" s="81"/>
      <c r="K75" s="81"/>
      <c r="L75" s="81"/>
      <c r="M75" s="325"/>
      <c r="N75" s="407">
        <f>N74/N64</f>
        <v>14.032367716634115</v>
      </c>
      <c r="O75" s="406">
        <v>1.5</v>
      </c>
      <c r="P75" s="406">
        <v>0</v>
      </c>
      <c r="Q75" s="406">
        <v>0</v>
      </c>
      <c r="R75" s="406">
        <v>0</v>
      </c>
      <c r="S75" s="406">
        <v>0</v>
      </c>
      <c r="T75" s="406">
        <v>0</v>
      </c>
      <c r="U75" s="406">
        <v>0</v>
      </c>
      <c r="V75" s="406">
        <v>0</v>
      </c>
      <c r="W75" s="406">
        <v>0</v>
      </c>
    </row>
    <row r="76" spans="2:23" x14ac:dyDescent="0.3">
      <c r="B76" s="12" t="s">
        <v>73</v>
      </c>
      <c r="C76" s="407">
        <f t="shared" ref="C76:L76" si="95">C74/C25</f>
        <v>0.11831510434140777</v>
      </c>
      <c r="D76" s="407">
        <f t="shared" si="95"/>
        <v>7.5081826296822821E-2</v>
      </c>
      <c r="E76" s="374">
        <f t="shared" si="95"/>
        <v>0.2683485637977534</v>
      </c>
      <c r="F76" s="374">
        <f t="shared" si="95"/>
        <v>0.94965879582100365</v>
      </c>
      <c r="G76" s="374">
        <f t="shared" si="95"/>
        <v>0.74828594423333572</v>
      </c>
      <c r="H76" s="408">
        <f t="shared" si="95"/>
        <v>3.566213977518415</v>
      </c>
      <c r="I76" s="407">
        <f t="shared" si="95"/>
        <v>1.5201315836443068</v>
      </c>
      <c r="J76" s="374">
        <f t="shared" si="95"/>
        <v>5.0209248709424124</v>
      </c>
      <c r="K76" s="374">
        <f t="shared" si="95"/>
        <v>0.33381411383944276</v>
      </c>
      <c r="L76" s="374">
        <f t="shared" si="95"/>
        <v>2.9329195902379377</v>
      </c>
      <c r="M76" s="414">
        <v>0.4</v>
      </c>
      <c r="N76" s="407">
        <f t="shared" ref="N76:W76" si="96">N74/N25</f>
        <v>2.0570637986074547</v>
      </c>
      <c r="O76" s="407">
        <f t="shared" si="96"/>
        <v>0.20912611957919977</v>
      </c>
      <c r="P76" s="407">
        <f t="shared" si="96"/>
        <v>0</v>
      </c>
      <c r="Q76" s="407">
        <f t="shared" si="96"/>
        <v>0</v>
      </c>
      <c r="R76" s="407">
        <f t="shared" si="96"/>
        <v>0</v>
      </c>
      <c r="S76" s="407">
        <f t="shared" si="96"/>
        <v>0</v>
      </c>
      <c r="T76" s="407">
        <f t="shared" si="96"/>
        <v>0</v>
      </c>
      <c r="U76" s="407">
        <f t="shared" si="96"/>
        <v>0</v>
      </c>
      <c r="V76" s="407">
        <f t="shared" si="96"/>
        <v>0</v>
      </c>
      <c r="W76" s="407">
        <f t="shared" si="96"/>
        <v>0</v>
      </c>
    </row>
    <row r="77" spans="2:23" ht="16.2" x14ac:dyDescent="0.35">
      <c r="B77" s="34"/>
      <c r="C77" s="401"/>
      <c r="D77" s="401"/>
      <c r="E77" s="81"/>
      <c r="F77" s="81"/>
      <c r="G77" s="81"/>
      <c r="H77" s="402"/>
      <c r="I77" s="324"/>
      <c r="J77" s="81"/>
      <c r="K77" s="81"/>
      <c r="L77" s="81"/>
      <c r="M77" s="48"/>
      <c r="N77" s="45"/>
      <c r="O77" s="45"/>
      <c r="P77" s="45"/>
      <c r="Q77" s="45"/>
      <c r="R77" s="45"/>
      <c r="S77" s="45"/>
      <c r="T77" s="45"/>
      <c r="U77" s="45"/>
      <c r="V77" s="45"/>
      <c r="W77" s="40"/>
    </row>
    <row r="78" spans="2:23" ht="16.2" x14ac:dyDescent="0.35">
      <c r="B78" s="34" t="s">
        <v>215</v>
      </c>
      <c r="C78" s="403">
        <f>C64-C74</f>
        <v>18325</v>
      </c>
      <c r="D78" s="403">
        <f>D64-D74</f>
        <v>25570</v>
      </c>
      <c r="E78" s="404">
        <f>E64-E74</f>
        <v>-16772</v>
      </c>
      <c r="F78" s="404">
        <f t="shared" ref="F78:H78" si="97">F64-F74</f>
        <v>-80256</v>
      </c>
      <c r="G78" s="404">
        <f t="shared" si="97"/>
        <v>-67317</v>
      </c>
      <c r="H78" s="405">
        <f t="shared" si="97"/>
        <v>-374345</v>
      </c>
      <c r="I78" s="403">
        <f>I64-I74</f>
        <v>-538689</v>
      </c>
      <c r="J78" s="404">
        <f t="shared" ref="J78:M78" si="98">J64-J74</f>
        <v>-614861</v>
      </c>
      <c r="K78" s="404">
        <f t="shared" si="98"/>
        <v>-11933</v>
      </c>
      <c r="L78" s="404">
        <f t="shared" si="98"/>
        <v>-373064</v>
      </c>
      <c r="M78" s="405">
        <f t="shared" si="98"/>
        <v>-48845.53179985474</v>
      </c>
      <c r="N78" s="403">
        <f>N64-N74</f>
        <v>-1037725.0525712336</v>
      </c>
      <c r="O78" s="403">
        <f t="shared" ref="O78:W78" si="99">O64-O74</f>
        <v>-47578.937585825013</v>
      </c>
      <c r="P78" s="403">
        <f t="shared" si="99"/>
        <v>115102.06035712254</v>
      </c>
      <c r="Q78" s="403">
        <f t="shared" si="99"/>
        <v>143440.28654454241</v>
      </c>
      <c r="R78" s="403">
        <f t="shared" si="99"/>
        <v>185176.48623674689</v>
      </c>
      <c r="S78" s="403">
        <f t="shared" si="99"/>
        <v>231407.26577543264</v>
      </c>
      <c r="T78" s="403">
        <f t="shared" si="99"/>
        <v>292449.3910215607</v>
      </c>
      <c r="U78" s="403">
        <f t="shared" si="99"/>
        <v>391941.37351453246</v>
      </c>
      <c r="V78" s="403">
        <f t="shared" si="99"/>
        <v>488519.67720708187</v>
      </c>
      <c r="W78" s="403">
        <f t="shared" si="99"/>
        <v>605899.09231441945</v>
      </c>
    </row>
    <row r="79" spans="2:23" x14ac:dyDescent="0.3">
      <c r="B79" s="424" t="s">
        <v>194</v>
      </c>
      <c r="C79" s="425">
        <f t="shared" ref="C79:W79" si="100">C78/C25</f>
        <v>7.6851137354894988E-2</v>
      </c>
      <c r="D79" s="425">
        <f t="shared" si="100"/>
        <v>9.3930343872486902E-2</v>
      </c>
      <c r="E79" s="426">
        <f t="shared" si="100"/>
        <v>-0.21958052944410986</v>
      </c>
      <c r="F79" s="426">
        <f t="shared" si="100"/>
        <v>-0.96933389697445493</v>
      </c>
      <c r="G79" s="426">
        <f t="shared" si="100"/>
        <v>-0.68579549506413062</v>
      </c>
      <c r="H79" s="425">
        <f t="shared" si="100"/>
        <v>-3.5036923336109993</v>
      </c>
      <c r="I79" s="425">
        <f t="shared" si="100"/>
        <v>-1.4791874325537717</v>
      </c>
      <c r="J79" s="426">
        <f t="shared" si="100"/>
        <v>-5.1360826636817745</v>
      </c>
      <c r="K79" s="426">
        <f t="shared" si="100"/>
        <v>-8.3958347991275592E-2</v>
      </c>
      <c r="L79" s="426">
        <f t="shared" si="100"/>
        <v>-2.6521074594609964</v>
      </c>
      <c r="M79" s="425">
        <f t="shared" si="100"/>
        <v>-0.34724229421154029</v>
      </c>
      <c r="N79" s="425">
        <f t="shared" si="100"/>
        <v>-1.910469592971795</v>
      </c>
      <c r="O79" s="425">
        <f t="shared" si="100"/>
        <v>-6.9708706526399919E-2</v>
      </c>
      <c r="P79" s="425">
        <f t="shared" si="100"/>
        <v>0.13785399429025874</v>
      </c>
      <c r="Q79" s="425">
        <f t="shared" si="100"/>
        <v>0.13614337717015346</v>
      </c>
      <c r="R79" s="425">
        <f t="shared" si="100"/>
        <v>0.1392016751900961</v>
      </c>
      <c r="S79" s="425">
        <f t="shared" si="100"/>
        <v>0.1420238778445741</v>
      </c>
      <c r="T79" s="425">
        <f t="shared" si="100"/>
        <v>0.14473790748645407</v>
      </c>
      <c r="U79" s="425">
        <f t="shared" si="100"/>
        <v>0.15733475173841371</v>
      </c>
      <c r="V79" s="425">
        <f t="shared" si="100"/>
        <v>0.15983798707187585</v>
      </c>
      <c r="W79" s="425">
        <f t="shared" si="100"/>
        <v>0.16226453380988559</v>
      </c>
    </row>
    <row r="80" spans="2:23" x14ac:dyDescent="0.3">
      <c r="B80" s="12" t="s">
        <v>6</v>
      </c>
      <c r="C80" s="39"/>
      <c r="D80" s="41">
        <f>(D78/C78)-1</f>
        <v>0.39536152796725776</v>
      </c>
      <c r="E80" s="47"/>
      <c r="F80" s="55">
        <f t="shared" ref="F80:H80" si="101">(F78/E78)-1</f>
        <v>3.7851180538993558</v>
      </c>
      <c r="G80" s="55">
        <f t="shared" si="101"/>
        <v>-0.16122159090909094</v>
      </c>
      <c r="H80" s="55">
        <f t="shared" si="101"/>
        <v>4.5609281459363906</v>
      </c>
      <c r="I80" s="41">
        <f>(I78/D78)-1</f>
        <v>-22.067227219397733</v>
      </c>
      <c r="J80" s="55">
        <f>(J78/H78)-1</f>
        <v>0.64249823024215624</v>
      </c>
      <c r="K80" s="55">
        <f>ABS((K78/J78)-1)</f>
        <v>0.98059236152561313</v>
      </c>
      <c r="L80" s="55">
        <f>(L78/K78)-1</f>
        <v>30.263219643006789</v>
      </c>
      <c r="M80" s="55">
        <f>(M78/L78)-1</f>
        <v>-0.86906929695747981</v>
      </c>
      <c r="N80" s="41">
        <f>(N78/I78)-1</f>
        <v>0.92638990692446588</v>
      </c>
      <c r="O80" s="41">
        <f t="shared" ref="O80:W80" si="102">(O78/J78)-1</f>
        <v>-0.92261838434081034</v>
      </c>
      <c r="P80" s="41">
        <f t="shared" si="102"/>
        <v>-10.64569348505175</v>
      </c>
      <c r="Q80" s="41">
        <f t="shared" si="102"/>
        <v>-1.3844924370739133</v>
      </c>
      <c r="R80" s="41">
        <f t="shared" si="102"/>
        <v>-4.7910629573142973</v>
      </c>
      <c r="S80" s="41">
        <f t="shared" si="102"/>
        <v>-1.2229947761230791</v>
      </c>
      <c r="T80" s="41">
        <f t="shared" si="102"/>
        <v>-7.146614570660125</v>
      </c>
      <c r="U80" s="41">
        <f t="shared" si="102"/>
        <v>2.4051638371934585</v>
      </c>
      <c r="V80" s="41">
        <f t="shared" si="102"/>
        <v>2.4057355083112038</v>
      </c>
      <c r="W80" s="41">
        <f t="shared" si="102"/>
        <v>2.2720087988913535</v>
      </c>
    </row>
    <row r="81" spans="2:23" ht="16.2" thickBot="1" x14ac:dyDescent="0.35">
      <c r="B81" s="12"/>
      <c r="C81" s="39"/>
      <c r="D81" s="39"/>
      <c r="E81" s="47"/>
      <c r="F81" s="47"/>
      <c r="G81" s="47"/>
      <c r="H81" s="67"/>
      <c r="I81" s="39"/>
      <c r="J81" s="47"/>
      <c r="K81" s="47"/>
      <c r="L81" s="47"/>
      <c r="M81" s="47"/>
      <c r="N81" s="92"/>
      <c r="O81" s="37"/>
      <c r="P81" s="37"/>
      <c r="Q81" s="37"/>
      <c r="R81" s="37"/>
      <c r="S81" s="37"/>
      <c r="T81" s="37"/>
      <c r="U81" s="37"/>
      <c r="V81" s="37"/>
      <c r="W81" s="409"/>
    </row>
    <row r="82" spans="2:23" ht="16.8" thickBot="1" x14ac:dyDescent="0.4">
      <c r="B82" s="5" t="s">
        <v>375</v>
      </c>
      <c r="C82" s="369">
        <f>C78*(1-C94)</f>
        <v>18325</v>
      </c>
      <c r="D82" s="346">
        <f>D78*(1-D94)</f>
        <v>25570</v>
      </c>
      <c r="E82" s="51"/>
      <c r="F82" s="51"/>
      <c r="G82" s="51"/>
      <c r="H82" s="51"/>
      <c r="I82" s="346">
        <f>I78*(1-I94)</f>
        <v>-538689</v>
      </c>
      <c r="J82" s="51"/>
      <c r="K82" s="51"/>
      <c r="L82" s="446">
        <f>L78*(1-L94)</f>
        <v>-376232.78425110132</v>
      </c>
      <c r="M82" s="51"/>
      <c r="N82" s="371">
        <f>N78*(1-N94)</f>
        <v>-1028601.8128169322</v>
      </c>
      <c r="O82" s="371">
        <f t="shared" ref="O82:W82" si="103">O78*(1-P94)</f>
        <v>-35684.20318936876</v>
      </c>
      <c r="P82" s="371">
        <f t="shared" si="103"/>
        <v>86326.545267841895</v>
      </c>
      <c r="Q82" s="371">
        <f t="shared" si="103"/>
        <v>107580.21490840681</v>
      </c>
      <c r="R82" s="371">
        <f t="shared" si="103"/>
        <v>138882.36467756017</v>
      </c>
      <c r="S82" s="371">
        <f t="shared" si="103"/>
        <v>173555.44933157449</v>
      </c>
      <c r="T82" s="371">
        <f t="shared" si="103"/>
        <v>219337.04326617054</v>
      </c>
      <c r="U82" s="371">
        <f t="shared" si="103"/>
        <v>293956.03013589932</v>
      </c>
      <c r="V82" s="371">
        <f t="shared" si="103"/>
        <v>366389.75790531142</v>
      </c>
      <c r="W82" s="410">
        <f t="shared" si="103"/>
        <v>605899.09231441945</v>
      </c>
    </row>
    <row r="83" spans="2:23" ht="16.2" x14ac:dyDescent="0.35">
      <c r="B83" s="34"/>
      <c r="C83" s="66"/>
      <c r="D83" s="66"/>
      <c r="E83" s="47"/>
      <c r="F83" s="47"/>
      <c r="G83" s="47"/>
      <c r="H83" s="67"/>
      <c r="I83" s="66"/>
      <c r="J83" s="47"/>
      <c r="K83" s="47"/>
      <c r="L83" s="47"/>
      <c r="M83" s="67"/>
      <c r="N83" s="331"/>
      <c r="O83" s="345"/>
      <c r="P83" s="345"/>
      <c r="Q83" s="345"/>
      <c r="R83" s="345"/>
      <c r="S83" s="345"/>
      <c r="T83" s="345"/>
      <c r="U83" s="345"/>
      <c r="V83" s="345"/>
      <c r="W83" s="345"/>
    </row>
    <row r="84" spans="2:23" ht="16.2" x14ac:dyDescent="0.35">
      <c r="B84" s="35" t="s">
        <v>14</v>
      </c>
      <c r="C84" s="37"/>
      <c r="D84" s="37"/>
      <c r="E84" s="47"/>
      <c r="F84" s="47"/>
      <c r="G84" s="47"/>
      <c r="H84" s="47"/>
      <c r="I84" s="37"/>
      <c r="J84" s="47"/>
      <c r="K84" s="47"/>
      <c r="L84" s="47"/>
      <c r="M84" s="47"/>
      <c r="N84" s="92"/>
      <c r="O84" s="37"/>
      <c r="P84" s="37"/>
      <c r="Q84" s="37"/>
      <c r="R84" s="37"/>
      <c r="S84" s="37"/>
      <c r="T84" s="37"/>
      <c r="U84" s="37"/>
      <c r="V84" s="37"/>
      <c r="W84" s="37"/>
    </row>
    <row r="85" spans="2:23" ht="16.2" x14ac:dyDescent="0.35">
      <c r="B85" s="9" t="s">
        <v>43</v>
      </c>
      <c r="C85" s="79">
        <v>278</v>
      </c>
      <c r="D85" s="79">
        <v>865</v>
      </c>
      <c r="E85" s="81">
        <v>-204</v>
      </c>
      <c r="F85" s="81">
        <v>-1067</v>
      </c>
      <c r="G85" s="81">
        <v>-993</v>
      </c>
      <c r="H85" s="81">
        <v>-1023</v>
      </c>
      <c r="I85" s="79">
        <v>-2879</v>
      </c>
      <c r="J85" s="81">
        <v>228</v>
      </c>
      <c r="K85" s="81">
        <v>530</v>
      </c>
      <c r="L85" s="81">
        <v>9859</v>
      </c>
      <c r="M85" s="99">
        <v>400</v>
      </c>
      <c r="N85" s="45">
        <f>SUM(J85:M85)</f>
        <v>11017</v>
      </c>
      <c r="O85" s="100">
        <v>-200</v>
      </c>
      <c r="P85" s="100">
        <v>-200</v>
      </c>
      <c r="Q85" s="100">
        <v>-200</v>
      </c>
      <c r="R85" s="100">
        <v>-200</v>
      </c>
      <c r="S85" s="100">
        <v>-200</v>
      </c>
      <c r="T85" s="100">
        <v>-200</v>
      </c>
      <c r="U85" s="100">
        <v>-200</v>
      </c>
      <c r="V85" s="100">
        <v>-200</v>
      </c>
      <c r="W85" s="100">
        <v>-200</v>
      </c>
    </row>
    <row r="86" spans="2:23" x14ac:dyDescent="0.3">
      <c r="B86" s="12" t="s">
        <v>5</v>
      </c>
      <c r="C86" s="60">
        <f t="shared" ref="C86:N86" si="104">C85/C25</f>
        <v>1.1658726430919949E-3</v>
      </c>
      <c r="D86" s="60">
        <f t="shared" si="104"/>
        <v>3.1775419417169014E-3</v>
      </c>
      <c r="E86" s="61">
        <f t="shared" si="104"/>
        <v>-2.6707863109109477E-3</v>
      </c>
      <c r="F86" s="61">
        <f t="shared" si="104"/>
        <v>-1.2887251645630775E-2</v>
      </c>
      <c r="G86" s="61">
        <f t="shared" si="104"/>
        <v>-1.0116239977994886E-2</v>
      </c>
      <c r="H86" s="61">
        <f t="shared" si="104"/>
        <v>-9.5747966642643883E-3</v>
      </c>
      <c r="I86" s="60">
        <f t="shared" si="104"/>
        <v>-7.9054530876299847E-3</v>
      </c>
      <c r="J86" s="71">
        <f t="shared" si="104"/>
        <v>1.9045391516447534E-3</v>
      </c>
      <c r="K86" s="71">
        <f t="shared" si="104"/>
        <v>3.728980510799972E-3</v>
      </c>
      <c r="L86" s="71">
        <f t="shared" si="104"/>
        <v>7.0087511640967673E-2</v>
      </c>
      <c r="M86" s="71">
        <f t="shared" si="104"/>
        <v>2.8435951573574469E-3</v>
      </c>
      <c r="N86" s="60">
        <f t="shared" si="104"/>
        <v>2.028248566768168E-2</v>
      </c>
      <c r="O86" s="37"/>
      <c r="P86" s="37"/>
      <c r="Q86" s="37"/>
      <c r="R86" s="37"/>
      <c r="S86" s="37"/>
      <c r="T86" s="37"/>
      <c r="U86" s="37"/>
      <c r="V86" s="37"/>
      <c r="W86" s="37"/>
    </row>
    <row r="87" spans="2:23" x14ac:dyDescent="0.3">
      <c r="B87" s="12" t="s">
        <v>6</v>
      </c>
      <c r="C87" s="37"/>
      <c r="D87" s="41">
        <f>(D85/C85)-1</f>
        <v>2.1115107913669067</v>
      </c>
      <c r="E87" s="47"/>
      <c r="F87" s="55">
        <f>((F85/E85)-1)</f>
        <v>4.2303921568627452</v>
      </c>
      <c r="G87" s="55">
        <f t="shared" ref="G87:H87" si="105">ABS((G85/F85)-1)</f>
        <v>6.9353327085285854E-2</v>
      </c>
      <c r="H87" s="55">
        <f t="shared" si="105"/>
        <v>3.0211480362537735E-2</v>
      </c>
      <c r="I87" s="41">
        <f>(I85/D85)-1</f>
        <v>-4.3283236994219649</v>
      </c>
      <c r="J87" s="55">
        <f>ABS((J85/H85)-1)</f>
        <v>1.2228739002932552</v>
      </c>
      <c r="K87" s="55">
        <f>(K85/J85)-1</f>
        <v>1.3245614035087718</v>
      </c>
      <c r="L87" s="55">
        <f>(L85/K85)-1</f>
        <v>17.601886792452831</v>
      </c>
      <c r="M87" s="55">
        <f>(M85/L85)-1</f>
        <v>-0.95942793386753222</v>
      </c>
      <c r="N87" s="41">
        <f>(N85/I85)-1</f>
        <v>-4.8266759291420627</v>
      </c>
      <c r="O87" s="37"/>
      <c r="P87" s="37"/>
      <c r="Q87" s="37"/>
      <c r="R87" s="37"/>
      <c r="S87" s="37"/>
      <c r="T87" s="37"/>
      <c r="U87" s="37"/>
      <c r="V87" s="37"/>
      <c r="W87" s="37"/>
    </row>
    <row r="88" spans="2:23" ht="16.2" x14ac:dyDescent="0.35">
      <c r="B88" s="9" t="s">
        <v>44</v>
      </c>
      <c r="C88" s="79">
        <v>67</v>
      </c>
      <c r="D88" s="79">
        <v>1558</v>
      </c>
      <c r="E88" s="81">
        <v>-105</v>
      </c>
      <c r="F88" s="81">
        <v>367</v>
      </c>
      <c r="G88" s="81">
        <v>17</v>
      </c>
      <c r="H88" s="81">
        <v>-12</v>
      </c>
      <c r="I88" s="79">
        <v>477</v>
      </c>
      <c r="J88" s="81">
        <v>-5</v>
      </c>
      <c r="K88" s="81">
        <v>7</v>
      </c>
      <c r="L88" s="81">
        <v>5</v>
      </c>
      <c r="M88" s="99">
        <v>0</v>
      </c>
      <c r="N88" s="364">
        <v>0</v>
      </c>
      <c r="O88" s="364">
        <v>0</v>
      </c>
      <c r="P88" s="364">
        <v>0</v>
      </c>
      <c r="Q88" s="364">
        <v>0</v>
      </c>
      <c r="R88" s="364">
        <v>0</v>
      </c>
      <c r="S88" s="364">
        <v>0</v>
      </c>
      <c r="T88" s="364">
        <v>0</v>
      </c>
      <c r="U88" s="364">
        <v>0</v>
      </c>
      <c r="V88" s="364">
        <v>0</v>
      </c>
      <c r="W88" s="100">
        <v>0</v>
      </c>
    </row>
    <row r="89" spans="2:23" x14ac:dyDescent="0.3">
      <c r="B89" s="12" t="s">
        <v>5</v>
      </c>
      <c r="C89" s="60">
        <f t="shared" ref="C89:M89" si="106">C88/C25</f>
        <v>2.8098369455814267E-4</v>
      </c>
      <c r="D89" s="60">
        <f t="shared" si="106"/>
        <v>5.7232489539825807E-3</v>
      </c>
      <c r="E89" s="61">
        <f t="shared" si="106"/>
        <v>-1.374669424733576E-3</v>
      </c>
      <c r="F89" s="61">
        <f t="shared" si="106"/>
        <v>4.4326348209432938E-3</v>
      </c>
      <c r="G89" s="61">
        <f t="shared" si="106"/>
        <v>1.7318839841481677E-4</v>
      </c>
      <c r="H89" s="61">
        <f t="shared" si="106"/>
        <v>-1.1231433037260279E-4</v>
      </c>
      <c r="I89" s="60">
        <f t="shared" si="106"/>
        <v>1.309795457728205E-3</v>
      </c>
      <c r="J89" s="61">
        <f t="shared" si="106"/>
        <v>-4.1766209465893713E-5</v>
      </c>
      <c r="K89" s="61">
        <f t="shared" si="106"/>
        <v>4.9250685991697743E-5</v>
      </c>
      <c r="L89" s="61">
        <f t="shared" si="106"/>
        <v>3.5544939466968091E-5</v>
      </c>
      <c r="M89" s="61">
        <f t="shared" si="106"/>
        <v>0</v>
      </c>
      <c r="N89" s="92"/>
      <c r="O89" s="37"/>
      <c r="P89" s="37"/>
      <c r="Q89" s="37"/>
      <c r="R89" s="37"/>
      <c r="S89" s="37"/>
      <c r="T89" s="37"/>
      <c r="U89" s="37"/>
      <c r="V89" s="37"/>
      <c r="W89" s="37"/>
    </row>
    <row r="90" spans="2:23" x14ac:dyDescent="0.3">
      <c r="B90" s="12" t="s">
        <v>15</v>
      </c>
      <c r="C90" s="37">
        <v>0</v>
      </c>
      <c r="D90" s="41">
        <f>D88/D122</f>
        <v>1.3738977072310405</v>
      </c>
      <c r="E90" s="47">
        <v>0</v>
      </c>
      <c r="F90" s="47">
        <v>0</v>
      </c>
      <c r="G90" s="47">
        <v>0</v>
      </c>
      <c r="H90" s="47">
        <v>0</v>
      </c>
      <c r="I90" s="37">
        <v>0</v>
      </c>
      <c r="J90" s="47">
        <v>0</v>
      </c>
      <c r="K90" s="47">
        <v>0</v>
      </c>
      <c r="L90" s="47">
        <v>0</v>
      </c>
      <c r="M90" s="47">
        <v>0</v>
      </c>
      <c r="N90" s="92"/>
      <c r="O90" s="37"/>
      <c r="P90" s="37"/>
      <c r="Q90" s="37"/>
      <c r="R90" s="37"/>
      <c r="S90" s="37"/>
      <c r="T90" s="37"/>
      <c r="U90" s="37"/>
      <c r="V90" s="37"/>
      <c r="W90" s="37"/>
    </row>
    <row r="91" spans="2:23" ht="16.2" x14ac:dyDescent="0.35">
      <c r="B91" s="9" t="s">
        <v>16</v>
      </c>
      <c r="C91" s="40">
        <f>C85+C88</f>
        <v>345</v>
      </c>
      <c r="D91" s="40">
        <f t="shared" ref="D91:W91" si="107">D85+D88</f>
        <v>2423</v>
      </c>
      <c r="E91" s="48">
        <f t="shared" si="107"/>
        <v>-309</v>
      </c>
      <c r="F91" s="48">
        <f t="shared" si="107"/>
        <v>-700</v>
      </c>
      <c r="G91" s="48">
        <f t="shared" si="107"/>
        <v>-976</v>
      </c>
      <c r="H91" s="48">
        <f t="shared" si="107"/>
        <v>-1035</v>
      </c>
      <c r="I91" s="40">
        <f t="shared" si="107"/>
        <v>-2402</v>
      </c>
      <c r="J91" s="48">
        <f t="shared" si="107"/>
        <v>223</v>
      </c>
      <c r="K91" s="48">
        <f t="shared" si="107"/>
        <v>537</v>
      </c>
      <c r="L91" s="48">
        <f t="shared" si="107"/>
        <v>9864</v>
      </c>
      <c r="M91" s="48">
        <f t="shared" si="107"/>
        <v>400</v>
      </c>
      <c r="N91" s="45">
        <f t="shared" si="107"/>
        <v>11017</v>
      </c>
      <c r="O91" s="45">
        <f t="shared" si="107"/>
        <v>-200</v>
      </c>
      <c r="P91" s="45">
        <f t="shared" si="107"/>
        <v>-200</v>
      </c>
      <c r="Q91" s="45">
        <f t="shared" si="107"/>
        <v>-200</v>
      </c>
      <c r="R91" s="45">
        <f t="shared" si="107"/>
        <v>-200</v>
      </c>
      <c r="S91" s="45">
        <f t="shared" si="107"/>
        <v>-200</v>
      </c>
      <c r="T91" s="45">
        <f t="shared" si="107"/>
        <v>-200</v>
      </c>
      <c r="U91" s="45">
        <f t="shared" si="107"/>
        <v>-200</v>
      </c>
      <c r="V91" s="45">
        <f t="shared" si="107"/>
        <v>-200</v>
      </c>
      <c r="W91" s="40">
        <f t="shared" si="107"/>
        <v>-200</v>
      </c>
    </row>
    <row r="92" spans="2:23" ht="16.2" x14ac:dyDescent="0.35">
      <c r="B92" s="14" t="s">
        <v>217</v>
      </c>
      <c r="C92" s="42">
        <f>C78+C91</f>
        <v>18670</v>
      </c>
      <c r="D92" s="42">
        <f t="shared" ref="D92" si="108">D78+D91</f>
        <v>27993</v>
      </c>
      <c r="E92" s="50">
        <f>E78+E91</f>
        <v>-17081</v>
      </c>
      <c r="F92" s="50">
        <f t="shared" ref="F92:H92" si="109">F78+F91</f>
        <v>-80956</v>
      </c>
      <c r="G92" s="50">
        <f t="shared" si="109"/>
        <v>-68293</v>
      </c>
      <c r="H92" s="50">
        <f t="shared" si="109"/>
        <v>-375380</v>
      </c>
      <c r="I92" s="42">
        <f>I78+I91</f>
        <v>-541091</v>
      </c>
      <c r="J92" s="50">
        <f t="shared" ref="J92:M92" si="110">J78+J91</f>
        <v>-614638</v>
      </c>
      <c r="K92" s="50">
        <f t="shared" si="110"/>
        <v>-11396</v>
      </c>
      <c r="L92" s="50">
        <f t="shared" si="110"/>
        <v>-363200</v>
      </c>
      <c r="M92" s="50">
        <f t="shared" si="110"/>
        <v>-48445.53179985474</v>
      </c>
      <c r="N92" s="42">
        <f t="shared" ref="N92:W92" si="111">N78+N91</f>
        <v>-1026708.0525712336</v>
      </c>
      <c r="O92" s="42">
        <f t="shared" si="111"/>
        <v>-47778.937585825013</v>
      </c>
      <c r="P92" s="42">
        <f t="shared" si="111"/>
        <v>114902.06035712254</v>
      </c>
      <c r="Q92" s="42">
        <f t="shared" si="111"/>
        <v>143240.28654454241</v>
      </c>
      <c r="R92" s="42">
        <f t="shared" si="111"/>
        <v>184976.48623674689</v>
      </c>
      <c r="S92" s="42">
        <f t="shared" si="111"/>
        <v>231207.26577543264</v>
      </c>
      <c r="T92" s="42">
        <f t="shared" si="111"/>
        <v>292249.3910215607</v>
      </c>
      <c r="U92" s="42">
        <f t="shared" si="111"/>
        <v>391741.37351453246</v>
      </c>
      <c r="V92" s="42">
        <f t="shared" si="111"/>
        <v>488319.67720708187</v>
      </c>
      <c r="W92" s="42">
        <f t="shared" si="111"/>
        <v>605699.09231441945</v>
      </c>
    </row>
    <row r="93" spans="2:23" x14ac:dyDescent="0.3">
      <c r="B93" s="24" t="s">
        <v>17</v>
      </c>
      <c r="C93" s="40">
        <v>0</v>
      </c>
      <c r="D93" s="40">
        <v>0</v>
      </c>
      <c r="E93" s="48"/>
      <c r="F93" s="48"/>
      <c r="G93" s="48"/>
      <c r="H93" s="48"/>
      <c r="I93" s="40"/>
      <c r="J93" s="48"/>
      <c r="K93" s="48"/>
      <c r="L93" s="48">
        <v>3085</v>
      </c>
      <c r="M93" s="48">
        <f>M92*M94</f>
        <v>-12111.382949963685</v>
      </c>
      <c r="N93" s="45">
        <f>SUM(J93:M93)</f>
        <v>-9026.382949963685</v>
      </c>
      <c r="O93" s="40">
        <f>O92*O94</f>
        <v>-11944.734396456253</v>
      </c>
      <c r="P93" s="40">
        <f t="shared" ref="P93:W93" si="112">P92*P94</f>
        <v>28725.515089280634</v>
      </c>
      <c r="Q93" s="40">
        <f t="shared" si="112"/>
        <v>35810.071636135603</v>
      </c>
      <c r="R93" s="40">
        <f t="shared" si="112"/>
        <v>46244.121559186722</v>
      </c>
      <c r="S93" s="40">
        <f t="shared" si="112"/>
        <v>57801.816443858159</v>
      </c>
      <c r="T93" s="40">
        <f t="shared" si="112"/>
        <v>73062.347755390176</v>
      </c>
      <c r="U93" s="40">
        <f t="shared" si="112"/>
        <v>97935.343378633115</v>
      </c>
      <c r="V93" s="40">
        <f t="shared" si="112"/>
        <v>122079.91930177047</v>
      </c>
      <c r="W93" s="40">
        <f t="shared" si="112"/>
        <v>151424.77307860486</v>
      </c>
    </row>
    <row r="94" spans="2:23" x14ac:dyDescent="0.3">
      <c r="B94" s="12" t="s">
        <v>18</v>
      </c>
      <c r="C94" s="41">
        <f>1-(C95/C92)</f>
        <v>0</v>
      </c>
      <c r="D94" s="41">
        <f>1-(D95/D92)</f>
        <v>0</v>
      </c>
      <c r="E94" s="55">
        <f>1-(E95/E92)</f>
        <v>0</v>
      </c>
      <c r="F94" s="55">
        <f t="shared" ref="F94:H94" si="113">1-(F95/F92)</f>
        <v>0</v>
      </c>
      <c r="G94" s="55">
        <f t="shared" si="113"/>
        <v>0</v>
      </c>
      <c r="H94" s="55">
        <f t="shared" si="113"/>
        <v>0</v>
      </c>
      <c r="I94" s="41">
        <f>1-(I95/I92)</f>
        <v>0</v>
      </c>
      <c r="J94" s="55">
        <f>1-(J95/J92)</f>
        <v>0</v>
      </c>
      <c r="K94" s="55">
        <f t="shared" ref="K94" si="114">1-(K95/K92)</f>
        <v>0</v>
      </c>
      <c r="L94" s="55">
        <f>1-(L95/L92)</f>
        <v>-8.4939427312775706E-3</v>
      </c>
      <c r="M94" s="372">
        <v>0.25</v>
      </c>
      <c r="N94" s="13">
        <f>1-(N95/N92)</f>
        <v>8.7915770479821687E-3</v>
      </c>
      <c r="O94" s="341">
        <v>0.25</v>
      </c>
      <c r="P94" s="341">
        <v>0.25</v>
      </c>
      <c r="Q94" s="341">
        <v>0.25</v>
      </c>
      <c r="R94" s="341">
        <v>0.25</v>
      </c>
      <c r="S94" s="341">
        <v>0.25</v>
      </c>
      <c r="T94" s="341">
        <v>0.25</v>
      </c>
      <c r="U94" s="341">
        <v>0.25</v>
      </c>
      <c r="V94" s="341">
        <v>0.25</v>
      </c>
      <c r="W94" s="361">
        <v>0.25</v>
      </c>
    </row>
    <row r="95" spans="2:23" ht="16.8" thickBot="1" x14ac:dyDescent="0.4">
      <c r="B95" s="427" t="s">
        <v>216</v>
      </c>
      <c r="C95" s="428">
        <f>C92-C93</f>
        <v>18670</v>
      </c>
      <c r="D95" s="428">
        <f t="shared" ref="D95:N95" si="115">D92-D93</f>
        <v>27993</v>
      </c>
      <c r="E95" s="429">
        <f t="shared" si="115"/>
        <v>-17081</v>
      </c>
      <c r="F95" s="429">
        <f t="shared" si="115"/>
        <v>-80956</v>
      </c>
      <c r="G95" s="429">
        <f t="shared" si="115"/>
        <v>-68293</v>
      </c>
      <c r="H95" s="429">
        <f t="shared" si="115"/>
        <v>-375380</v>
      </c>
      <c r="I95" s="428">
        <f t="shared" si="115"/>
        <v>-541091</v>
      </c>
      <c r="J95" s="429">
        <f t="shared" si="115"/>
        <v>-614638</v>
      </c>
      <c r="K95" s="429">
        <f t="shared" si="115"/>
        <v>-11396</v>
      </c>
      <c r="L95" s="429">
        <f t="shared" si="115"/>
        <v>-366285</v>
      </c>
      <c r="M95" s="430">
        <f t="shared" si="115"/>
        <v>-36334.148849891055</v>
      </c>
      <c r="N95" s="431">
        <f t="shared" si="115"/>
        <v>-1017681.6696212699</v>
      </c>
      <c r="O95" s="428">
        <f>O92-O93</f>
        <v>-35834.20318936876</v>
      </c>
      <c r="P95" s="428">
        <f t="shared" ref="P95:W95" si="116">P92-P93</f>
        <v>86176.545267841895</v>
      </c>
      <c r="Q95" s="428">
        <f t="shared" si="116"/>
        <v>107430.21490840681</v>
      </c>
      <c r="R95" s="428">
        <f t="shared" si="116"/>
        <v>138732.36467756017</v>
      </c>
      <c r="S95" s="428">
        <f t="shared" si="116"/>
        <v>173405.44933157449</v>
      </c>
      <c r="T95" s="428">
        <f t="shared" si="116"/>
        <v>219187.04326617054</v>
      </c>
      <c r="U95" s="428">
        <f t="shared" si="116"/>
        <v>293806.03013589932</v>
      </c>
      <c r="V95" s="428">
        <f t="shared" si="116"/>
        <v>366239.75790531142</v>
      </c>
      <c r="W95" s="432">
        <f t="shared" si="116"/>
        <v>454274.31923581462</v>
      </c>
    </row>
    <row r="96" spans="2:23" ht="16.2" thickTop="1" x14ac:dyDescent="0.3">
      <c r="B96" s="12" t="s">
        <v>5</v>
      </c>
      <c r="C96" s="41">
        <f t="shared" ref="C96:L96" si="117">C95/C25</f>
        <v>7.8297993692545129E-2</v>
      </c>
      <c r="D96" s="41">
        <f t="shared" si="117"/>
        <v>0.10283113476818638</v>
      </c>
      <c r="E96" s="61">
        <f t="shared" si="117"/>
        <v>-0.22362598517975441</v>
      </c>
      <c r="F96" s="61">
        <f t="shared" si="117"/>
        <v>-0.97778851379914244</v>
      </c>
      <c r="G96" s="61">
        <f t="shared" si="117"/>
        <v>-0.69573854664371071</v>
      </c>
      <c r="H96" s="61">
        <f t="shared" si="117"/>
        <v>-3.5133794446056363</v>
      </c>
      <c r="I96" s="60">
        <f t="shared" si="117"/>
        <v>-1.4857830901836735</v>
      </c>
      <c r="J96" s="55">
        <f t="shared" si="117"/>
        <v>-5.1342198907395957</v>
      </c>
      <c r="K96" s="55">
        <f t="shared" si="117"/>
        <v>-8.0180116794483919E-2</v>
      </c>
      <c r="L96" s="55">
        <f t="shared" si="117"/>
        <v>-2.6039156305316813</v>
      </c>
      <c r="M96" s="55"/>
      <c r="N96" s="60">
        <f t="shared" ref="N96:W96" si="118">N95/N25</f>
        <v>-1.8735693817151466</v>
      </c>
      <c r="O96" s="60">
        <f t="shared" si="118"/>
        <v>-5.2501297432906442E-2</v>
      </c>
      <c r="P96" s="60">
        <f t="shared" si="118"/>
        <v>0.10321084559605956</v>
      </c>
      <c r="Q96" s="60">
        <f t="shared" si="118"/>
        <v>0.10196516348427745</v>
      </c>
      <c r="R96" s="60">
        <f t="shared" si="118"/>
        <v>0.10428849773890683</v>
      </c>
      <c r="S96" s="60">
        <f t="shared" si="118"/>
        <v>0.10642584739474339</v>
      </c>
      <c r="T96" s="60">
        <f t="shared" si="118"/>
        <v>0.10847919320218215</v>
      </c>
      <c r="U96" s="60">
        <f t="shared" si="118"/>
        <v>0.11794085017402901</v>
      </c>
      <c r="V96" s="60">
        <f t="shared" si="118"/>
        <v>0.1198294120391421</v>
      </c>
      <c r="W96" s="60">
        <f t="shared" si="118"/>
        <v>0.12165822917977057</v>
      </c>
    </row>
    <row r="97" spans="2:24" x14ac:dyDescent="0.3">
      <c r="B97" s="12" t="s">
        <v>6</v>
      </c>
      <c r="C97" s="37"/>
      <c r="D97" s="41">
        <f>(D95/C95)-1</f>
        <v>0.49935725763256555</v>
      </c>
      <c r="E97" s="47"/>
      <c r="F97" s="55">
        <f t="shared" ref="F97:H97" si="119">((F95/E95)-1)</f>
        <v>3.7395351560213106</v>
      </c>
      <c r="G97" s="55">
        <f t="shared" si="119"/>
        <v>-0.15641830129947132</v>
      </c>
      <c r="H97" s="55">
        <f t="shared" si="119"/>
        <v>4.4966101943098122</v>
      </c>
      <c r="I97" s="41">
        <f>(I95/H95)-1</f>
        <v>0.44144866535244276</v>
      </c>
      <c r="J97" s="55">
        <f>((J95/H95)-1)</f>
        <v>0.63737545953433861</v>
      </c>
      <c r="K97" s="55">
        <f>ABS((K95/J95)-1)</f>
        <v>0.98145900513798368</v>
      </c>
      <c r="L97" s="55">
        <f t="shared" ref="L97" si="120">((L95/K95)-1)</f>
        <v>31.141540891540892</v>
      </c>
      <c r="M97" s="47"/>
      <c r="N97" s="340">
        <f>(N95/M95)-1</f>
        <v>27.008958564728324</v>
      </c>
      <c r="O97" s="41">
        <f>(O95/N95)-1</f>
        <v>-0.96478839674620021</v>
      </c>
      <c r="P97" s="41">
        <f t="shared" ref="P97:W97" si="121">(P95/O95)-1</f>
        <v>-3.4048684663765214</v>
      </c>
      <c r="Q97" s="41">
        <f t="shared" si="121"/>
        <v>0.24662939985012433</v>
      </c>
      <c r="R97" s="41">
        <f t="shared" si="121"/>
        <v>0.29137193661802718</v>
      </c>
      <c r="S97" s="41">
        <f t="shared" si="121"/>
        <v>0.24992787180266851</v>
      </c>
      <c r="T97" s="41">
        <f t="shared" si="121"/>
        <v>0.26401473604820525</v>
      </c>
      <c r="U97" s="41">
        <f t="shared" si="121"/>
        <v>0.34043520893301604</v>
      </c>
      <c r="V97" s="41">
        <f t="shared" si="121"/>
        <v>0.24653587857236303</v>
      </c>
      <c r="W97" s="41">
        <f t="shared" si="121"/>
        <v>0.24037412495577248</v>
      </c>
    </row>
    <row r="98" spans="2:24" ht="16.2" x14ac:dyDescent="0.35">
      <c r="B98" s="15" t="s">
        <v>19</v>
      </c>
      <c r="C98" s="384">
        <f>C95/(DCF!$R$23-20000)</f>
        <v>5.4959886936296873E-2</v>
      </c>
      <c r="D98" s="384">
        <f>D95/(DCF!$R$23-20000)</f>
        <v>8.2404505356601945E-2</v>
      </c>
      <c r="E98" s="53"/>
      <c r="F98" s="53"/>
      <c r="G98" s="53"/>
      <c r="H98" s="53"/>
      <c r="I98" s="384">
        <f>I95/(DCF!$R$23-20000)</f>
        <v>-1.5928387885510342</v>
      </c>
      <c r="J98" s="53"/>
      <c r="K98" s="53"/>
      <c r="L98" s="53"/>
      <c r="M98" s="53"/>
      <c r="N98" s="384">
        <f>N95/(DCF!$R$23-20000)</f>
        <v>-2.9958044723902959</v>
      </c>
      <c r="O98" s="384">
        <f>O95/(DCF!$R$23-20000)</f>
        <v>-0.10548707850776624</v>
      </c>
      <c r="P98" s="384">
        <f>P95/(DCF!$R$23-20000)</f>
        <v>0.25368254871351148</v>
      </c>
      <c r="Q98" s="384">
        <f>Q95/(DCF!$R$23-20000)</f>
        <v>0.31624812345517478</v>
      </c>
      <c r="R98" s="411">
        <f>R95/DCF!$R$23</f>
        <v>0.38568662106847851</v>
      </c>
      <c r="S98" s="411">
        <f>S95/DCF!$R$23</f>
        <v>0.48208045745488559</v>
      </c>
      <c r="T98" s="411">
        <f>T95/DCF!$R$23</f>
        <v>0.60935680218383526</v>
      </c>
      <c r="U98" s="411">
        <f>U95/DCF!$R$23</f>
        <v>0.81680331245004367</v>
      </c>
      <c r="V98" s="411">
        <f>V95/DCF!$R$23</f>
        <v>1.0181746347057314</v>
      </c>
      <c r="W98" s="384">
        <f>W95/DCF!$R$23</f>
        <v>1.2629174715752849</v>
      </c>
    </row>
    <row r="99" spans="2:24" x14ac:dyDescent="0.3">
      <c r="B99" s="12" t="s">
        <v>6</v>
      </c>
      <c r="C99" s="37"/>
      <c r="D99" s="37"/>
      <c r="E99" s="47"/>
      <c r="F99" s="47"/>
      <c r="G99" s="47"/>
      <c r="H99" s="47"/>
      <c r="I99" s="37"/>
      <c r="J99" s="47"/>
      <c r="K99" s="47"/>
      <c r="L99" s="47"/>
      <c r="M99" s="47"/>
      <c r="N99" s="92"/>
      <c r="O99" s="37"/>
      <c r="P99" s="37"/>
      <c r="Q99" s="37"/>
      <c r="R99" s="37"/>
      <c r="S99" s="37"/>
      <c r="T99" s="37"/>
      <c r="U99" s="37"/>
      <c r="V99" s="37"/>
      <c r="W99" s="37"/>
    </row>
    <row r="100" spans="2:24" x14ac:dyDescent="0.3">
      <c r="B100" s="12"/>
      <c r="C100" s="37"/>
      <c r="D100" s="37"/>
      <c r="E100" s="47"/>
      <c r="F100" s="47"/>
      <c r="G100" s="47"/>
      <c r="H100" s="47"/>
      <c r="I100" s="37"/>
      <c r="J100" s="47"/>
      <c r="K100" s="47"/>
      <c r="L100" s="47"/>
      <c r="M100" s="47"/>
      <c r="N100" s="92"/>
      <c r="O100" s="37"/>
      <c r="P100" s="37"/>
      <c r="Q100" s="37"/>
      <c r="R100" s="37"/>
      <c r="S100" s="37"/>
      <c r="T100" s="37"/>
      <c r="U100" s="37"/>
      <c r="V100" s="37"/>
      <c r="W100" s="37"/>
    </row>
    <row r="101" spans="2:24" ht="16.2" x14ac:dyDescent="0.35">
      <c r="B101" s="482" t="s">
        <v>280</v>
      </c>
      <c r="C101" s="483">
        <f>(C64+C91)*(1-C94)</f>
        <v>46882</v>
      </c>
      <c r="D101" s="483">
        <f>(D64+D91)*(1-D94)</f>
        <v>48432</v>
      </c>
      <c r="E101" s="560">
        <f t="shared" ref="E101:G101" si="122">(E64+E91)</f>
        <v>3416</v>
      </c>
      <c r="F101" s="560">
        <f t="shared" si="122"/>
        <v>-2329</v>
      </c>
      <c r="G101" s="560">
        <f t="shared" si="122"/>
        <v>5158</v>
      </c>
      <c r="H101" s="632">
        <f>(H64+H91)</f>
        <v>5645</v>
      </c>
      <c r="I101" s="483">
        <f>(I64+I91)*(1-I94)</f>
        <v>12509</v>
      </c>
      <c r="J101" s="560">
        <f>(J64+J91)</f>
        <v>-13563</v>
      </c>
      <c r="K101" s="560">
        <f>(K64+K91)</f>
        <v>36049</v>
      </c>
      <c r="L101" s="560">
        <f>(L64+L91)*(1+L94)</f>
        <v>48945.696517070486</v>
      </c>
      <c r="M101" s="632">
        <f t="shared" ref="M101:W101" si="123">(M64+M91)*(1-M94)</f>
        <v>5865.9511501089473</v>
      </c>
      <c r="N101" s="483">
        <f t="shared" si="123"/>
        <v>89846.845939328559</v>
      </c>
      <c r="O101" s="483">
        <f t="shared" si="123"/>
        <v>71218.406378737534</v>
      </c>
      <c r="P101" s="483">
        <f t="shared" si="123"/>
        <v>86176.545267841895</v>
      </c>
      <c r="Q101" s="483">
        <f t="shared" si="123"/>
        <v>107430.21490840681</v>
      </c>
      <c r="R101" s="483">
        <f t="shared" si="123"/>
        <v>138732.36467756017</v>
      </c>
      <c r="S101" s="483">
        <f t="shared" si="123"/>
        <v>173405.44933157449</v>
      </c>
      <c r="T101" s="483">
        <f t="shared" si="123"/>
        <v>219187.04326617054</v>
      </c>
      <c r="U101" s="483">
        <f t="shared" si="123"/>
        <v>293806.03013589932</v>
      </c>
      <c r="V101" s="483">
        <f t="shared" si="123"/>
        <v>366239.75790531142</v>
      </c>
      <c r="W101" s="483">
        <f t="shared" si="123"/>
        <v>454274.31923581462</v>
      </c>
    </row>
    <row r="102" spans="2:24" x14ac:dyDescent="0.3">
      <c r="B102" s="12" t="s">
        <v>6</v>
      </c>
      <c r="C102" s="37"/>
      <c r="D102" s="41">
        <f>(D101/C101)-1</f>
        <v>3.3061729448402355E-2</v>
      </c>
      <c r="E102" s="47"/>
      <c r="F102" s="47"/>
      <c r="G102" s="47"/>
      <c r="H102" s="47"/>
      <c r="I102" s="41">
        <f>(I101/D101)-1</f>
        <v>-0.74172035018169802</v>
      </c>
      <c r="J102" s="47"/>
      <c r="K102" s="47"/>
      <c r="L102" s="47"/>
      <c r="M102" s="47"/>
      <c r="N102" s="41">
        <f>(N101/I101)-1</f>
        <v>6.1825762202676922</v>
      </c>
      <c r="O102" s="41">
        <f>(O101/N101)-1</f>
        <v>-0.20733548702611515</v>
      </c>
      <c r="P102" s="41">
        <f t="shared" ref="P102:W102" si="124">(P101/O101)-1</f>
        <v>0.21003192362319067</v>
      </c>
      <c r="Q102" s="41">
        <f t="shared" si="124"/>
        <v>0.24662939985012433</v>
      </c>
      <c r="R102" s="41">
        <f t="shared" si="124"/>
        <v>0.29137193661802718</v>
      </c>
      <c r="S102" s="41">
        <f t="shared" si="124"/>
        <v>0.24992787180266851</v>
      </c>
      <c r="T102" s="41">
        <f t="shared" si="124"/>
        <v>0.26401473604820525</v>
      </c>
      <c r="U102" s="41">
        <f t="shared" si="124"/>
        <v>0.34043520893301604</v>
      </c>
      <c r="V102" s="41">
        <f t="shared" si="124"/>
        <v>0.24653587857236303</v>
      </c>
      <c r="W102" s="41">
        <f t="shared" si="124"/>
        <v>0.24037412495577248</v>
      </c>
    </row>
    <row r="103" spans="2:24" ht="16.2" x14ac:dyDescent="0.35">
      <c r="B103" s="15" t="s">
        <v>281</v>
      </c>
      <c r="C103" s="484">
        <f>C101/(DCF!$R$23-20000)</f>
        <v>0.13800907441604016</v>
      </c>
      <c r="D103" s="484">
        <f>D101/(DCF!$R$23-20000)</f>
        <v>0.14257189309580773</v>
      </c>
      <c r="E103" s="47"/>
      <c r="F103" s="47"/>
      <c r="G103" s="47"/>
      <c r="H103" s="47"/>
      <c r="I103" s="484">
        <f>I101/(DCF!$R$23-20000)</f>
        <v>3.6823418622717596E-2</v>
      </c>
      <c r="J103" s="47"/>
      <c r="K103" s="47"/>
      <c r="L103" s="47"/>
      <c r="M103" s="47"/>
      <c r="N103" s="484">
        <f>N101/(DCF!$R$23-20000)</f>
        <v>0.26448701094849392</v>
      </c>
      <c r="O103" s="484">
        <f>O101/(DCF!$R$23-20000)</f>
        <v>0.20964946772140647</v>
      </c>
      <c r="P103" s="484">
        <f>P101/(DCF!$R$23-20000)</f>
        <v>0.25368254871351148</v>
      </c>
      <c r="Q103" s="484">
        <f>Q101/(DCF!$R$23-20000)</f>
        <v>0.31624812345517478</v>
      </c>
      <c r="R103" s="484">
        <f>R101/(DCF!$R$23-20000)</f>
        <v>0.40839395163812603</v>
      </c>
      <c r="S103" s="484">
        <f>S101/(DCF!$R$23-20000)</f>
        <v>0.51046298282812475</v>
      </c>
      <c r="T103" s="484">
        <f>T101/(DCF!$R$23-20000)</f>
        <v>0.64523273250187163</v>
      </c>
      <c r="U103" s="484">
        <f>U101/(DCF!$R$23-20000)</f>
        <v>0.8648926726015671</v>
      </c>
      <c r="V103" s="484">
        <f>V101/(DCF!$R$23-20000)</f>
        <v>1.0781197475121935</v>
      </c>
      <c r="W103" s="484">
        <f>W101/(DCF!$R$23-20000)</f>
        <v>1.3372718384179756</v>
      </c>
    </row>
    <row r="104" spans="2:24" x14ac:dyDescent="0.3">
      <c r="B104" s="12" t="s">
        <v>6</v>
      </c>
      <c r="C104" s="37"/>
      <c r="D104" s="41">
        <f>(D103/C103)-1</f>
        <v>3.3061729448402577E-2</v>
      </c>
      <c r="E104" s="47"/>
      <c r="F104" s="47"/>
      <c r="G104" s="47"/>
      <c r="H104" s="47"/>
      <c r="I104" s="41">
        <f>(I103/D103)-1</f>
        <v>-0.74172035018169802</v>
      </c>
      <c r="J104" s="47"/>
      <c r="K104" s="47"/>
      <c r="L104" s="47"/>
      <c r="M104" s="47"/>
      <c r="N104" s="41">
        <f>(N103/I103)-1</f>
        <v>6.182576220267693</v>
      </c>
      <c r="O104" s="41">
        <f>(O103/N103)-1</f>
        <v>-0.20733548702611515</v>
      </c>
      <c r="P104" s="41">
        <f t="shared" ref="P104:W104" si="125">(P103/O103)-1</f>
        <v>0.21003192362319067</v>
      </c>
      <c r="Q104" s="41">
        <f t="shared" si="125"/>
        <v>0.24662939985012455</v>
      </c>
      <c r="R104" s="41">
        <f t="shared" si="125"/>
        <v>0.29137193661802718</v>
      </c>
      <c r="S104" s="41">
        <f t="shared" si="125"/>
        <v>0.24992787180266829</v>
      </c>
      <c r="T104" s="41">
        <f t="shared" si="125"/>
        <v>0.26401473604820525</v>
      </c>
      <c r="U104" s="41">
        <f t="shared" si="125"/>
        <v>0.34043520893301604</v>
      </c>
      <c r="V104" s="41">
        <f t="shared" si="125"/>
        <v>0.24653587857236303</v>
      </c>
      <c r="W104" s="41">
        <f t="shared" si="125"/>
        <v>0.24037412495577271</v>
      </c>
    </row>
    <row r="105" spans="2:24" x14ac:dyDescent="0.3">
      <c r="B105" s="12"/>
      <c r="C105" s="37"/>
      <c r="D105" s="37"/>
      <c r="E105" s="47"/>
      <c r="F105" s="47"/>
      <c r="G105" s="47"/>
      <c r="H105" s="47"/>
      <c r="I105" s="37"/>
      <c r="J105" s="47"/>
      <c r="K105" s="47"/>
      <c r="L105" s="47"/>
      <c r="M105" s="47"/>
      <c r="N105" s="92"/>
      <c r="O105" s="37"/>
      <c r="P105" s="37"/>
      <c r="Q105" s="37"/>
      <c r="R105" s="37"/>
      <c r="S105" s="37"/>
      <c r="T105" s="37"/>
      <c r="U105" s="37"/>
      <c r="V105" s="37"/>
      <c r="W105" s="37"/>
    </row>
    <row r="106" spans="2:24" ht="16.2" x14ac:dyDescent="0.35">
      <c r="B106" s="25" t="s">
        <v>20</v>
      </c>
      <c r="C106" s="37"/>
      <c r="D106" s="37"/>
      <c r="E106" s="47"/>
      <c r="F106" s="47"/>
      <c r="G106" s="47"/>
      <c r="H106" s="47"/>
      <c r="I106" s="37"/>
      <c r="J106" s="47"/>
      <c r="K106" s="47"/>
      <c r="L106" s="47"/>
      <c r="M106" s="47"/>
      <c r="N106" s="92"/>
      <c r="O106" s="37"/>
      <c r="P106" s="37"/>
      <c r="Q106" s="37"/>
      <c r="R106" s="37"/>
      <c r="S106" s="37"/>
      <c r="T106" s="37"/>
      <c r="U106" s="37"/>
      <c r="V106" s="37"/>
      <c r="W106" s="37"/>
    </row>
    <row r="107" spans="2:24" ht="16.2" x14ac:dyDescent="0.35">
      <c r="B107" s="9" t="s">
        <v>22</v>
      </c>
      <c r="C107" s="100">
        <v>1600</v>
      </c>
      <c r="D107" s="79">
        <v>1578</v>
      </c>
      <c r="E107" s="81">
        <v>1674</v>
      </c>
      <c r="F107" s="81">
        <v>1565</v>
      </c>
      <c r="G107" s="81">
        <v>1470</v>
      </c>
      <c r="H107" s="81">
        <v>1417</v>
      </c>
      <c r="I107" s="79">
        <f>H107</f>
        <v>1417</v>
      </c>
      <c r="J107" s="81">
        <v>1365</v>
      </c>
      <c r="K107" s="81">
        <v>1300</v>
      </c>
      <c r="L107" s="81">
        <v>1195</v>
      </c>
      <c r="M107" s="99">
        <f>L107</f>
        <v>1195</v>
      </c>
      <c r="N107" s="364">
        <f>M107</f>
        <v>1195</v>
      </c>
      <c r="O107" s="40">
        <f>N107*(1+O108)</f>
        <v>1218.9000000000001</v>
      </c>
      <c r="P107" s="40">
        <f t="shared" ref="P107:W107" si="126">O107*(1+P108)</f>
        <v>1243.278</v>
      </c>
      <c r="Q107" s="40">
        <f t="shared" si="126"/>
        <v>1268.14356</v>
      </c>
      <c r="R107" s="40">
        <f t="shared" si="126"/>
        <v>1293.5064312</v>
      </c>
      <c r="S107" s="40">
        <f t="shared" si="126"/>
        <v>1319.376559824</v>
      </c>
      <c r="T107" s="40">
        <f t="shared" si="126"/>
        <v>1345.76409102048</v>
      </c>
      <c r="U107" s="40">
        <f t="shared" si="126"/>
        <v>1372.6793728408895</v>
      </c>
      <c r="V107" s="40">
        <f t="shared" si="126"/>
        <v>1400.1329602977073</v>
      </c>
      <c r="W107" s="40">
        <f t="shared" si="126"/>
        <v>1428.1356195036615</v>
      </c>
    </row>
    <row r="108" spans="2:24" ht="16.2" x14ac:dyDescent="0.35">
      <c r="B108" s="12" t="s">
        <v>6</v>
      </c>
      <c r="C108" s="37"/>
      <c r="D108" s="37"/>
      <c r="E108" s="55">
        <f>(E107/D107)-1</f>
        <v>6.083650190114076E-2</v>
      </c>
      <c r="F108" s="55">
        <f>(F107/E107)-1</f>
        <v>-6.5113500597371532E-2</v>
      </c>
      <c r="G108" s="55">
        <f t="shared" ref="G108:H108" si="127">(G107/F107)-1</f>
        <v>-6.0702875399361034E-2</v>
      </c>
      <c r="H108" s="55">
        <f t="shared" si="127"/>
        <v>-3.6054421768707434E-2</v>
      </c>
      <c r="I108" s="41">
        <f>(I107/D107)-1</f>
        <v>-0.10202788339670466</v>
      </c>
      <c r="J108" s="55">
        <f>(J107/H107)-1</f>
        <v>-3.669724770642202E-2</v>
      </c>
      <c r="K108" s="55">
        <f>(K107/J107)-1</f>
        <v>-4.7619047619047672E-2</v>
      </c>
      <c r="L108" s="55">
        <f t="shared" ref="L108:M108" si="128">(L107/K107)-1</f>
        <v>-8.0769230769230815E-2</v>
      </c>
      <c r="M108" s="55">
        <f t="shared" si="128"/>
        <v>0</v>
      </c>
      <c r="N108" s="41">
        <f>(N107/I107)-1</f>
        <v>-0.15666901905434016</v>
      </c>
      <c r="O108" s="87">
        <v>0.02</v>
      </c>
      <c r="P108" s="87">
        <v>0.02</v>
      </c>
      <c r="Q108" s="87">
        <v>0.02</v>
      </c>
      <c r="R108" s="87">
        <v>0.02</v>
      </c>
      <c r="S108" s="87">
        <v>0.02</v>
      </c>
      <c r="T108" s="87">
        <v>0.02</v>
      </c>
      <c r="U108" s="87">
        <v>0.02</v>
      </c>
      <c r="V108" s="87">
        <v>0.02</v>
      </c>
      <c r="W108" s="87">
        <v>0.02</v>
      </c>
      <c r="X108" s="348"/>
    </row>
    <row r="109" spans="2:24" ht="16.2" x14ac:dyDescent="0.35">
      <c r="B109" s="9" t="s">
        <v>45</v>
      </c>
      <c r="C109" s="40"/>
      <c r="D109" s="79">
        <v>14502</v>
      </c>
      <c r="E109" s="81">
        <v>13752</v>
      </c>
      <c r="F109" s="81">
        <v>13021</v>
      </c>
      <c r="G109" s="81">
        <v>12807</v>
      </c>
      <c r="H109" s="81">
        <v>12337</v>
      </c>
      <c r="I109" s="79">
        <f>H109</f>
        <v>12337</v>
      </c>
      <c r="J109" s="81">
        <v>12287</v>
      </c>
      <c r="K109" s="81">
        <v>11826</v>
      </c>
      <c r="L109" s="81">
        <v>11360</v>
      </c>
      <c r="M109" s="48">
        <f>L109*(1+M110)</f>
        <v>10928.32</v>
      </c>
      <c r="N109" s="45">
        <f>M109</f>
        <v>10928.32</v>
      </c>
      <c r="O109" s="40">
        <f>N109*(1+O110)</f>
        <v>10709.7536</v>
      </c>
      <c r="P109" s="40">
        <f t="shared" ref="P109:W109" si="129">O109*(1+P110)</f>
        <v>10495.558528</v>
      </c>
      <c r="Q109" s="40">
        <f t="shared" si="129"/>
        <v>10285.647357439999</v>
      </c>
      <c r="R109" s="40">
        <f t="shared" si="129"/>
        <v>10079.934410291198</v>
      </c>
      <c r="S109" s="40">
        <f t="shared" si="129"/>
        <v>9878.3357220853741</v>
      </c>
      <c r="T109" s="40">
        <f t="shared" si="129"/>
        <v>9680.7690076436666</v>
      </c>
      <c r="U109" s="40">
        <f t="shared" si="129"/>
        <v>9487.153627490794</v>
      </c>
      <c r="V109" s="40">
        <f t="shared" si="129"/>
        <v>9297.4105549409778</v>
      </c>
      <c r="W109" s="40">
        <f t="shared" si="129"/>
        <v>9111.4623438421586</v>
      </c>
    </row>
    <row r="110" spans="2:24" x14ac:dyDescent="0.3">
      <c r="B110" s="12" t="s">
        <v>6</v>
      </c>
      <c r="C110" s="37"/>
      <c r="D110" s="37"/>
      <c r="E110" s="55">
        <f>(E109/D109)-1</f>
        <v>-5.1717004551096402E-2</v>
      </c>
      <c r="F110" s="55">
        <f>(F109/E109)-1</f>
        <v>-5.3155904595695191E-2</v>
      </c>
      <c r="G110" s="55">
        <f t="shared" ref="G110:H110" si="130">(G109/F109)-1</f>
        <v>-1.6434989632132746E-2</v>
      </c>
      <c r="H110" s="55">
        <f t="shared" si="130"/>
        <v>-3.6698680409151252E-2</v>
      </c>
      <c r="I110" s="41">
        <f>(I109/D109)-1</f>
        <v>-0.14928975313749826</v>
      </c>
      <c r="J110" s="55">
        <f>(J109/H109)-1</f>
        <v>-4.0528491529545629E-3</v>
      </c>
      <c r="K110" s="55">
        <f>(K109/J109)-1</f>
        <v>-3.751932937250757E-2</v>
      </c>
      <c r="L110" s="55">
        <f t="shared" ref="L110" si="131">(L109/K109)-1</f>
        <v>-3.9404701505158179E-2</v>
      </c>
      <c r="M110" s="349">
        <v>-3.7999999999999999E-2</v>
      </c>
      <c r="N110" s="340">
        <f>(N109/I109)-1</f>
        <v>-0.11418335089567966</v>
      </c>
      <c r="O110" s="87">
        <v>-0.02</v>
      </c>
      <c r="P110" s="87">
        <v>-0.02</v>
      </c>
      <c r="Q110" s="87">
        <v>-0.02</v>
      </c>
      <c r="R110" s="87">
        <v>-0.02</v>
      </c>
      <c r="S110" s="87">
        <v>-0.02</v>
      </c>
      <c r="T110" s="87">
        <v>-0.02</v>
      </c>
      <c r="U110" s="87">
        <v>-0.02</v>
      </c>
      <c r="V110" s="87">
        <v>-0.02</v>
      </c>
      <c r="W110" s="87">
        <v>-0.02</v>
      </c>
    </row>
    <row r="111" spans="2:24" ht="16.2" x14ac:dyDescent="0.35">
      <c r="B111" s="389" t="s">
        <v>46</v>
      </c>
      <c r="C111" s="65"/>
      <c r="D111" s="86">
        <v>7215</v>
      </c>
      <c r="E111" s="81">
        <v>6661</v>
      </c>
      <c r="F111" s="81">
        <v>6138</v>
      </c>
      <c r="G111" s="81">
        <v>5804</v>
      </c>
      <c r="H111" s="81">
        <v>5278</v>
      </c>
      <c r="I111" s="86">
        <f>H111</f>
        <v>5278</v>
      </c>
      <c r="J111" s="81">
        <v>9749</v>
      </c>
      <c r="K111" s="81">
        <v>9496</v>
      </c>
      <c r="L111" s="81">
        <v>9096</v>
      </c>
      <c r="M111" s="48">
        <f>L111*(1+M112)</f>
        <v>9096</v>
      </c>
      <c r="N111" s="343">
        <f>M111</f>
        <v>9096</v>
      </c>
      <c r="O111" s="65">
        <f>N111*(1+O112)</f>
        <v>8786.3977252802724</v>
      </c>
      <c r="P111" s="65">
        <f t="shared" ref="P111:W111" si="132">O111*(1+P112)</f>
        <v>8487.3334418217164</v>
      </c>
      <c r="Q111" s="65">
        <f t="shared" si="132"/>
        <v>8198.4484660199541</v>
      </c>
      <c r="R111" s="65">
        <f t="shared" si="132"/>
        <v>7919.3963228523808</v>
      </c>
      <c r="S111" s="65">
        <f t="shared" si="132"/>
        <v>7649.8423303323561</v>
      </c>
      <c r="T111" s="65">
        <f t="shared" si="132"/>
        <v>7389.4631981074044</v>
      </c>
      <c r="U111" s="65">
        <f t="shared" si="132"/>
        <v>7137.9466397200067</v>
      </c>
      <c r="V111" s="65">
        <f t="shared" si="132"/>
        <v>6894.990998065944</v>
      </c>
      <c r="W111" s="65">
        <f t="shared" si="132"/>
        <v>6660.3048836009857</v>
      </c>
    </row>
    <row r="112" spans="2:24" x14ac:dyDescent="0.3">
      <c r="B112" s="12" t="s">
        <v>6</v>
      </c>
      <c r="C112" s="37"/>
      <c r="D112" s="37"/>
      <c r="E112" s="55">
        <f>(E111/D111)-1</f>
        <v>-7.6784476784476752E-2</v>
      </c>
      <c r="F112" s="55">
        <f>(F111/E111)-1</f>
        <v>-7.8516739228344123E-2</v>
      </c>
      <c r="G112" s="55">
        <f t="shared" ref="G112:H112" si="133">(G111/F111)-1</f>
        <v>-5.4415118931247952E-2</v>
      </c>
      <c r="H112" s="55">
        <f t="shared" si="133"/>
        <v>-9.0627153687112383E-2</v>
      </c>
      <c r="I112" s="41">
        <f>(I111/D111)-1</f>
        <v>-0.2684684684684685</v>
      </c>
      <c r="J112" s="55">
        <f>(J111/H111)-1</f>
        <v>0.84710117468738155</v>
      </c>
      <c r="K112" s="55">
        <f>(K111/J111)-1</f>
        <v>-2.5951379628679883E-2</v>
      </c>
      <c r="L112" s="55">
        <f t="shared" ref="L112" si="134">(L111/K111)-1</f>
        <v>-4.2122999157540031E-2</v>
      </c>
      <c r="M112" s="349">
        <v>0</v>
      </c>
      <c r="N112" s="41">
        <f>(N111/I111)-1</f>
        <v>0.72338006820765433</v>
      </c>
      <c r="O112" s="87">
        <f>AVERAGE(K112:L112)</f>
        <v>-3.4037189393109957E-2</v>
      </c>
      <c r="P112" s="87">
        <f>O112</f>
        <v>-3.4037189393109957E-2</v>
      </c>
      <c r="Q112" s="87">
        <f t="shared" ref="Q112:W112" si="135">P112</f>
        <v>-3.4037189393109957E-2</v>
      </c>
      <c r="R112" s="87">
        <f t="shared" si="135"/>
        <v>-3.4037189393109957E-2</v>
      </c>
      <c r="S112" s="87">
        <f t="shared" si="135"/>
        <v>-3.4037189393109957E-2</v>
      </c>
      <c r="T112" s="87">
        <f t="shared" si="135"/>
        <v>-3.4037189393109957E-2</v>
      </c>
      <c r="U112" s="87">
        <f t="shared" si="135"/>
        <v>-3.4037189393109957E-2</v>
      </c>
      <c r="V112" s="87">
        <f t="shared" si="135"/>
        <v>-3.4037189393109957E-2</v>
      </c>
      <c r="W112" s="87">
        <f t="shared" si="135"/>
        <v>-3.4037189393109957E-2</v>
      </c>
    </row>
    <row r="113" spans="2:24" ht="16.2" x14ac:dyDescent="0.35">
      <c r="B113" s="9" t="s">
        <v>47</v>
      </c>
      <c r="C113" s="40"/>
      <c r="D113" s="79">
        <v>18101</v>
      </c>
      <c r="E113" s="81">
        <v>18101</v>
      </c>
      <c r="F113" s="81">
        <v>18101</v>
      </c>
      <c r="G113" s="81">
        <v>18101</v>
      </c>
      <c r="H113" s="81">
        <v>18101</v>
      </c>
      <c r="I113" s="79">
        <f>H113</f>
        <v>18101</v>
      </c>
      <c r="J113" s="81">
        <v>23177</v>
      </c>
      <c r="K113" s="81">
        <v>23338</v>
      </c>
      <c r="L113" s="81">
        <v>23338</v>
      </c>
      <c r="M113" s="48">
        <f>L113*(1+M114)</f>
        <v>23338</v>
      </c>
      <c r="N113" s="45">
        <f>M113</f>
        <v>23338</v>
      </c>
      <c r="O113" s="100">
        <f>N113</f>
        <v>23338</v>
      </c>
      <c r="P113" s="100">
        <f t="shared" ref="P113:W113" si="136">O113</f>
        <v>23338</v>
      </c>
      <c r="Q113" s="100">
        <f t="shared" si="136"/>
        <v>23338</v>
      </c>
      <c r="R113" s="100">
        <f t="shared" si="136"/>
        <v>23338</v>
      </c>
      <c r="S113" s="100">
        <f t="shared" si="136"/>
        <v>23338</v>
      </c>
      <c r="T113" s="100">
        <f t="shared" si="136"/>
        <v>23338</v>
      </c>
      <c r="U113" s="100">
        <f t="shared" si="136"/>
        <v>23338</v>
      </c>
      <c r="V113" s="100">
        <f t="shared" si="136"/>
        <v>23338</v>
      </c>
      <c r="W113" s="100">
        <f t="shared" si="136"/>
        <v>23338</v>
      </c>
    </row>
    <row r="114" spans="2:24" x14ac:dyDescent="0.3">
      <c r="B114" s="12" t="s">
        <v>6</v>
      </c>
      <c r="C114" s="37"/>
      <c r="D114" s="37"/>
      <c r="E114" s="55">
        <f>(E113/D113)-1</f>
        <v>0</v>
      </c>
      <c r="F114" s="55">
        <f>(F113/E113)-1</f>
        <v>0</v>
      </c>
      <c r="G114" s="55">
        <f t="shared" ref="G114:H114" si="137">(G113/F113)-1</f>
        <v>0</v>
      </c>
      <c r="H114" s="55">
        <f t="shared" si="137"/>
        <v>0</v>
      </c>
      <c r="I114" s="41">
        <f>(I113/D113)-1</f>
        <v>0</v>
      </c>
      <c r="J114" s="55">
        <f>(J113/H113)-1</f>
        <v>0.28042649577371415</v>
      </c>
      <c r="K114" s="55">
        <f t="shared" ref="K114:L114" si="138">(K113/J113)-1</f>
        <v>6.9465418302627757E-3</v>
      </c>
      <c r="L114" s="55">
        <f t="shared" si="138"/>
        <v>0</v>
      </c>
      <c r="M114" s="349">
        <f>L114</f>
        <v>0</v>
      </c>
      <c r="N114" s="41">
        <f>(N113/I113)-1</f>
        <v>0.28932103198718306</v>
      </c>
      <c r="O114" s="41">
        <f>(O113/N113)-1</f>
        <v>0</v>
      </c>
      <c r="P114" s="41">
        <f t="shared" ref="P114:W114" si="139">(P113/O113)-1</f>
        <v>0</v>
      </c>
      <c r="Q114" s="41">
        <f t="shared" si="139"/>
        <v>0</v>
      </c>
      <c r="R114" s="41">
        <f t="shared" si="139"/>
        <v>0</v>
      </c>
      <c r="S114" s="41">
        <f t="shared" si="139"/>
        <v>0</v>
      </c>
      <c r="T114" s="41">
        <f t="shared" si="139"/>
        <v>0</v>
      </c>
      <c r="U114" s="41">
        <f t="shared" si="139"/>
        <v>0</v>
      </c>
      <c r="V114" s="41">
        <f t="shared" si="139"/>
        <v>0</v>
      </c>
      <c r="W114" s="41">
        <f t="shared" si="139"/>
        <v>0</v>
      </c>
    </row>
    <row r="115" spans="2:24" ht="16.2" x14ac:dyDescent="0.35">
      <c r="B115" s="389" t="s">
        <v>48</v>
      </c>
      <c r="C115" s="65"/>
      <c r="D115" s="86">
        <v>23007</v>
      </c>
      <c r="E115" s="81">
        <v>28875</v>
      </c>
      <c r="F115" s="81">
        <v>37000</v>
      </c>
      <c r="G115" s="81">
        <v>46786</v>
      </c>
      <c r="H115" s="81">
        <v>65217</v>
      </c>
      <c r="I115" s="86">
        <f>H115</f>
        <v>65217</v>
      </c>
      <c r="J115" s="81">
        <v>98396</v>
      </c>
      <c r="K115" s="81">
        <v>113029</v>
      </c>
      <c r="L115" s="81">
        <v>114816</v>
      </c>
      <c r="M115" s="48">
        <f>L115*(1+M117)</f>
        <v>118260.48</v>
      </c>
      <c r="N115" s="343">
        <f>M115</f>
        <v>118260.48</v>
      </c>
      <c r="O115" s="65">
        <f t="shared" ref="O115:W115" si="140">O116*O37</f>
        <v>152056.27706731655</v>
      </c>
      <c r="P115" s="65">
        <f t="shared" si="140"/>
        <v>190802.95349813034</v>
      </c>
      <c r="Q115" s="65">
        <f t="shared" si="140"/>
        <v>246886.0273938227</v>
      </c>
      <c r="R115" s="65">
        <f t="shared" si="140"/>
        <v>316374.95468426449</v>
      </c>
      <c r="S115" s="65">
        <f t="shared" si="140"/>
        <v>393206.87795995263</v>
      </c>
      <c r="T115" s="65">
        <f t="shared" si="140"/>
        <v>494683.37632638786</v>
      </c>
      <c r="U115" s="65">
        <f t="shared" si="140"/>
        <v>606242.03851080791</v>
      </c>
      <c r="V115" s="65">
        <f t="shared" si="140"/>
        <v>754275.51976694027</v>
      </c>
      <c r="W115" s="65">
        <f t="shared" si="140"/>
        <v>934327.44236880797</v>
      </c>
    </row>
    <row r="116" spans="2:24" ht="16.2" x14ac:dyDescent="0.35">
      <c r="B116" s="330" t="s">
        <v>209</v>
      </c>
      <c r="C116" s="65"/>
      <c r="D116" s="393">
        <f t="shared" ref="D116:N116" si="141">D115/D37</f>
        <v>0.21685486455407468</v>
      </c>
      <c r="E116" s="374">
        <f t="shared" si="141"/>
        <v>0.73794372460323543</v>
      </c>
      <c r="F116" s="374">
        <f t="shared" si="141"/>
        <v>0.7673323793525374</v>
      </c>
      <c r="G116" s="374">
        <f t="shared" si="141"/>
        <v>0.83589716102981904</v>
      </c>
      <c r="H116" s="374">
        <f t="shared" si="141"/>
        <v>1.080270328468967</v>
      </c>
      <c r="I116" s="393">
        <f t="shared" si="141"/>
        <v>0.32017772104668857</v>
      </c>
      <c r="J116" s="374">
        <f t="shared" si="141"/>
        <v>1.2661133629286496</v>
      </c>
      <c r="K116" s="374">
        <f t="shared" si="141"/>
        <v>1.9129573841519141</v>
      </c>
      <c r="L116" s="374">
        <f t="shared" si="141"/>
        <v>2.2985265855221013</v>
      </c>
      <c r="M116" s="374">
        <f t="shared" si="141"/>
        <v>1.5274079890888801</v>
      </c>
      <c r="N116" s="393">
        <f t="shared" si="141"/>
        <v>0.44765351924796332</v>
      </c>
      <c r="O116" s="400">
        <f>N116+$X$116</f>
        <v>0.45465351924796332</v>
      </c>
      <c r="P116" s="400">
        <f t="shared" ref="P116:W116" si="142">O116+$X$116</f>
        <v>0.46165351924796333</v>
      </c>
      <c r="Q116" s="400">
        <f t="shared" si="142"/>
        <v>0.46865351924796333</v>
      </c>
      <c r="R116" s="400">
        <f t="shared" si="142"/>
        <v>0.47565351924796334</v>
      </c>
      <c r="S116" s="400">
        <f t="shared" si="142"/>
        <v>0.48265351924796335</v>
      </c>
      <c r="T116" s="400">
        <f t="shared" si="142"/>
        <v>0.48965351924796335</v>
      </c>
      <c r="U116" s="400">
        <f t="shared" si="142"/>
        <v>0.49665351924796336</v>
      </c>
      <c r="V116" s="400">
        <f t="shared" si="142"/>
        <v>0.50365351924796331</v>
      </c>
      <c r="W116" s="400">
        <f t="shared" si="142"/>
        <v>0.51065351924796332</v>
      </c>
      <c r="X116" s="348">
        <v>7.0000000000000001E-3</v>
      </c>
    </row>
    <row r="117" spans="2:24" x14ac:dyDescent="0.3">
      <c r="B117" s="12" t="s">
        <v>6</v>
      </c>
      <c r="C117" s="37"/>
      <c r="D117" s="37"/>
      <c r="E117" s="55">
        <f>(E115/D115)-1</f>
        <v>0.25505281001434343</v>
      </c>
      <c r="F117" s="55">
        <f>(F115/E115)-1</f>
        <v>0.28138528138528129</v>
      </c>
      <c r="G117" s="55">
        <f t="shared" ref="G117:H117" si="143">(G115/F115)-1</f>
        <v>0.26448648648648643</v>
      </c>
      <c r="H117" s="55">
        <f t="shared" si="143"/>
        <v>0.39394263241140504</v>
      </c>
      <c r="I117" s="41">
        <f>(I115/D115)-1</f>
        <v>1.8346590168209675</v>
      </c>
      <c r="J117" s="55">
        <f>(J115/H115)-1</f>
        <v>0.50874771915298167</v>
      </c>
      <c r="K117" s="55">
        <f>(K115/J115)-1</f>
        <v>0.1487153949347535</v>
      </c>
      <c r="L117" s="55">
        <f t="shared" ref="L117" si="144">(L115/K115)-1</f>
        <v>1.581010183227316E-2</v>
      </c>
      <c r="M117" s="349">
        <v>0.03</v>
      </c>
      <c r="N117" s="340">
        <f>(N115/I115)-1</f>
        <v>0.81333824002944022</v>
      </c>
      <c r="O117" s="41">
        <f>(O115/N115)-1</f>
        <v>0.28577422539902209</v>
      </c>
      <c r="P117" s="41">
        <f t="shared" ref="P117:W117" si="145">(P115/O115)-1</f>
        <v>0.25481800013859557</v>
      </c>
      <c r="Q117" s="41">
        <f t="shared" si="145"/>
        <v>0.293931896060728</v>
      </c>
      <c r="R117" s="41">
        <f t="shared" si="145"/>
        <v>0.28146156355619034</v>
      </c>
      <c r="S117" s="41">
        <f t="shared" si="145"/>
        <v>0.24285083929088125</v>
      </c>
      <c r="T117" s="41">
        <f t="shared" si="145"/>
        <v>0.25807406750593631</v>
      </c>
      <c r="U117" s="41">
        <f t="shared" si="145"/>
        <v>0.22551528416595623</v>
      </c>
      <c r="V117" s="41">
        <f t="shared" si="145"/>
        <v>0.24418214484064227</v>
      </c>
      <c r="W117" s="41">
        <f t="shared" si="145"/>
        <v>0.2387084266734536</v>
      </c>
    </row>
    <row r="118" spans="2:24" ht="16.2" x14ac:dyDescent="0.35">
      <c r="B118" s="9" t="s">
        <v>49</v>
      </c>
      <c r="C118" s="40"/>
      <c r="D118" s="79">
        <v>5446</v>
      </c>
      <c r="E118" s="81">
        <v>5480</v>
      </c>
      <c r="F118" s="81">
        <v>1148</v>
      </c>
      <c r="G118" s="81">
        <v>1148</v>
      </c>
      <c r="H118" s="81">
        <v>1148</v>
      </c>
      <c r="I118" s="79">
        <f>H118</f>
        <v>1148</v>
      </c>
      <c r="J118" s="81">
        <v>1148</v>
      </c>
      <c r="K118" s="81">
        <v>861</v>
      </c>
      <c r="L118" s="81">
        <v>861</v>
      </c>
      <c r="M118" s="99">
        <f>L118</f>
        <v>861</v>
      </c>
      <c r="N118" s="45">
        <f>M118</f>
        <v>861</v>
      </c>
      <c r="O118" s="100">
        <v>0</v>
      </c>
      <c r="P118" s="100">
        <v>0</v>
      </c>
      <c r="Q118" s="100">
        <v>0</v>
      </c>
      <c r="R118" s="100">
        <v>0</v>
      </c>
      <c r="S118" s="100">
        <v>0</v>
      </c>
      <c r="T118" s="100">
        <v>0</v>
      </c>
      <c r="U118" s="100">
        <v>0</v>
      </c>
      <c r="V118" s="100">
        <v>0</v>
      </c>
      <c r="W118" s="100">
        <v>0</v>
      </c>
    </row>
    <row r="119" spans="2:24" x14ac:dyDescent="0.3">
      <c r="B119" s="12" t="s">
        <v>6</v>
      </c>
      <c r="C119" s="37"/>
      <c r="D119" s="37"/>
      <c r="E119" s="55">
        <f>(E118/D118)-1</f>
        <v>6.2431142122658656E-3</v>
      </c>
      <c r="F119" s="55">
        <f>(F118/E118)-1</f>
        <v>-0.79051094890510942</v>
      </c>
      <c r="G119" s="55">
        <f t="shared" ref="G119:H119" si="146">(G118/F118)-1</f>
        <v>0</v>
      </c>
      <c r="H119" s="55">
        <f t="shared" si="146"/>
        <v>0</v>
      </c>
      <c r="I119" s="41">
        <f>(I118/D118)-1</f>
        <v>-0.78920308483290491</v>
      </c>
      <c r="J119" s="55">
        <f>(J118/H118)-1</f>
        <v>0</v>
      </c>
      <c r="K119" s="55">
        <f>(K118/J118)-1</f>
        <v>-0.25</v>
      </c>
      <c r="L119" s="55">
        <f t="shared" ref="L119:M119" si="147">(L118/K118)-1</f>
        <v>0</v>
      </c>
      <c r="M119" s="55">
        <f t="shared" si="147"/>
        <v>0</v>
      </c>
      <c r="N119" s="41">
        <f>(N118/I118)-1</f>
        <v>-0.25</v>
      </c>
      <c r="O119" s="41">
        <f>(O118/N118)-1</f>
        <v>-1</v>
      </c>
      <c r="P119" s="37"/>
      <c r="Q119" s="37"/>
      <c r="R119" s="37"/>
      <c r="S119" s="37"/>
      <c r="T119" s="37"/>
      <c r="U119" s="37"/>
      <c r="V119" s="37"/>
      <c r="W119" s="37"/>
    </row>
    <row r="120" spans="2:24" ht="16.2" x14ac:dyDescent="0.35">
      <c r="B120" s="9" t="s">
        <v>50</v>
      </c>
      <c r="C120" s="40"/>
      <c r="D120" s="79">
        <v>656</v>
      </c>
      <c r="E120" s="81">
        <v>659</v>
      </c>
      <c r="F120" s="81">
        <v>938</v>
      </c>
      <c r="G120" s="81">
        <v>954</v>
      </c>
      <c r="H120" s="81">
        <v>678</v>
      </c>
      <c r="I120" s="79">
        <f>H120</f>
        <v>678</v>
      </c>
      <c r="J120" s="81">
        <v>698</v>
      </c>
      <c r="K120" s="81">
        <v>715</v>
      </c>
      <c r="L120" s="81">
        <v>41</v>
      </c>
      <c r="M120" s="99">
        <f>L120</f>
        <v>41</v>
      </c>
      <c r="N120" s="45">
        <f>M120</f>
        <v>41</v>
      </c>
      <c r="O120" s="100">
        <f>N120</f>
        <v>41</v>
      </c>
      <c r="P120" s="100">
        <f t="shared" ref="P120:W120" si="148">O120</f>
        <v>41</v>
      </c>
      <c r="Q120" s="100">
        <f t="shared" si="148"/>
        <v>41</v>
      </c>
      <c r="R120" s="100">
        <f t="shared" si="148"/>
        <v>41</v>
      </c>
      <c r="S120" s="100">
        <f t="shared" si="148"/>
        <v>41</v>
      </c>
      <c r="T120" s="100">
        <f t="shared" si="148"/>
        <v>41</v>
      </c>
      <c r="U120" s="100">
        <f t="shared" si="148"/>
        <v>41</v>
      </c>
      <c r="V120" s="100">
        <f t="shared" si="148"/>
        <v>41</v>
      </c>
      <c r="W120" s="100">
        <f t="shared" si="148"/>
        <v>41</v>
      </c>
    </row>
    <row r="121" spans="2:24" x14ac:dyDescent="0.3">
      <c r="B121" s="12" t="s">
        <v>6</v>
      </c>
      <c r="C121" s="37"/>
      <c r="D121" s="37"/>
      <c r="E121" s="55">
        <f>(E120/D120)-1</f>
        <v>4.5731707317073766E-3</v>
      </c>
      <c r="F121" s="55">
        <f>(F120/E120)-1</f>
        <v>0.42336874051593321</v>
      </c>
      <c r="G121" s="55">
        <f t="shared" ref="G121:H121" si="149">(G120/F120)-1</f>
        <v>1.7057569296375252E-2</v>
      </c>
      <c r="H121" s="55">
        <f t="shared" si="149"/>
        <v>-0.28930817610062898</v>
      </c>
      <c r="I121" s="41">
        <f>(I120/D120)-1</f>
        <v>3.3536585365853577E-2</v>
      </c>
      <c r="J121" s="55">
        <f>(J120/H120)-1</f>
        <v>2.9498525073746285E-2</v>
      </c>
      <c r="K121" s="55">
        <f>(K120/J120)-1</f>
        <v>2.4355300859598916E-2</v>
      </c>
      <c r="L121" s="55">
        <f t="shared" ref="L121:M121" si="150">(L120/K120)-1</f>
        <v>-0.94265734265734269</v>
      </c>
      <c r="M121" s="55">
        <f t="shared" si="150"/>
        <v>0</v>
      </c>
      <c r="N121" s="340">
        <f>(N120/I120)-1</f>
        <v>-0.93952802359882004</v>
      </c>
      <c r="O121" s="41">
        <f>(O120/N120)-1</f>
        <v>0</v>
      </c>
      <c r="P121" s="41">
        <f t="shared" ref="P121:W121" si="151">(P120/O120)-1</f>
        <v>0</v>
      </c>
      <c r="Q121" s="41">
        <f t="shared" si="151"/>
        <v>0</v>
      </c>
      <c r="R121" s="41">
        <f t="shared" si="151"/>
        <v>0</v>
      </c>
      <c r="S121" s="41">
        <f t="shared" si="151"/>
        <v>0</v>
      </c>
      <c r="T121" s="41">
        <f t="shared" si="151"/>
        <v>0</v>
      </c>
      <c r="U121" s="41">
        <f t="shared" si="151"/>
        <v>0</v>
      </c>
      <c r="V121" s="41">
        <f t="shared" si="151"/>
        <v>0</v>
      </c>
      <c r="W121" s="41">
        <f t="shared" si="151"/>
        <v>0</v>
      </c>
    </row>
    <row r="122" spans="2:24" ht="16.2" x14ac:dyDescent="0.35">
      <c r="B122" s="9" t="s">
        <v>51</v>
      </c>
      <c r="C122" s="40"/>
      <c r="D122" s="79">
        <v>1134</v>
      </c>
      <c r="E122" s="81">
        <v>1134</v>
      </c>
      <c r="F122" s="81">
        <v>0</v>
      </c>
      <c r="G122" s="81">
        <v>0</v>
      </c>
      <c r="H122" s="81">
        <v>0</v>
      </c>
      <c r="I122" s="79">
        <v>0</v>
      </c>
      <c r="J122" s="81">
        <v>0</v>
      </c>
      <c r="K122" s="81">
        <v>0</v>
      </c>
      <c r="L122" s="81">
        <v>0</v>
      </c>
      <c r="M122" s="99">
        <v>0</v>
      </c>
      <c r="N122" s="364">
        <v>0</v>
      </c>
      <c r="O122" s="364">
        <v>0</v>
      </c>
      <c r="P122" s="364">
        <v>0</v>
      </c>
      <c r="Q122" s="364">
        <v>0</v>
      </c>
      <c r="R122" s="364">
        <v>0</v>
      </c>
      <c r="S122" s="364">
        <v>0</v>
      </c>
      <c r="T122" s="364">
        <v>0</v>
      </c>
      <c r="U122" s="364">
        <v>0</v>
      </c>
      <c r="V122" s="364">
        <v>0</v>
      </c>
      <c r="W122" s="100">
        <v>0</v>
      </c>
    </row>
    <row r="123" spans="2:24" ht="16.2" x14ac:dyDescent="0.35">
      <c r="B123" s="9"/>
      <c r="C123" s="40"/>
      <c r="D123" s="79"/>
      <c r="E123" s="81"/>
      <c r="F123" s="81"/>
      <c r="G123" s="81"/>
      <c r="H123" s="81"/>
      <c r="I123" s="79"/>
      <c r="J123" s="81"/>
      <c r="K123" s="81"/>
      <c r="L123" s="81"/>
      <c r="M123" s="48"/>
      <c r="N123" s="45"/>
      <c r="O123" s="40"/>
      <c r="P123" s="40"/>
      <c r="Q123" s="40"/>
      <c r="R123" s="40"/>
      <c r="S123" s="40"/>
      <c r="T123" s="40"/>
      <c r="U123" s="40"/>
      <c r="V123" s="40"/>
      <c r="W123" s="40"/>
    </row>
    <row r="124" spans="2:24" ht="16.2" x14ac:dyDescent="0.35">
      <c r="B124" s="9" t="s">
        <v>52</v>
      </c>
      <c r="C124" s="40"/>
      <c r="D124" s="79">
        <v>118033</v>
      </c>
      <c r="E124" s="81">
        <v>106217</v>
      </c>
      <c r="F124" s="81">
        <v>179087</v>
      </c>
      <c r="G124" s="81">
        <v>245297</v>
      </c>
      <c r="H124" s="81">
        <v>593235</v>
      </c>
      <c r="I124" s="79">
        <f>H124</f>
        <v>593235</v>
      </c>
      <c r="J124" s="81">
        <v>1188659</v>
      </c>
      <c r="K124" s="81">
        <v>1235648</v>
      </c>
      <c r="L124" s="81">
        <v>0</v>
      </c>
      <c r="M124" s="99">
        <f>L124</f>
        <v>0</v>
      </c>
      <c r="N124" s="364">
        <f>M124</f>
        <v>0</v>
      </c>
      <c r="O124" s="364">
        <f t="shared" ref="O124:W124" si="152">N124</f>
        <v>0</v>
      </c>
      <c r="P124" s="364">
        <f t="shared" si="152"/>
        <v>0</v>
      </c>
      <c r="Q124" s="364">
        <f t="shared" si="152"/>
        <v>0</v>
      </c>
      <c r="R124" s="364">
        <f t="shared" si="152"/>
        <v>0</v>
      </c>
      <c r="S124" s="364">
        <f t="shared" si="152"/>
        <v>0</v>
      </c>
      <c r="T124" s="364">
        <f t="shared" si="152"/>
        <v>0</v>
      </c>
      <c r="U124" s="364">
        <f t="shared" si="152"/>
        <v>0</v>
      </c>
      <c r="V124" s="364">
        <f t="shared" si="152"/>
        <v>0</v>
      </c>
      <c r="W124" s="100">
        <f t="shared" si="152"/>
        <v>0</v>
      </c>
    </row>
    <row r="125" spans="2:24" x14ac:dyDescent="0.3">
      <c r="B125" s="12" t="s">
        <v>6</v>
      </c>
      <c r="C125" s="37"/>
      <c r="D125" s="37"/>
      <c r="E125" s="55">
        <f>(E124/D124)-1</f>
        <v>-0.1001075970279498</v>
      </c>
      <c r="F125" s="55">
        <f>(F124/E124)-1</f>
        <v>0.68604837267104135</v>
      </c>
      <c r="G125" s="55">
        <f t="shared" ref="G125:H125" si="153">(G124/F124)-1</f>
        <v>0.36970857739534413</v>
      </c>
      <c r="H125" s="55">
        <f t="shared" si="153"/>
        <v>1.4184356107086513</v>
      </c>
      <c r="I125" s="41">
        <f>(I124/D124)-1</f>
        <v>4.0260096752603083</v>
      </c>
      <c r="J125" s="55">
        <f>(J124/H124)-1</f>
        <v>1.0036899373772621</v>
      </c>
      <c r="K125" s="55">
        <f>(K124/J124)-1</f>
        <v>3.9531101855115658E-2</v>
      </c>
      <c r="L125" s="55">
        <f t="shared" ref="L125" si="154">(L124/K124)-1</f>
        <v>-1</v>
      </c>
      <c r="M125" s="47"/>
      <c r="N125" s="41"/>
      <c r="O125" s="37"/>
      <c r="P125" s="37"/>
      <c r="Q125" s="37"/>
      <c r="R125" s="37"/>
      <c r="S125" s="37"/>
      <c r="T125" s="37"/>
      <c r="U125" s="37"/>
      <c r="V125" s="37"/>
      <c r="W125" s="37"/>
    </row>
    <row r="126" spans="2:24" ht="16.2" x14ac:dyDescent="0.35">
      <c r="B126" s="389" t="s">
        <v>53</v>
      </c>
      <c r="C126" s="65">
        <v>142222</v>
      </c>
      <c r="D126" s="86">
        <v>160907</v>
      </c>
      <c r="E126" s="81">
        <v>172533</v>
      </c>
      <c r="F126" s="81">
        <v>191648</v>
      </c>
      <c r="G126" s="81">
        <v>205759</v>
      </c>
      <c r="H126" s="81">
        <v>254481</v>
      </c>
      <c r="I126" s="86">
        <f>H126</f>
        <v>254481</v>
      </c>
      <c r="J126" s="81">
        <v>343801</v>
      </c>
      <c r="K126" s="81">
        <v>382797</v>
      </c>
      <c r="L126" s="81">
        <v>366676</v>
      </c>
      <c r="M126" s="48">
        <f>M127*M13</f>
        <v>365255.98499999993</v>
      </c>
      <c r="N126" s="343">
        <f>M126</f>
        <v>365255.98499999993</v>
      </c>
      <c r="O126" s="65">
        <f t="shared" ref="O126:W126" si="155">O127*O13</f>
        <v>421047.55847140198</v>
      </c>
      <c r="P126" s="65">
        <f t="shared" si="155"/>
        <v>519124.59624806547</v>
      </c>
      <c r="Q126" s="65">
        <f t="shared" si="155"/>
        <v>634544.56007536012</v>
      </c>
      <c r="R126" s="65">
        <f t="shared" si="155"/>
        <v>769020.14310360269</v>
      </c>
      <c r="S126" s="65">
        <f t="shared" si="155"/>
        <v>924128.29132347135</v>
      </c>
      <c r="T126" s="65">
        <f t="shared" si="155"/>
        <v>1101231.3422787869</v>
      </c>
      <c r="U126" s="65">
        <f t="shared" si="155"/>
        <v>1301392.5223279218</v>
      </c>
      <c r="V126" s="65">
        <f t="shared" si="155"/>
        <v>1525288.9460877827</v>
      </c>
      <c r="W126" s="65">
        <f t="shared" si="155"/>
        <v>1773125.9222234383</v>
      </c>
    </row>
    <row r="127" spans="2:24" ht="16.2" x14ac:dyDescent="0.35">
      <c r="B127" s="12" t="s">
        <v>80</v>
      </c>
      <c r="C127" s="40"/>
      <c r="D127" s="88">
        <f t="shared" ref="D127:L127" si="156">D126/D13</f>
        <v>0.51895439592336967</v>
      </c>
      <c r="E127" s="374">
        <f t="shared" si="156"/>
        <v>1.4689410322338958</v>
      </c>
      <c r="F127" s="374">
        <f t="shared" si="156"/>
        <v>1.5566836970912901</v>
      </c>
      <c r="G127" s="374">
        <f t="shared" si="156"/>
        <v>1.3725776648188543</v>
      </c>
      <c r="H127" s="374">
        <f t="shared" si="156"/>
        <v>1.6069574771725541</v>
      </c>
      <c r="I127" s="88">
        <f t="shared" si="156"/>
        <v>0.46367403012921893</v>
      </c>
      <c r="J127" s="374">
        <f t="shared" si="156"/>
        <v>1.3466390915892097</v>
      </c>
      <c r="K127" s="374">
        <f t="shared" si="156"/>
        <v>2.0680551053484604</v>
      </c>
      <c r="L127" s="374">
        <f t="shared" si="156"/>
        <v>2.655283033897446</v>
      </c>
      <c r="M127" s="349">
        <v>2.2999999999999998</v>
      </c>
      <c r="N127" s="88">
        <f>N126/N13</f>
        <v>0.49539471529308265</v>
      </c>
      <c r="O127" s="87">
        <v>0.47</v>
      </c>
      <c r="P127" s="87">
        <f>O127+$X$127</f>
        <v>0.47499999999999998</v>
      </c>
      <c r="Q127" s="87">
        <f t="shared" ref="Q127:W127" si="157">P127+$X$127</f>
        <v>0.48</v>
      </c>
      <c r="R127" s="87">
        <f t="shared" si="157"/>
        <v>0.48499999999999999</v>
      </c>
      <c r="S127" s="87">
        <f t="shared" si="157"/>
        <v>0.49</v>
      </c>
      <c r="T127" s="87">
        <f t="shared" si="157"/>
        <v>0.495</v>
      </c>
      <c r="U127" s="87">
        <f t="shared" si="157"/>
        <v>0.5</v>
      </c>
      <c r="V127" s="87">
        <f t="shared" si="157"/>
        <v>0.505</v>
      </c>
      <c r="W127" s="87">
        <f t="shared" si="157"/>
        <v>0.51</v>
      </c>
      <c r="X127" s="348">
        <v>5.0000000000000001E-3</v>
      </c>
    </row>
    <row r="128" spans="2:24" x14ac:dyDescent="0.3">
      <c r="B128" s="12" t="s">
        <v>6</v>
      </c>
      <c r="C128" s="37"/>
      <c r="D128" s="41">
        <f>(D126/C126)-1</f>
        <v>0.1313791115298617</v>
      </c>
      <c r="E128" s="55">
        <f>(E126/D126)-1</f>
        <v>7.2252916280832968E-2</v>
      </c>
      <c r="F128" s="55">
        <f>(F126/E126)-1</f>
        <v>0.11079039951777347</v>
      </c>
      <c r="G128" s="55">
        <f>(G126/F126)-1</f>
        <v>7.3629779595925759E-2</v>
      </c>
      <c r="H128" s="55">
        <f>(H126/G126)-1</f>
        <v>0.23679158627326147</v>
      </c>
      <c r="I128" s="41">
        <f>(I126/D126)-1</f>
        <v>0.5815408900793626</v>
      </c>
      <c r="J128" s="55">
        <f>(J126/H126)-1</f>
        <v>0.35098887539737733</v>
      </c>
      <c r="K128" s="55">
        <f>(K126/J126)-1</f>
        <v>0.1134260807851053</v>
      </c>
      <c r="L128" s="55">
        <f>(L126/K126)-1</f>
        <v>-4.2113705175327865E-2</v>
      </c>
      <c r="M128" s="55">
        <f>(M126/L126)-1</f>
        <v>-3.8726696047739484E-3</v>
      </c>
      <c r="N128" s="41">
        <f>(N126/I126)-1</f>
        <v>0.43529766465865793</v>
      </c>
      <c r="O128" s="41">
        <f t="shared" ref="O128:W128" si="158">(O126/N126)-1</f>
        <v>0.15274650043421478</v>
      </c>
      <c r="P128" s="41">
        <f t="shared" si="158"/>
        <v>0.23293577127659559</v>
      </c>
      <c r="Q128" s="41">
        <f t="shared" si="158"/>
        <v>0.22233576421052659</v>
      </c>
      <c r="R128" s="41">
        <f t="shared" si="158"/>
        <v>0.21192456998177067</v>
      </c>
      <c r="S128" s="41">
        <f t="shared" si="158"/>
        <v>0.20169581981804141</v>
      </c>
      <c r="T128" s="41">
        <f t="shared" si="158"/>
        <v>0.1916433601461125</v>
      </c>
      <c r="U128" s="41">
        <f t="shared" si="158"/>
        <v>0.18176124522113568</v>
      </c>
      <c r="V128" s="41">
        <f t="shared" si="158"/>
        <v>0.17204373001879292</v>
      </c>
      <c r="W128" s="41">
        <f t="shared" si="158"/>
        <v>0.16248526337998648</v>
      </c>
    </row>
    <row r="129" spans="2:24" ht="16.2" x14ac:dyDescent="0.35">
      <c r="B129" s="9" t="s">
        <v>54</v>
      </c>
      <c r="C129" s="40"/>
      <c r="D129" s="79">
        <v>1274</v>
      </c>
      <c r="E129" s="81">
        <v>1147</v>
      </c>
      <c r="F129" s="81">
        <v>2271</v>
      </c>
      <c r="G129" s="81">
        <v>3148</v>
      </c>
      <c r="H129" s="81">
        <v>4343</v>
      </c>
      <c r="I129" s="79">
        <f>H129</f>
        <v>4343</v>
      </c>
      <c r="J129" s="81">
        <v>4737</v>
      </c>
      <c r="K129" s="81">
        <v>1955</v>
      </c>
      <c r="L129" s="81">
        <v>2205</v>
      </c>
      <c r="M129" s="48">
        <f>L129*(1+M130)</f>
        <v>2425.5</v>
      </c>
      <c r="N129" s="45">
        <f>M129</f>
        <v>2425.5</v>
      </c>
      <c r="O129" s="40">
        <f>N129*(1+O130)</f>
        <v>2425.5</v>
      </c>
      <c r="P129" s="40">
        <f t="shared" ref="P129:W129" si="159">O129*(1+P130)</f>
        <v>2425.5</v>
      </c>
      <c r="Q129" s="40">
        <f t="shared" si="159"/>
        <v>2425.5</v>
      </c>
      <c r="R129" s="40">
        <f t="shared" si="159"/>
        <v>2425.5</v>
      </c>
      <c r="S129" s="40">
        <f t="shared" si="159"/>
        <v>2425.5</v>
      </c>
      <c r="T129" s="40">
        <f t="shared" si="159"/>
        <v>2425.5</v>
      </c>
      <c r="U129" s="40">
        <f t="shared" si="159"/>
        <v>2425.5</v>
      </c>
      <c r="V129" s="40">
        <f t="shared" si="159"/>
        <v>2425.5</v>
      </c>
      <c r="W129" s="40">
        <f t="shared" si="159"/>
        <v>2425.5</v>
      </c>
    </row>
    <row r="130" spans="2:24" x14ac:dyDescent="0.3">
      <c r="B130" s="12" t="s">
        <v>6</v>
      </c>
      <c r="C130" s="37"/>
      <c r="D130" s="37"/>
      <c r="E130" s="55">
        <f>(E129/D129)-1</f>
        <v>-9.9686028257456871E-2</v>
      </c>
      <c r="F130" s="55">
        <f>(F129/E129)-1</f>
        <v>0.97994768962510892</v>
      </c>
      <c r="G130" s="55">
        <f t="shared" ref="G130:H130" si="160">(G129/F129)-1</f>
        <v>0.38617349185380889</v>
      </c>
      <c r="H130" s="55">
        <f t="shared" si="160"/>
        <v>0.37960609911054632</v>
      </c>
      <c r="I130" s="41">
        <f>(I129/D129)-1</f>
        <v>2.4089481946624804</v>
      </c>
      <c r="J130" s="55">
        <f>(J129/H129)-1</f>
        <v>9.0720699976974517E-2</v>
      </c>
      <c r="K130" s="55">
        <f>(K129/J129)-1</f>
        <v>-0.58729153472662021</v>
      </c>
      <c r="L130" s="55">
        <f t="shared" ref="L130" si="161">(L129/K129)-1</f>
        <v>0.12787723785166238</v>
      </c>
      <c r="M130" s="349">
        <v>0.1</v>
      </c>
      <c r="N130" s="340">
        <f>(N129/I129)-1</f>
        <v>-0.44151508174073217</v>
      </c>
      <c r="O130" s="341">
        <v>0</v>
      </c>
      <c r="P130" s="341">
        <v>0</v>
      </c>
      <c r="Q130" s="341">
        <v>0</v>
      </c>
      <c r="R130" s="341">
        <v>0</v>
      </c>
      <c r="S130" s="341">
        <v>0</v>
      </c>
      <c r="T130" s="341">
        <v>0</v>
      </c>
      <c r="U130" s="341">
        <v>0</v>
      </c>
      <c r="V130" s="341">
        <v>0</v>
      </c>
      <c r="W130" s="87">
        <v>0</v>
      </c>
    </row>
    <row r="131" spans="2:24" ht="16.2" x14ac:dyDescent="0.35">
      <c r="B131" s="9" t="s">
        <v>55</v>
      </c>
      <c r="C131" s="40"/>
      <c r="D131" s="79">
        <v>8490</v>
      </c>
      <c r="E131" s="81">
        <v>8260</v>
      </c>
      <c r="F131" s="81">
        <v>8027</v>
      </c>
      <c r="G131" s="81">
        <v>8103</v>
      </c>
      <c r="H131" s="81">
        <v>7826</v>
      </c>
      <c r="I131" s="79">
        <f>H131</f>
        <v>7826</v>
      </c>
      <c r="J131" s="81">
        <v>7829</v>
      </c>
      <c r="K131" s="81">
        <v>7512</v>
      </c>
      <c r="L131" s="81">
        <v>7190</v>
      </c>
      <c r="M131" s="99">
        <f>L131</f>
        <v>7190</v>
      </c>
      <c r="N131" s="45">
        <f>M131</f>
        <v>7190</v>
      </c>
      <c r="O131" s="40">
        <f>N131*(1+O132)</f>
        <v>6614.8</v>
      </c>
      <c r="P131" s="40">
        <f t="shared" ref="P131:W131" si="162">O131*(1+P132)</f>
        <v>6085.616</v>
      </c>
      <c r="Q131" s="40">
        <f t="shared" si="162"/>
        <v>5598.7667200000005</v>
      </c>
      <c r="R131" s="40">
        <f t="shared" si="162"/>
        <v>5150.8653824000003</v>
      </c>
      <c r="S131" s="40">
        <f t="shared" si="162"/>
        <v>4738.7961518080001</v>
      </c>
      <c r="T131" s="40">
        <f t="shared" si="162"/>
        <v>4359.6924596633598</v>
      </c>
      <c r="U131" s="40">
        <f t="shared" si="162"/>
        <v>4010.9170628902912</v>
      </c>
      <c r="V131" s="40">
        <f t="shared" si="162"/>
        <v>3690.0436978590678</v>
      </c>
      <c r="W131" s="40">
        <f t="shared" si="162"/>
        <v>3394.8402020303424</v>
      </c>
    </row>
    <row r="132" spans="2:24" x14ac:dyDescent="0.3">
      <c r="B132" s="12" t="s">
        <v>6</v>
      </c>
      <c r="C132" s="37"/>
      <c r="D132" s="37"/>
      <c r="E132" s="55">
        <f>(E131/D131)-1</f>
        <v>-2.7090694935217874E-2</v>
      </c>
      <c r="F132" s="55">
        <f>(F131/E131)-1</f>
        <v>-2.820823244552062E-2</v>
      </c>
      <c r="G132" s="55">
        <f t="shared" ref="G132:H132" si="163">(G131/F131)-1</f>
        <v>9.4680453469540016E-3</v>
      </c>
      <c r="H132" s="55">
        <f t="shared" si="163"/>
        <v>-3.4184869801308193E-2</v>
      </c>
      <c r="I132" s="41">
        <f>(I131/D131)-1</f>
        <v>-7.8209658421672601E-2</v>
      </c>
      <c r="J132" s="55">
        <f>(J131/H131)-1</f>
        <v>3.8333759263986522E-4</v>
      </c>
      <c r="K132" s="55">
        <f>(K131/J131)-1</f>
        <v>-4.0490484097585933E-2</v>
      </c>
      <c r="L132" s="55">
        <f t="shared" ref="L132:M132" si="164">(L131/K131)-1</f>
        <v>-4.2864749733759311E-2</v>
      </c>
      <c r="M132" s="55">
        <f t="shared" si="164"/>
        <v>0</v>
      </c>
      <c r="N132" s="41">
        <f>(N131/I131)-1</f>
        <v>-8.126756963966264E-2</v>
      </c>
      <c r="O132" s="87">
        <v>-0.08</v>
      </c>
      <c r="P132" s="87">
        <v>-0.08</v>
      </c>
      <c r="Q132" s="87">
        <v>-0.08</v>
      </c>
      <c r="R132" s="87">
        <v>-0.08</v>
      </c>
      <c r="S132" s="87">
        <v>-0.08</v>
      </c>
      <c r="T132" s="87">
        <v>-0.08</v>
      </c>
      <c r="U132" s="87">
        <v>-0.08</v>
      </c>
      <c r="V132" s="87">
        <v>-0.08</v>
      </c>
      <c r="W132" s="87">
        <v>-0.08</v>
      </c>
    </row>
    <row r="133" spans="2:24" x14ac:dyDescent="0.3">
      <c r="B133" s="26"/>
      <c r="C133" s="37"/>
      <c r="D133" s="37"/>
      <c r="E133" s="47"/>
      <c r="F133" s="47"/>
      <c r="G133" s="47"/>
      <c r="H133" s="47"/>
      <c r="I133" s="37"/>
      <c r="J133" s="47"/>
      <c r="K133" s="47"/>
      <c r="L133" s="48"/>
      <c r="M133" s="47"/>
      <c r="N133" s="92"/>
      <c r="O133" s="37"/>
      <c r="P133" s="37"/>
      <c r="Q133" s="37"/>
      <c r="R133" s="37"/>
      <c r="S133" s="37"/>
      <c r="T133" s="37"/>
      <c r="U133" s="37"/>
      <c r="V133" s="37"/>
      <c r="W133" s="37"/>
    </row>
    <row r="134" spans="2:24" ht="16.2" x14ac:dyDescent="0.35">
      <c r="B134" s="25" t="s">
        <v>23</v>
      </c>
      <c r="C134" s="37"/>
      <c r="D134" s="37"/>
      <c r="E134" s="47"/>
      <c r="F134" s="47"/>
      <c r="G134" s="47"/>
      <c r="H134" s="47"/>
      <c r="I134" s="37"/>
      <c r="J134" s="47"/>
      <c r="K134" s="47"/>
      <c r="L134" s="47"/>
      <c r="M134" s="47"/>
      <c r="N134" s="92"/>
      <c r="O134" s="37"/>
      <c r="P134" s="37"/>
      <c r="Q134" s="37"/>
      <c r="R134" s="37"/>
      <c r="S134" s="37"/>
      <c r="T134" s="37"/>
      <c r="U134" s="37"/>
      <c r="V134" s="37"/>
      <c r="W134" s="37"/>
    </row>
    <row r="135" spans="2:24" ht="16.2" x14ac:dyDescent="0.35">
      <c r="B135" s="9" t="s">
        <v>21</v>
      </c>
      <c r="C135" s="40"/>
      <c r="D135" s="79">
        <v>170520</v>
      </c>
      <c r="E135" s="81">
        <v>94688</v>
      </c>
      <c r="F135" s="81">
        <v>119479</v>
      </c>
      <c r="G135" s="81">
        <v>155089</v>
      </c>
      <c r="H135" s="81">
        <v>114422</v>
      </c>
      <c r="I135" s="79">
        <f>H135</f>
        <v>114422</v>
      </c>
      <c r="J135" s="81">
        <v>184712</v>
      </c>
      <c r="K135" s="81">
        <v>241532</v>
      </c>
      <c r="L135" s="81">
        <v>137588</v>
      </c>
      <c r="M135" s="99">
        <f>AVERAGE(J135:L135)</f>
        <v>187944</v>
      </c>
      <c r="N135" s="45">
        <f>M135</f>
        <v>187944</v>
      </c>
      <c r="O135" s="379">
        <f t="shared" ref="O135:W135" si="165">N135+O82+O88+O91-O207</f>
        <v>156588.63014396458</v>
      </c>
      <c r="P135" s="379">
        <f t="shared" si="165"/>
        <v>247244.00874513981</v>
      </c>
      <c r="Q135" s="379">
        <f t="shared" si="165"/>
        <v>359153.05698687996</v>
      </c>
      <c r="R135" s="379">
        <f t="shared" si="165"/>
        <v>502364.25499777345</v>
      </c>
      <c r="S135" s="379">
        <f t="shared" si="165"/>
        <v>680248.53766268131</v>
      </c>
      <c r="T135" s="379">
        <f t="shared" si="165"/>
        <v>903914.41426218522</v>
      </c>
      <c r="U135" s="379">
        <f t="shared" si="165"/>
        <v>1202199.2777314179</v>
      </c>
      <c r="V135" s="379">
        <f t="shared" si="165"/>
        <v>1572917.8689700626</v>
      </c>
      <c r="W135" s="379">
        <f t="shared" si="165"/>
        <v>2183145.7946178154</v>
      </c>
    </row>
    <row r="136" spans="2:24" ht="16.2" x14ac:dyDescent="0.35">
      <c r="B136" s="25"/>
      <c r="C136" s="37"/>
      <c r="D136" s="37"/>
      <c r="E136" s="47"/>
      <c r="F136" s="47"/>
      <c r="G136" s="47"/>
      <c r="H136" s="47"/>
      <c r="I136" s="37"/>
      <c r="J136" s="47"/>
      <c r="K136" s="47"/>
      <c r="L136" s="47"/>
      <c r="M136" s="47"/>
      <c r="N136" s="92"/>
      <c r="O136" s="37"/>
      <c r="P136" s="37"/>
      <c r="Q136" s="37"/>
      <c r="R136" s="37"/>
      <c r="S136" s="37"/>
      <c r="T136" s="37"/>
      <c r="U136" s="37"/>
      <c r="V136" s="37"/>
      <c r="W136" s="37"/>
    </row>
    <row r="137" spans="2:24" ht="16.2" x14ac:dyDescent="0.35">
      <c r="B137" s="15" t="s">
        <v>24</v>
      </c>
      <c r="C137" s="40"/>
      <c r="D137" s="79">
        <v>7332</v>
      </c>
      <c r="E137" s="81">
        <v>6887</v>
      </c>
      <c r="F137" s="81">
        <v>7945</v>
      </c>
      <c r="G137" s="81">
        <v>7787</v>
      </c>
      <c r="H137" s="81">
        <v>12398</v>
      </c>
      <c r="I137" s="79">
        <f>H137</f>
        <v>12398</v>
      </c>
      <c r="J137" s="81">
        <v>13119</v>
      </c>
      <c r="K137" s="81">
        <v>8965</v>
      </c>
      <c r="L137" s="81">
        <v>6817</v>
      </c>
      <c r="M137" s="99">
        <f>K137</f>
        <v>8965</v>
      </c>
      <c r="N137" s="45">
        <f>M137</f>
        <v>8965</v>
      </c>
      <c r="O137" s="40">
        <f t="shared" ref="O137:W137" si="166">O138*(O25/365)</f>
        <v>18325.71495760274</v>
      </c>
      <c r="P137" s="40">
        <f t="shared" si="166"/>
        <v>22303.627064725468</v>
      </c>
      <c r="Q137" s="40">
        <f t="shared" si="166"/>
        <v>27999.707496184485</v>
      </c>
      <c r="R137" s="40">
        <f t="shared" si="166"/>
        <v>35170.280025081964</v>
      </c>
      <c r="S137" s="40">
        <f t="shared" si="166"/>
        <v>42854.259287364519</v>
      </c>
      <c r="T137" s="40">
        <f t="shared" si="166"/>
        <v>52866.302767112989</v>
      </c>
      <c r="U137" s="40">
        <f t="shared" si="166"/>
        <v>64837.638973497691</v>
      </c>
      <c r="V137" s="40">
        <f t="shared" si="166"/>
        <v>79129.970516426678</v>
      </c>
      <c r="W137" s="40">
        <f t="shared" si="166"/>
        <v>96163.815084015252</v>
      </c>
    </row>
    <row r="138" spans="2:24" ht="16.2" x14ac:dyDescent="0.35">
      <c r="B138" s="27" t="s">
        <v>25</v>
      </c>
      <c r="C138" s="37"/>
      <c r="D138" s="72">
        <f>(D137/D25)*365</f>
        <v>9.8308372180161108</v>
      </c>
      <c r="E138" s="73">
        <f>(E137/E25)*365</f>
        <v>32.910306093058573</v>
      </c>
      <c r="F138" s="74">
        <f>(AVERAGE(F137,E137)/F25)*365</f>
        <v>32.693278579624369</v>
      </c>
      <c r="G138" s="74">
        <f>(AVERAGE(G137,F137)/G25)*365</f>
        <v>29.249381106164488</v>
      </c>
      <c r="H138" s="74">
        <f>(AVERAGE(H137,G137)/H25)*365</f>
        <v>34.478276536600433</v>
      </c>
      <c r="I138" s="72">
        <f>(AVERAGE(I137,D137)/I25)*365</f>
        <v>9.8872395168310092</v>
      </c>
      <c r="J138" s="73">
        <f>(J137/J25)*365</f>
        <v>39.998955844763351</v>
      </c>
      <c r="K138" s="74">
        <f>(AVERAGE(K137,J137)/K25)*365</f>
        <v>28.356645324702736</v>
      </c>
      <c r="L138" s="74">
        <f>(AVERAGE(L137,K137)/L25)*365</f>
        <v>20.475413565370697</v>
      </c>
      <c r="M138" s="74">
        <f>(AVERAGE(M137,L137)/M25)*365</f>
        <v>20.475413565370697</v>
      </c>
      <c r="N138" s="72">
        <f>(AVERAGE(N137,I137)/N25)*365</f>
        <v>7.1776609141018231</v>
      </c>
      <c r="O138" s="375">
        <v>9.8000000000000007</v>
      </c>
      <c r="P138" s="375">
        <f>O138+$X$138</f>
        <v>9.75</v>
      </c>
      <c r="Q138" s="375">
        <f t="shared" ref="Q138:W138" si="167">P138+$X$138</f>
        <v>9.6999999999999993</v>
      </c>
      <c r="R138" s="375">
        <f t="shared" si="167"/>
        <v>9.6499999999999986</v>
      </c>
      <c r="S138" s="375">
        <f t="shared" si="167"/>
        <v>9.5999999999999979</v>
      </c>
      <c r="T138" s="375">
        <f t="shared" si="167"/>
        <v>9.5499999999999972</v>
      </c>
      <c r="U138" s="375">
        <f t="shared" si="167"/>
        <v>9.4999999999999964</v>
      </c>
      <c r="V138" s="375">
        <f t="shared" si="167"/>
        <v>9.4499999999999957</v>
      </c>
      <c r="W138" s="375">
        <f t="shared" si="167"/>
        <v>9.399999999999995</v>
      </c>
      <c r="X138" s="376">
        <v>-0.05</v>
      </c>
    </row>
    <row r="139" spans="2:24" x14ac:dyDescent="0.3">
      <c r="B139" s="27" t="s">
        <v>81</v>
      </c>
      <c r="C139" s="37"/>
      <c r="D139" s="72"/>
      <c r="E139" s="73"/>
      <c r="F139" s="48">
        <f>F137-E137</f>
        <v>1058</v>
      </c>
      <c r="G139" s="48">
        <f t="shared" ref="G139:H139" si="168">G137-F137</f>
        <v>-158</v>
      </c>
      <c r="H139" s="48">
        <f t="shared" si="168"/>
        <v>4611</v>
      </c>
      <c r="I139" s="40">
        <f>I137-D137</f>
        <v>5066</v>
      </c>
      <c r="J139" s="62">
        <f>J137-H137</f>
        <v>721</v>
      </c>
      <c r="K139" s="48">
        <f t="shared" ref="K139:M139" si="169">K137-J137</f>
        <v>-4154</v>
      </c>
      <c r="L139" s="48">
        <f t="shared" si="169"/>
        <v>-2148</v>
      </c>
      <c r="M139" s="48">
        <f t="shared" si="169"/>
        <v>2148</v>
      </c>
      <c r="N139" s="40">
        <f>N137-I137</f>
        <v>-3433</v>
      </c>
      <c r="O139" s="40">
        <f>O137-N137</f>
        <v>9360.7149576027405</v>
      </c>
      <c r="P139" s="40">
        <f t="shared" ref="P139:W139" si="170">P137-O137</f>
        <v>3977.9121071227273</v>
      </c>
      <c r="Q139" s="40">
        <f t="shared" si="170"/>
        <v>5696.0804314590168</v>
      </c>
      <c r="R139" s="40">
        <f t="shared" si="170"/>
        <v>7170.5725288974791</v>
      </c>
      <c r="S139" s="40">
        <f t="shared" si="170"/>
        <v>7683.9792622825553</v>
      </c>
      <c r="T139" s="40">
        <f t="shared" si="170"/>
        <v>10012.04347974847</v>
      </c>
      <c r="U139" s="40">
        <f t="shared" si="170"/>
        <v>11971.336206384702</v>
      </c>
      <c r="V139" s="40">
        <f t="shared" si="170"/>
        <v>14292.331542928987</v>
      </c>
      <c r="W139" s="40">
        <f t="shared" si="170"/>
        <v>17033.844567588574</v>
      </c>
    </row>
    <row r="140" spans="2:24" ht="16.2" x14ac:dyDescent="0.35">
      <c r="B140" s="15" t="s">
        <v>56</v>
      </c>
      <c r="C140" s="40"/>
      <c r="D140" s="79">
        <v>5107</v>
      </c>
      <c r="E140" s="81">
        <v>6651</v>
      </c>
      <c r="F140" s="81">
        <v>5702</v>
      </c>
      <c r="G140" s="81">
        <v>7659</v>
      </c>
      <c r="H140" s="81">
        <v>8530</v>
      </c>
      <c r="I140" s="79">
        <f>H140</f>
        <v>8530</v>
      </c>
      <c r="J140" s="81">
        <v>9590</v>
      </c>
      <c r="K140" s="81">
        <v>7911</v>
      </c>
      <c r="L140" s="81">
        <v>12926</v>
      </c>
      <c r="M140" s="48">
        <f>M141*M52</f>
        <v>13796.4840317133</v>
      </c>
      <c r="N140" s="45">
        <f>M140</f>
        <v>13796.4840317133</v>
      </c>
      <c r="O140" s="40">
        <f t="shared" ref="O140:W140" si="171">O141*O52</f>
        <v>17410.069743220207</v>
      </c>
      <c r="P140" s="40">
        <f t="shared" si="171"/>
        <v>21429.757612979003</v>
      </c>
      <c r="Q140" s="40">
        <f t="shared" si="171"/>
        <v>27207.750630577233</v>
      </c>
      <c r="R140" s="40">
        <f t="shared" si="171"/>
        <v>34329.025906865565</v>
      </c>
      <c r="S140" s="40">
        <f t="shared" si="171"/>
        <v>42018.284329417693</v>
      </c>
      <c r="T140" s="40">
        <f t="shared" si="171"/>
        <v>52070.738124096621</v>
      </c>
      <c r="U140" s="40">
        <f t="shared" si="171"/>
        <v>63278.756926041271</v>
      </c>
      <c r="V140" s="40">
        <f t="shared" si="171"/>
        <v>77582.213559213589</v>
      </c>
      <c r="W140" s="40">
        <f t="shared" si="171"/>
        <v>94718.626209082562</v>
      </c>
    </row>
    <row r="141" spans="2:24" x14ac:dyDescent="0.3">
      <c r="B141" s="12" t="s">
        <v>26</v>
      </c>
      <c r="C141" s="37"/>
      <c r="D141" s="60">
        <f t="shared" ref="D141:L141" si="172">D140/D52</f>
        <v>2.7405125783463553E-2</v>
      </c>
      <c r="E141" s="61">
        <f t="shared" si="172"/>
        <v>0.10987395305040226</v>
      </c>
      <c r="F141" s="61">
        <f t="shared" si="172"/>
        <v>7.9923748650883752E-2</v>
      </c>
      <c r="G141" s="61">
        <f t="shared" si="172"/>
        <v>9.7748679071904432E-2</v>
      </c>
      <c r="H141" s="61">
        <f t="shared" si="172"/>
        <v>0.10080716640864129</v>
      </c>
      <c r="I141" s="60">
        <f t="shared" si="172"/>
        <v>2.8930356864261344E-2</v>
      </c>
      <c r="J141" s="61">
        <f t="shared" si="172"/>
        <v>8.3912290219274446E-2</v>
      </c>
      <c r="K141" s="61">
        <f t="shared" si="172"/>
        <v>8.8229389721627416E-2</v>
      </c>
      <c r="L141" s="61">
        <f t="shared" si="172"/>
        <v>0.15223356770189261</v>
      </c>
      <c r="M141" s="377">
        <f>AVERAGE(K141:L141)</f>
        <v>0.12023147871176001</v>
      </c>
      <c r="N141" s="365">
        <f>N140/N52</f>
        <v>3.5138651077688224E-2</v>
      </c>
      <c r="O141" s="378">
        <f>N141</f>
        <v>3.5138651077688224E-2</v>
      </c>
      <c r="P141" s="378">
        <f t="shared" ref="P141:W141" si="173">O141</f>
        <v>3.5138651077688224E-2</v>
      </c>
      <c r="Q141" s="378">
        <f t="shared" si="173"/>
        <v>3.5138651077688224E-2</v>
      </c>
      <c r="R141" s="378">
        <f t="shared" si="173"/>
        <v>3.5138651077688224E-2</v>
      </c>
      <c r="S141" s="378">
        <f t="shared" si="173"/>
        <v>3.5138651077688224E-2</v>
      </c>
      <c r="T141" s="378">
        <f t="shared" si="173"/>
        <v>3.5138651077688224E-2</v>
      </c>
      <c r="U141" s="378">
        <f t="shared" si="173"/>
        <v>3.5138651077688224E-2</v>
      </c>
      <c r="V141" s="378">
        <f t="shared" si="173"/>
        <v>3.5138651077688224E-2</v>
      </c>
      <c r="W141" s="378">
        <f t="shared" si="173"/>
        <v>3.5138651077688224E-2</v>
      </c>
    </row>
    <row r="142" spans="2:24" x14ac:dyDescent="0.3">
      <c r="B142" s="27" t="s">
        <v>81</v>
      </c>
      <c r="C142" s="37"/>
      <c r="D142" s="60"/>
      <c r="E142" s="61"/>
      <c r="F142" s="48">
        <f t="shared" ref="F142:H142" si="174">F140-E140</f>
        <v>-949</v>
      </c>
      <c r="G142" s="48">
        <f t="shared" si="174"/>
        <v>1957</v>
      </c>
      <c r="H142" s="48">
        <f t="shared" si="174"/>
        <v>871</v>
      </c>
      <c r="I142" s="40">
        <f>I140-D140</f>
        <v>3423</v>
      </c>
      <c r="J142" s="62">
        <f>J140-H140</f>
        <v>1060</v>
      </c>
      <c r="K142" s="48">
        <f t="shared" ref="K142:M142" si="175">K140-J140</f>
        <v>-1679</v>
      </c>
      <c r="L142" s="48">
        <f t="shared" si="175"/>
        <v>5015</v>
      </c>
      <c r="M142" s="48">
        <f t="shared" si="175"/>
        <v>870.48403171330028</v>
      </c>
      <c r="N142" s="40">
        <f>N140-I140</f>
        <v>5266.4840317133003</v>
      </c>
      <c r="O142" s="40">
        <f>O140-N140</f>
        <v>3613.5857115069066</v>
      </c>
      <c r="P142" s="40">
        <f t="shared" ref="P142:W142" si="176">P140-O140</f>
        <v>4019.6878697587963</v>
      </c>
      <c r="Q142" s="40">
        <f t="shared" si="176"/>
        <v>5777.9930175982299</v>
      </c>
      <c r="R142" s="40">
        <f t="shared" si="176"/>
        <v>7121.275276288332</v>
      </c>
      <c r="S142" s="40">
        <f t="shared" si="176"/>
        <v>7689.2584225521277</v>
      </c>
      <c r="T142" s="40">
        <f t="shared" si="176"/>
        <v>10052.453794678928</v>
      </c>
      <c r="U142" s="40">
        <f t="shared" si="176"/>
        <v>11208.01880194465</v>
      </c>
      <c r="V142" s="40">
        <f t="shared" si="176"/>
        <v>14303.456633172318</v>
      </c>
      <c r="W142" s="40">
        <f t="shared" si="176"/>
        <v>17136.412649868973</v>
      </c>
    </row>
    <row r="143" spans="2:24" ht="16.2" x14ac:dyDescent="0.35">
      <c r="B143" s="15" t="s">
        <v>57</v>
      </c>
      <c r="C143" s="40"/>
      <c r="D143" s="79">
        <v>800</v>
      </c>
      <c r="E143" s="81">
        <v>2635</v>
      </c>
      <c r="F143" s="81">
        <v>1784</v>
      </c>
      <c r="G143" s="81">
        <v>1922</v>
      </c>
      <c r="H143" s="81">
        <v>874</v>
      </c>
      <c r="I143" s="79">
        <f>H143</f>
        <v>874</v>
      </c>
      <c r="J143" s="81">
        <v>738</v>
      </c>
      <c r="K143" s="81">
        <v>775</v>
      </c>
      <c r="L143" s="81">
        <v>503</v>
      </c>
      <c r="M143" s="99">
        <f>AVERAGE(J143:L143)</f>
        <v>672</v>
      </c>
      <c r="N143" s="45">
        <f>M143</f>
        <v>672</v>
      </c>
      <c r="O143" s="100">
        <v>800</v>
      </c>
      <c r="P143" s="100">
        <v>800</v>
      </c>
      <c r="Q143" s="100">
        <v>800</v>
      </c>
      <c r="R143" s="100">
        <v>800</v>
      </c>
      <c r="S143" s="100">
        <v>800</v>
      </c>
      <c r="T143" s="100">
        <v>800</v>
      </c>
      <c r="U143" s="100">
        <v>800</v>
      </c>
      <c r="V143" s="40"/>
      <c r="W143" s="40"/>
    </row>
    <row r="144" spans="2:24" x14ac:dyDescent="0.3">
      <c r="B144" s="12" t="s">
        <v>74</v>
      </c>
      <c r="C144" s="37"/>
      <c r="D144" s="75">
        <f>(D143/D25)*365</f>
        <v>1.0726499965102141</v>
      </c>
      <c r="E144" s="74">
        <f>(E143/E25)*365</f>
        <v>12.591644628315573</v>
      </c>
      <c r="F144" s="74">
        <f>(AVERAGE(F143,E143)/F25)*365</f>
        <v>9.7405338486623592</v>
      </c>
      <c r="G144" s="74">
        <f>(AVERAGE(G143,F143)/G25)*365</f>
        <v>6.8903004309334852</v>
      </c>
      <c r="H144" s="74">
        <f>(AVERAGE(H143,G143)/H25)*365</f>
        <v>4.775886113269002</v>
      </c>
      <c r="I144" s="75">
        <f>(I143/I25)*365</f>
        <v>0.87597033327017759</v>
      </c>
      <c r="J144" s="74">
        <f>(J143/J25)*365</f>
        <v>2.250112768765558</v>
      </c>
      <c r="K144" s="74">
        <f>(AVERAGE(K143,J143)/K25)*365</f>
        <v>1.9427460775346512</v>
      </c>
      <c r="L144" s="74">
        <f>(AVERAGE(L143,K143)/L25)*365</f>
        <v>1.6580647913156603</v>
      </c>
      <c r="M144" s="74">
        <f>(AVERAGE(M143,L143)/M25)*365</f>
        <v>1.5244335913895939</v>
      </c>
      <c r="N144" s="75">
        <f t="shared" ref="N144:U144" si="177">(N143/N25)*365</f>
        <v>0.45156468045465759</v>
      </c>
      <c r="O144" s="75">
        <f t="shared" si="177"/>
        <v>0.42781414084733649</v>
      </c>
      <c r="P144" s="75">
        <f t="shared" si="177"/>
        <v>0.34971890344849649</v>
      </c>
      <c r="Q144" s="75">
        <f t="shared" si="177"/>
        <v>0.2771457523639293</v>
      </c>
      <c r="R144" s="75">
        <f t="shared" si="177"/>
        <v>0.21950351246832323</v>
      </c>
      <c r="S144" s="75">
        <f t="shared" si="177"/>
        <v>0.17921205797773357</v>
      </c>
      <c r="T144" s="75">
        <f t="shared" si="177"/>
        <v>0.14451549664170349</v>
      </c>
      <c r="U144" s="75">
        <f t="shared" si="177"/>
        <v>0.11721586597418343</v>
      </c>
      <c r="V144" s="37"/>
      <c r="W144" s="37"/>
    </row>
    <row r="145" spans="2:24" x14ac:dyDescent="0.3">
      <c r="B145" s="93" t="s">
        <v>81</v>
      </c>
      <c r="C145" s="94"/>
      <c r="D145" s="96"/>
      <c r="E145" s="74"/>
      <c r="F145" s="48">
        <f t="shared" ref="F145:H145" si="178">F143-E143</f>
        <v>-851</v>
      </c>
      <c r="G145" s="48">
        <f t="shared" si="178"/>
        <v>138</v>
      </c>
      <c r="H145" s="48">
        <f t="shared" si="178"/>
        <v>-1048</v>
      </c>
      <c r="I145" s="65">
        <f>I143-D143</f>
        <v>74</v>
      </c>
      <c r="J145" s="62">
        <f>J143-H143</f>
        <v>-136</v>
      </c>
      <c r="K145" s="48">
        <f t="shared" ref="K145:L145" si="179">K143-J143</f>
        <v>37</v>
      </c>
      <c r="L145" s="48">
        <f t="shared" si="179"/>
        <v>-272</v>
      </c>
      <c r="M145" s="48">
        <f t="shared" ref="M145" si="180">M143-L143</f>
        <v>169</v>
      </c>
      <c r="N145" s="65">
        <f>N143-I143</f>
        <v>-202</v>
      </c>
      <c r="O145" s="65">
        <f>(O143-N143)</f>
        <v>128</v>
      </c>
      <c r="P145" s="65">
        <f t="shared" ref="P145:U145" si="181">(P143-O143)</f>
        <v>0</v>
      </c>
      <c r="Q145" s="65">
        <f t="shared" si="181"/>
        <v>0</v>
      </c>
      <c r="R145" s="65">
        <f t="shared" si="181"/>
        <v>0</v>
      </c>
      <c r="S145" s="65">
        <f t="shared" si="181"/>
        <v>0</v>
      </c>
      <c r="T145" s="65">
        <f t="shared" si="181"/>
        <v>0</v>
      </c>
      <c r="U145" s="65">
        <f t="shared" si="181"/>
        <v>0</v>
      </c>
      <c r="V145" s="94"/>
      <c r="W145" s="94"/>
    </row>
    <row r="146" spans="2:24" ht="16.2" x14ac:dyDescent="0.35">
      <c r="B146" s="15" t="s">
        <v>58</v>
      </c>
      <c r="C146" s="40"/>
      <c r="D146" s="79">
        <v>1564</v>
      </c>
      <c r="E146" s="81">
        <v>2229</v>
      </c>
      <c r="F146" s="81">
        <v>504</v>
      </c>
      <c r="G146" s="81">
        <v>504</v>
      </c>
      <c r="H146" s="81">
        <v>505</v>
      </c>
      <c r="I146" s="79">
        <f>H146</f>
        <v>505</v>
      </c>
      <c r="J146" s="81">
        <v>500</v>
      </c>
      <c r="K146" s="81">
        <v>500</v>
      </c>
      <c r="L146" s="81">
        <v>500</v>
      </c>
      <c r="M146" s="99">
        <f>L146</f>
        <v>500</v>
      </c>
      <c r="N146" s="364">
        <f>M146</f>
        <v>500</v>
      </c>
      <c r="O146" s="364">
        <f t="shared" ref="O146:W146" si="182">N146</f>
        <v>500</v>
      </c>
      <c r="P146" s="364">
        <f t="shared" si="182"/>
        <v>500</v>
      </c>
      <c r="Q146" s="364">
        <f t="shared" si="182"/>
        <v>500</v>
      </c>
      <c r="R146" s="364">
        <f t="shared" si="182"/>
        <v>500</v>
      </c>
      <c r="S146" s="364">
        <f t="shared" si="182"/>
        <v>500</v>
      </c>
      <c r="T146" s="364">
        <f t="shared" si="182"/>
        <v>500</v>
      </c>
      <c r="U146" s="364">
        <f t="shared" si="182"/>
        <v>500</v>
      </c>
      <c r="V146" s="364">
        <f t="shared" si="182"/>
        <v>500</v>
      </c>
      <c r="W146" s="100">
        <f t="shared" si="182"/>
        <v>500</v>
      </c>
    </row>
    <row r="147" spans="2:24" ht="16.2" x14ac:dyDescent="0.35">
      <c r="B147" s="15"/>
      <c r="C147" s="37"/>
      <c r="D147" s="37"/>
      <c r="E147" s="47"/>
      <c r="F147" s="48"/>
      <c r="G147" s="48"/>
      <c r="H147" s="48"/>
      <c r="I147" s="37"/>
      <c r="J147" s="47"/>
      <c r="K147" s="47"/>
      <c r="L147" s="47"/>
      <c r="M147" s="47"/>
      <c r="N147" s="92"/>
      <c r="O147" s="37"/>
      <c r="P147" s="37"/>
      <c r="Q147" s="37"/>
      <c r="R147" s="37"/>
      <c r="S147" s="37"/>
      <c r="T147" s="37"/>
      <c r="U147" s="37"/>
      <c r="V147" s="37"/>
      <c r="W147" s="37"/>
    </row>
    <row r="148" spans="2:24" ht="16.2" x14ac:dyDescent="0.35">
      <c r="B148" s="15" t="s">
        <v>59</v>
      </c>
      <c r="C148" s="40"/>
      <c r="D148" s="79">
        <v>19307</v>
      </c>
      <c r="E148" s="81">
        <v>22641</v>
      </c>
      <c r="F148" s="81">
        <v>27406</v>
      </c>
      <c r="G148" s="81">
        <v>32714</v>
      </c>
      <c r="H148" s="81">
        <v>42019</v>
      </c>
      <c r="I148" s="79">
        <f>H148</f>
        <v>42019</v>
      </c>
      <c r="J148" s="81">
        <v>58520</v>
      </c>
      <c r="K148" s="81">
        <v>68548</v>
      </c>
      <c r="L148" s="81">
        <v>74470</v>
      </c>
      <c r="M148" s="48">
        <f>M149*M25</f>
        <v>77366.850000000006</v>
      </c>
      <c r="N148" s="45">
        <f>M148</f>
        <v>77366.850000000006</v>
      </c>
      <c r="O148" s="40">
        <f t="shared" ref="O148:W148" si="183">O150*O37</f>
        <v>100285.84079030354</v>
      </c>
      <c r="P148" s="40">
        <f t="shared" si="183"/>
        <v>126825.49683467874</v>
      </c>
      <c r="Q148" s="40">
        <f t="shared" si="183"/>
        <v>165340.02833152091</v>
      </c>
      <c r="R148" s="40">
        <f t="shared" si="183"/>
        <v>213414.74685774348</v>
      </c>
      <c r="S148" s="40">
        <f t="shared" si="183"/>
        <v>267098.5819143937</v>
      </c>
      <c r="T148" s="40">
        <f t="shared" si="183"/>
        <v>338297.8828147662</v>
      </c>
      <c r="U148" s="40">
        <f t="shared" si="183"/>
        <v>417290.44451737875</v>
      </c>
      <c r="V148" s="40">
        <f t="shared" si="183"/>
        <v>522452.70814503613</v>
      </c>
      <c r="W148" s="40">
        <f t="shared" si="183"/>
        <v>651102.95170963765</v>
      </c>
    </row>
    <row r="149" spans="2:24" ht="16.2" x14ac:dyDescent="0.35">
      <c r="B149" s="12" t="s">
        <v>73</v>
      </c>
      <c r="C149" s="37"/>
      <c r="D149" s="60">
        <f t="shared" ref="D149:L149" si="184">D148/D25</f>
        <v>7.0923470830899671E-2</v>
      </c>
      <c r="E149" s="71">
        <f t="shared" si="184"/>
        <v>0.29641800424183706</v>
      </c>
      <c r="F149" s="71">
        <f t="shared" si="184"/>
        <v>0.33101032671055014</v>
      </c>
      <c r="G149" s="71">
        <f t="shared" si="184"/>
        <v>0.33327560386719507</v>
      </c>
      <c r="H149" s="71">
        <f t="shared" si="184"/>
        <v>0.39327798732719971</v>
      </c>
      <c r="I149" s="60">
        <f t="shared" si="184"/>
        <v>0.11538007408444749</v>
      </c>
      <c r="J149" s="71">
        <f t="shared" si="184"/>
        <v>0.48883171558882005</v>
      </c>
      <c r="K149" s="71">
        <f t="shared" si="184"/>
        <v>0.48229086047984238</v>
      </c>
      <c r="L149" s="71">
        <f t="shared" si="184"/>
        <v>0.52940632842102275</v>
      </c>
      <c r="M149" s="377">
        <v>0.55000000000000004</v>
      </c>
      <c r="N149" s="60">
        <f t="shared" ref="N149:W149" si="185">N148/N25</f>
        <v>0.14243369576823806</v>
      </c>
      <c r="O149" s="60">
        <f t="shared" si="185"/>
        <v>0.1469304822495085</v>
      </c>
      <c r="P149" s="60">
        <f t="shared" si="185"/>
        <v>0.15189477288470757</v>
      </c>
      <c r="Q149" s="60">
        <f t="shared" si="185"/>
        <v>0.15692906351990665</v>
      </c>
      <c r="R149" s="60">
        <f t="shared" si="185"/>
        <v>0.16042906351990666</v>
      </c>
      <c r="S149" s="60">
        <f t="shared" si="185"/>
        <v>0.16392906351990666</v>
      </c>
      <c r="T149" s="60">
        <f t="shared" si="185"/>
        <v>0.16742906351990666</v>
      </c>
      <c r="U149" s="60">
        <f t="shared" si="185"/>
        <v>0.16751048224950854</v>
      </c>
      <c r="V149" s="60">
        <f t="shared" si="185"/>
        <v>0.17094048224950853</v>
      </c>
      <c r="W149" s="60">
        <f t="shared" si="185"/>
        <v>0.17437048224950855</v>
      </c>
      <c r="X149" s="363"/>
    </row>
    <row r="150" spans="2:24" ht="16.2" x14ac:dyDescent="0.35">
      <c r="B150" s="12" t="s">
        <v>209</v>
      </c>
      <c r="C150" s="37"/>
      <c r="D150" s="60">
        <f t="shared" ref="D150:N150" si="186">D148/D37</f>
        <v>0.18198013082737949</v>
      </c>
      <c r="E150" s="71">
        <f t="shared" si="186"/>
        <v>0.57862454956681741</v>
      </c>
      <c r="F150" s="71">
        <f t="shared" si="186"/>
        <v>0.56836516725772002</v>
      </c>
      <c r="G150" s="71">
        <f t="shared" si="186"/>
        <v>0.58448124921834521</v>
      </c>
      <c r="H150" s="71">
        <f t="shared" si="186"/>
        <v>0.69601298636762687</v>
      </c>
      <c r="I150" s="60">
        <f t="shared" si="186"/>
        <v>0.20628896853061024</v>
      </c>
      <c r="J150" s="71">
        <f t="shared" si="186"/>
        <v>0.75300778485491859</v>
      </c>
      <c r="K150" s="71">
        <f t="shared" si="186"/>
        <v>1.1601394577395661</v>
      </c>
      <c r="L150" s="71">
        <f t="shared" si="186"/>
        <v>1.4908311979500319</v>
      </c>
      <c r="M150" s="71">
        <f t="shared" si="186"/>
        <v>0.99924120704263186</v>
      </c>
      <c r="N150" s="60">
        <f t="shared" si="186"/>
        <v>0.29285812703981329</v>
      </c>
      <c r="O150" s="378">
        <f>N150+$X$150</f>
        <v>0.29985812703981329</v>
      </c>
      <c r="P150" s="378">
        <f t="shared" ref="P150:W150" si="187">O150+$X$150</f>
        <v>0.3068581270398133</v>
      </c>
      <c r="Q150" s="378">
        <f t="shared" si="187"/>
        <v>0.31385812703981331</v>
      </c>
      <c r="R150" s="378">
        <f t="shared" si="187"/>
        <v>0.32085812703981331</v>
      </c>
      <c r="S150" s="378">
        <f t="shared" si="187"/>
        <v>0.32785812703981332</v>
      </c>
      <c r="T150" s="378">
        <f t="shared" si="187"/>
        <v>0.33485812703981332</v>
      </c>
      <c r="U150" s="378">
        <f t="shared" si="187"/>
        <v>0.34185812703981333</v>
      </c>
      <c r="V150" s="378">
        <f t="shared" si="187"/>
        <v>0.34885812703981334</v>
      </c>
      <c r="W150" s="378">
        <f t="shared" si="187"/>
        <v>0.35585812703981334</v>
      </c>
      <c r="X150" s="363">
        <v>7.0000000000000001E-3</v>
      </c>
    </row>
    <row r="151" spans="2:24" x14ac:dyDescent="0.3">
      <c r="B151" s="93" t="s">
        <v>81</v>
      </c>
      <c r="C151" s="94"/>
      <c r="D151" s="101"/>
      <c r="E151" s="71"/>
      <c r="F151" s="48">
        <f t="shared" ref="F151:H151" si="188">F148-E148</f>
        <v>4765</v>
      </c>
      <c r="G151" s="48">
        <f t="shared" si="188"/>
        <v>5308</v>
      </c>
      <c r="H151" s="48">
        <f t="shared" si="188"/>
        <v>9305</v>
      </c>
      <c r="I151" s="65">
        <f>I148-D148</f>
        <v>22712</v>
      </c>
      <c r="J151" s="62">
        <f>J148-H148</f>
        <v>16501</v>
      </c>
      <c r="K151" s="48">
        <f t="shared" ref="K151:M151" si="189">K148-J148</f>
        <v>10028</v>
      </c>
      <c r="L151" s="48">
        <f t="shared" si="189"/>
        <v>5922</v>
      </c>
      <c r="M151" s="48">
        <f t="shared" si="189"/>
        <v>2896.8500000000058</v>
      </c>
      <c r="N151" s="65">
        <f>N148-I148</f>
        <v>35347.850000000006</v>
      </c>
      <c r="O151" s="65">
        <f>O148-N148</f>
        <v>22918.990790303535</v>
      </c>
      <c r="P151" s="65">
        <f t="shared" ref="P151:W151" si="190">P148-O148</f>
        <v>26539.656044375195</v>
      </c>
      <c r="Q151" s="65">
        <f t="shared" si="190"/>
        <v>38514.531496842174</v>
      </c>
      <c r="R151" s="65">
        <f t="shared" si="190"/>
        <v>48074.718526222568</v>
      </c>
      <c r="S151" s="65">
        <f t="shared" si="190"/>
        <v>53683.835056650219</v>
      </c>
      <c r="T151" s="65">
        <f t="shared" si="190"/>
        <v>71199.300900372502</v>
      </c>
      <c r="U151" s="65">
        <f t="shared" si="190"/>
        <v>78992.561702612555</v>
      </c>
      <c r="V151" s="65">
        <f t="shared" si="190"/>
        <v>105162.26362765738</v>
      </c>
      <c r="W151" s="65">
        <f t="shared" si="190"/>
        <v>128650.24356460152</v>
      </c>
    </row>
    <row r="152" spans="2:24" ht="16.2" x14ac:dyDescent="0.35">
      <c r="B152" s="15" t="s">
        <v>60</v>
      </c>
      <c r="C152" s="40"/>
      <c r="D152" s="79">
        <v>1070</v>
      </c>
      <c r="E152" s="81">
        <v>1816</v>
      </c>
      <c r="F152" s="81">
        <v>1172</v>
      </c>
      <c r="G152" s="81">
        <v>1611</v>
      </c>
      <c r="H152" s="81">
        <v>1889</v>
      </c>
      <c r="I152" s="79">
        <f>H152</f>
        <v>1889</v>
      </c>
      <c r="J152" s="81">
        <v>1926</v>
      </c>
      <c r="K152" s="81">
        <v>2087</v>
      </c>
      <c r="L152" s="81">
        <v>2652</v>
      </c>
      <c r="M152" s="48">
        <f>M153*M52</f>
        <v>3584.0167261421052</v>
      </c>
      <c r="N152" s="45">
        <f>M152</f>
        <v>3584.0167261421052</v>
      </c>
      <c r="O152" s="40">
        <f t="shared" ref="O152:W152" si="191">O153*O52</f>
        <v>4522.7451443114514</v>
      </c>
      <c r="P152" s="40">
        <f t="shared" si="191"/>
        <v>5566.9697834274939</v>
      </c>
      <c r="Q152" s="40">
        <f t="shared" si="191"/>
        <v>7067.9626139923612</v>
      </c>
      <c r="R152" s="40">
        <f t="shared" si="191"/>
        <v>8917.9100095035428</v>
      </c>
      <c r="S152" s="40">
        <f t="shared" si="191"/>
        <v>10915.40667131308</v>
      </c>
      <c r="T152" s="40">
        <f t="shared" si="191"/>
        <v>13526.808420924342</v>
      </c>
      <c r="U152" s="40">
        <f t="shared" si="191"/>
        <v>16438.400009096273</v>
      </c>
      <c r="V152" s="40">
        <f t="shared" si="191"/>
        <v>20154.116832099888</v>
      </c>
      <c r="W152" s="40">
        <f t="shared" si="191"/>
        <v>24605.772009029522</v>
      </c>
    </row>
    <row r="153" spans="2:24" x14ac:dyDescent="0.3">
      <c r="B153" s="12" t="s">
        <v>26</v>
      </c>
      <c r="C153" s="37"/>
      <c r="D153" s="60">
        <f t="shared" ref="D153:L153" si="192">D152/D52</f>
        <v>5.7418219283935775E-3</v>
      </c>
      <c r="E153" s="61">
        <f t="shared" si="192"/>
        <v>3.0000165199147572E-2</v>
      </c>
      <c r="F153" s="61">
        <f t="shared" si="192"/>
        <v>1.6427680361072564E-2</v>
      </c>
      <c r="G153" s="61">
        <f t="shared" si="192"/>
        <v>2.0560532965770734E-2</v>
      </c>
      <c r="H153" s="61">
        <f t="shared" si="192"/>
        <v>2.2324119266813998E-2</v>
      </c>
      <c r="I153" s="60">
        <f t="shared" si="192"/>
        <v>6.4067343630234089E-3</v>
      </c>
      <c r="J153" s="61">
        <f t="shared" si="192"/>
        <v>1.6852457868855329E-2</v>
      </c>
      <c r="K153" s="61">
        <f t="shared" si="192"/>
        <v>2.3275785153461813E-2</v>
      </c>
      <c r="L153" s="61">
        <f t="shared" si="192"/>
        <v>3.1233438151432709E-2</v>
      </c>
      <c r="M153" s="377">
        <f>L153</f>
        <v>3.1233438151432709E-2</v>
      </c>
      <c r="N153" s="60">
        <f>N152/N52</f>
        <v>9.128232447268415E-3</v>
      </c>
      <c r="O153" s="378">
        <f>N153</f>
        <v>9.128232447268415E-3</v>
      </c>
      <c r="P153" s="378">
        <f t="shared" ref="P153:W153" si="193">O153</f>
        <v>9.128232447268415E-3</v>
      </c>
      <c r="Q153" s="378">
        <f t="shared" si="193"/>
        <v>9.128232447268415E-3</v>
      </c>
      <c r="R153" s="378">
        <f t="shared" si="193"/>
        <v>9.128232447268415E-3</v>
      </c>
      <c r="S153" s="378">
        <f t="shared" si="193"/>
        <v>9.128232447268415E-3</v>
      </c>
      <c r="T153" s="378">
        <f t="shared" si="193"/>
        <v>9.128232447268415E-3</v>
      </c>
      <c r="U153" s="378">
        <f t="shared" si="193"/>
        <v>9.128232447268415E-3</v>
      </c>
      <c r="V153" s="378">
        <f t="shared" si="193"/>
        <v>9.128232447268415E-3</v>
      </c>
      <c r="W153" s="378">
        <f t="shared" si="193"/>
        <v>9.128232447268415E-3</v>
      </c>
    </row>
    <row r="154" spans="2:24" x14ac:dyDescent="0.3">
      <c r="B154" s="93" t="s">
        <v>81</v>
      </c>
      <c r="C154" s="94"/>
      <c r="D154" s="101"/>
      <c r="E154" s="61"/>
      <c r="F154" s="48">
        <f t="shared" ref="F154:H154" si="194">F152-E152</f>
        <v>-644</v>
      </c>
      <c r="G154" s="48">
        <f t="shared" si="194"/>
        <v>439</v>
      </c>
      <c r="H154" s="48">
        <f t="shared" si="194"/>
        <v>278</v>
      </c>
      <c r="I154" s="65">
        <f>I152-D152</f>
        <v>819</v>
      </c>
      <c r="J154" s="62">
        <f>J152-H152</f>
        <v>37</v>
      </c>
      <c r="K154" s="48">
        <f t="shared" ref="K154:M154" si="195">K152-J152</f>
        <v>161</v>
      </c>
      <c r="L154" s="48">
        <f t="shared" si="195"/>
        <v>565</v>
      </c>
      <c r="M154" s="48">
        <f t="shared" si="195"/>
        <v>932.0167261421052</v>
      </c>
      <c r="N154" s="65">
        <f>N152-I152</f>
        <v>1695.0167261421052</v>
      </c>
      <c r="O154" s="65">
        <f>O152-N152</f>
        <v>938.72841816934624</v>
      </c>
      <c r="P154" s="65">
        <f t="shared" ref="P154:W154" si="196">P152-O152</f>
        <v>1044.2246391160425</v>
      </c>
      <c r="Q154" s="65">
        <f t="shared" si="196"/>
        <v>1500.9928305648673</v>
      </c>
      <c r="R154" s="65">
        <f t="shared" si="196"/>
        <v>1849.9473955111816</v>
      </c>
      <c r="S154" s="65">
        <f t="shared" si="196"/>
        <v>1997.4966618095368</v>
      </c>
      <c r="T154" s="65">
        <f t="shared" si="196"/>
        <v>2611.4017496112629</v>
      </c>
      <c r="U154" s="65">
        <f t="shared" si="196"/>
        <v>2911.5915881719302</v>
      </c>
      <c r="V154" s="65">
        <f t="shared" si="196"/>
        <v>3715.716823003615</v>
      </c>
      <c r="W154" s="65">
        <f t="shared" si="196"/>
        <v>4451.6551769296348</v>
      </c>
    </row>
    <row r="155" spans="2:24" ht="16.8" thickBot="1" x14ac:dyDescent="0.4">
      <c r="B155" s="28" t="s">
        <v>27</v>
      </c>
      <c r="C155" s="43">
        <f>SUM(C137+C140+C143+C146+C147+C152)</f>
        <v>0</v>
      </c>
      <c r="D155" s="43">
        <f t="shared" ref="D155:M155" si="197">SUM(D135+D137+D140+D143+D146+D148+D152)</f>
        <v>205700</v>
      </c>
      <c r="E155" s="52">
        <f t="shared" si="197"/>
        <v>137547</v>
      </c>
      <c r="F155" s="52">
        <f t="shared" si="197"/>
        <v>163992</v>
      </c>
      <c r="G155" s="52">
        <f t="shared" si="197"/>
        <v>207286</v>
      </c>
      <c r="H155" s="52">
        <f t="shared" si="197"/>
        <v>180637</v>
      </c>
      <c r="I155" s="43">
        <f t="shared" si="197"/>
        <v>180637</v>
      </c>
      <c r="J155" s="52">
        <f t="shared" si="197"/>
        <v>269105</v>
      </c>
      <c r="K155" s="52">
        <f t="shared" si="197"/>
        <v>330318</v>
      </c>
      <c r="L155" s="52">
        <f>SUM(L135+L137+L140+L143+L146+L148+L152)</f>
        <v>235456</v>
      </c>
      <c r="M155" s="52">
        <f t="shared" si="197"/>
        <v>292828.3507578554</v>
      </c>
      <c r="N155" s="344">
        <f>SUM(N137+N140+N143+N146+N148+N152)</f>
        <v>104884.35075785541</v>
      </c>
      <c r="O155" s="344">
        <f t="shared" ref="O155:W155" si="198">SUM(O137+O140+O143+O146+O148+O152)</f>
        <v>141844.37063543795</v>
      </c>
      <c r="P155" s="344">
        <f t="shared" si="198"/>
        <v>177425.85129581069</v>
      </c>
      <c r="Q155" s="344">
        <f t="shared" si="198"/>
        <v>228915.44907227499</v>
      </c>
      <c r="R155" s="344">
        <f t="shared" si="198"/>
        <v>293131.96279919456</v>
      </c>
      <c r="S155" s="344">
        <f t="shared" si="198"/>
        <v>364186.53220248898</v>
      </c>
      <c r="T155" s="344">
        <f t="shared" si="198"/>
        <v>458061.73212690017</v>
      </c>
      <c r="U155" s="344">
        <f t="shared" si="198"/>
        <v>563145.24042601394</v>
      </c>
      <c r="V155" s="344">
        <f t="shared" si="198"/>
        <v>699819.00905277627</v>
      </c>
      <c r="W155" s="43">
        <f t="shared" si="198"/>
        <v>867091.16501176497</v>
      </c>
    </row>
    <row r="156" spans="2:24" ht="16.8" thickTop="1" x14ac:dyDescent="0.35">
      <c r="B156" s="32"/>
      <c r="C156" s="37"/>
      <c r="D156" s="37"/>
      <c r="E156" s="47"/>
      <c r="F156" s="47"/>
      <c r="G156" s="47"/>
      <c r="H156" s="47"/>
      <c r="I156" s="37"/>
      <c r="J156" s="47"/>
      <c r="K156" s="47"/>
      <c r="L156" s="47"/>
      <c r="M156" s="47"/>
      <c r="N156" s="92"/>
      <c r="O156" s="37"/>
      <c r="P156" s="37"/>
      <c r="Q156" s="37"/>
      <c r="R156" s="37"/>
      <c r="S156" s="37"/>
      <c r="T156" s="37"/>
      <c r="U156" s="37"/>
      <c r="V156" s="37"/>
      <c r="W156" s="37"/>
    </row>
    <row r="157" spans="2:24" ht="16.2" x14ac:dyDescent="0.35">
      <c r="B157" s="15" t="s">
        <v>61</v>
      </c>
      <c r="C157" s="40"/>
      <c r="D157" s="79">
        <v>4979</v>
      </c>
      <c r="E157" s="81">
        <v>6535</v>
      </c>
      <c r="F157" s="81">
        <v>8412</v>
      </c>
      <c r="G157" s="81">
        <v>4034</v>
      </c>
      <c r="H157" s="81">
        <v>11969</v>
      </c>
      <c r="I157" s="79">
        <f>H157</f>
        <v>11969</v>
      </c>
      <c r="J157" s="81">
        <v>6697</v>
      </c>
      <c r="K157" s="81">
        <v>4718</v>
      </c>
      <c r="L157" s="81">
        <v>4349</v>
      </c>
      <c r="M157" s="48">
        <f>M158*(M29/365)</f>
        <v>4877.9128218780088</v>
      </c>
      <c r="N157" s="45">
        <f>M157</f>
        <v>4877.9128218780088</v>
      </c>
      <c r="O157" s="40">
        <f t="shared" ref="O157:W157" si="199">O158*(O29/365)</f>
        <v>12154.810941267124</v>
      </c>
      <c r="P157" s="40">
        <f t="shared" si="199"/>
        <v>14646.048439169723</v>
      </c>
      <c r="Q157" s="40">
        <f t="shared" si="199"/>
        <v>18204.031477902718</v>
      </c>
      <c r="R157" s="40">
        <f t="shared" si="199"/>
        <v>22639.694436402933</v>
      </c>
      <c r="S157" s="40">
        <f t="shared" si="199"/>
        <v>27313.731667866785</v>
      </c>
      <c r="T157" s="40">
        <f t="shared" si="199"/>
        <v>33363.382643006335</v>
      </c>
      <c r="U157" s="40">
        <f t="shared" si="199"/>
        <v>40516.724298762885</v>
      </c>
      <c r="V157" s="40">
        <f t="shared" si="199"/>
        <v>48963.918403359676</v>
      </c>
      <c r="W157" s="40">
        <f t="shared" si="199"/>
        <v>58923.295952386012</v>
      </c>
    </row>
    <row r="158" spans="2:24" x14ac:dyDescent="0.3">
      <c r="B158" s="12" t="s">
        <v>75</v>
      </c>
      <c r="C158" s="37"/>
      <c r="D158" s="72">
        <f>(D157/D$29)*365</f>
        <v>48.426108505649118</v>
      </c>
      <c r="E158" s="74">
        <f>(E157/E$29)*365</f>
        <v>207.18101276817509</v>
      </c>
      <c r="F158" s="74">
        <f>(AVERAGE(F157,E157)/F$29)*365</f>
        <v>219.64952894758031</v>
      </c>
      <c r="G158" s="74">
        <f>(AVERAGE(G157,F157)/G29)*365</f>
        <v>174.29366175567833</v>
      </c>
      <c r="H158" s="74">
        <f>(AVERAGE(H157,G157)/H29)*365</f>
        <v>195.94414625964444</v>
      </c>
      <c r="I158" s="72">
        <f>(AVERAGE(I157,D157)/I29)*365</f>
        <v>59.631186257687638</v>
      </c>
      <c r="J158" s="74">
        <f>(J157/J29)*365</f>
        <v>132.3947895791583</v>
      </c>
      <c r="K158" s="74">
        <f>(AVERAGE(K157,J157)/K29)*365</f>
        <v>128.13614835773157</v>
      </c>
      <c r="L158" s="74">
        <f>(AVERAGE(L157,K157)/L29)*365</f>
        <v>105.88223061172253</v>
      </c>
      <c r="M158" s="380">
        <v>100</v>
      </c>
      <c r="N158" s="72">
        <f>(AVERAGE(N157,I157)/N29)*365</f>
        <v>45.112384870669622</v>
      </c>
      <c r="O158" s="375">
        <v>50</v>
      </c>
      <c r="P158" s="375">
        <v>50</v>
      </c>
      <c r="Q158" s="375">
        <v>50</v>
      </c>
      <c r="R158" s="375">
        <v>50</v>
      </c>
      <c r="S158" s="375">
        <v>50</v>
      </c>
      <c r="T158" s="375">
        <v>50</v>
      </c>
      <c r="U158" s="375">
        <v>50</v>
      </c>
      <c r="V158" s="375">
        <v>50</v>
      </c>
      <c r="W158" s="375">
        <v>50</v>
      </c>
    </row>
    <row r="159" spans="2:24" x14ac:dyDescent="0.3">
      <c r="B159" s="27" t="s">
        <v>81</v>
      </c>
      <c r="C159" s="37"/>
      <c r="D159" s="72"/>
      <c r="E159" s="74"/>
      <c r="F159" s="48">
        <f t="shared" ref="F159:H159" si="200">F157-E157</f>
        <v>1877</v>
      </c>
      <c r="G159" s="48">
        <f t="shared" si="200"/>
        <v>-4378</v>
      </c>
      <c r="H159" s="48">
        <f t="shared" si="200"/>
        <v>7935</v>
      </c>
      <c r="I159" s="40">
        <f>I157-D157</f>
        <v>6990</v>
      </c>
      <c r="J159" s="62">
        <f>J157-H157</f>
        <v>-5272</v>
      </c>
      <c r="K159" s="48">
        <f t="shared" ref="K159:M159" si="201">K157-J157</f>
        <v>-1979</v>
      </c>
      <c r="L159" s="48">
        <f t="shared" si="201"/>
        <v>-369</v>
      </c>
      <c r="M159" s="48">
        <f t="shared" si="201"/>
        <v>528.9128218780088</v>
      </c>
      <c r="N159" s="40">
        <f>N157-I157</f>
        <v>-7091.0871781219912</v>
      </c>
      <c r="O159" s="40">
        <f>O157-N157</f>
        <v>7276.898119389115</v>
      </c>
      <c r="P159" s="40">
        <f t="shared" ref="P159:W159" si="202">P157-O157</f>
        <v>2491.237497902599</v>
      </c>
      <c r="Q159" s="40">
        <f t="shared" si="202"/>
        <v>3557.9830387329948</v>
      </c>
      <c r="R159" s="40">
        <f t="shared" si="202"/>
        <v>4435.6629585002156</v>
      </c>
      <c r="S159" s="40">
        <f t="shared" si="202"/>
        <v>4674.0372314638516</v>
      </c>
      <c r="T159" s="40">
        <f t="shared" si="202"/>
        <v>6049.6509751395497</v>
      </c>
      <c r="U159" s="40">
        <f t="shared" si="202"/>
        <v>7153.3416557565506</v>
      </c>
      <c r="V159" s="40">
        <f t="shared" si="202"/>
        <v>8447.1941045967906</v>
      </c>
      <c r="W159" s="40">
        <f t="shared" si="202"/>
        <v>9959.3775490263361</v>
      </c>
    </row>
    <row r="160" spans="2:24" ht="16.2" x14ac:dyDescent="0.35">
      <c r="B160" s="15" t="s">
        <v>62</v>
      </c>
      <c r="C160" s="40"/>
      <c r="D160" s="79">
        <v>7110</v>
      </c>
      <c r="E160" s="81">
        <v>3428</v>
      </c>
      <c r="F160" s="81">
        <v>2655</v>
      </c>
      <c r="G160" s="81">
        <v>2933</v>
      </c>
      <c r="H160" s="81">
        <v>2515</v>
      </c>
      <c r="I160" s="79">
        <f>H160</f>
        <v>2515</v>
      </c>
      <c r="J160" s="81">
        <v>5081</v>
      </c>
      <c r="K160" s="81">
        <v>1231</v>
      </c>
      <c r="L160" s="81">
        <v>1238</v>
      </c>
      <c r="M160" s="48">
        <f>M161*(M29/365)</f>
        <v>1463.3738465634026</v>
      </c>
      <c r="N160" s="45">
        <f>M160</f>
        <v>1463.3738465634026</v>
      </c>
      <c r="O160" s="40">
        <f t="shared" ref="O160:W160" si="203">O161*(O29/365)</f>
        <v>3103.7488698488319</v>
      </c>
      <c r="P160" s="40">
        <f t="shared" si="203"/>
        <v>16581.55679328652</v>
      </c>
      <c r="Q160" s="40">
        <f t="shared" si="203"/>
        <v>23203.103618168443</v>
      </c>
      <c r="R160" s="40">
        <f t="shared" si="203"/>
        <v>20955.993350685287</v>
      </c>
      <c r="S160" s="40">
        <f t="shared" si="203"/>
        <v>20835.332057846324</v>
      </c>
      <c r="T160" s="40">
        <f t="shared" si="203"/>
        <v>15339.80305029304</v>
      </c>
      <c r="U160" s="40">
        <f t="shared" si="203"/>
        <v>14487.384444470143</v>
      </c>
      <c r="V160" s="40">
        <f t="shared" si="203"/>
        <v>36471.210347843837</v>
      </c>
      <c r="W160" s="40">
        <f t="shared" si="203"/>
        <v>59496.983849180768</v>
      </c>
    </row>
    <row r="161" spans="2:24" x14ac:dyDescent="0.3">
      <c r="B161" s="12" t="s">
        <v>76</v>
      </c>
      <c r="C161" s="37"/>
      <c r="D161" s="72">
        <f>(D160/D$29)*365</f>
        <v>69.152366233212533</v>
      </c>
      <c r="E161" s="74">
        <f>(E160/E$29)*365</f>
        <v>108.6788847389907</v>
      </c>
      <c r="F161" s="74">
        <f>(AVERAGE(F160,E160)/F$29)*365</f>
        <v>89.391054030115157</v>
      </c>
      <c r="G161" s="74">
        <f t="shared" ref="G161:H161" si="204">(AVERAGE(G160,F160)/G$29)*365</f>
        <v>78.254297114794355</v>
      </c>
      <c r="H161" s="74">
        <f t="shared" si="204"/>
        <v>66.706474337470652</v>
      </c>
      <c r="I161" s="72">
        <f>(I160/I$29)*365</f>
        <v>17.697950606335191</v>
      </c>
      <c r="J161" s="74">
        <f>(J160/J$29)*365</f>
        <v>100.44765206087851</v>
      </c>
      <c r="K161" s="74">
        <f>(AVERAGE(K160,J160)/K$29)*365</f>
        <v>70.853733546561685</v>
      </c>
      <c r="L161" s="74">
        <f>(AVERAGE(L160,K160)/L$29)*365</f>
        <v>28.832384182237011</v>
      </c>
      <c r="M161" s="381">
        <v>30</v>
      </c>
      <c r="N161" s="72">
        <f>(N160/N$29)*365</f>
        <v>7.8371966275161489</v>
      </c>
      <c r="O161" s="382">
        <f>AVERAGE(N161,I161)</f>
        <v>12.76757361692567</v>
      </c>
      <c r="P161" s="382">
        <f t="shared" ref="P161:W161" si="205">AVERAGE(O161,J161)</f>
        <v>56.607612838902092</v>
      </c>
      <c r="Q161" s="382">
        <f t="shared" si="205"/>
        <v>63.730673192731885</v>
      </c>
      <c r="R161" s="382">
        <f t="shared" si="205"/>
        <v>46.281528687484446</v>
      </c>
      <c r="S161" s="382">
        <f t="shared" si="205"/>
        <v>38.140764343742219</v>
      </c>
      <c r="T161" s="382">
        <f t="shared" si="205"/>
        <v>22.988980485629185</v>
      </c>
      <c r="U161" s="382">
        <f t="shared" si="205"/>
        <v>17.878277051277429</v>
      </c>
      <c r="V161" s="382">
        <f t="shared" si="205"/>
        <v>37.242944945089761</v>
      </c>
      <c r="W161" s="382">
        <f t="shared" si="205"/>
        <v>50.486809068910823</v>
      </c>
    </row>
    <row r="162" spans="2:24" x14ac:dyDescent="0.3">
      <c r="B162" s="93" t="s">
        <v>81</v>
      </c>
      <c r="C162" s="94"/>
      <c r="D162" s="95"/>
      <c r="E162" s="74"/>
      <c r="F162" s="48">
        <f t="shared" ref="F162:H162" si="206">F160-E160</f>
        <v>-773</v>
      </c>
      <c r="G162" s="48">
        <f t="shared" si="206"/>
        <v>278</v>
      </c>
      <c r="H162" s="48">
        <f t="shared" si="206"/>
        <v>-418</v>
      </c>
      <c r="I162" s="65">
        <f>I160-D160</f>
        <v>-4595</v>
      </c>
      <c r="J162" s="62">
        <f>J160-H160</f>
        <v>2566</v>
      </c>
      <c r="K162" s="48">
        <f t="shared" ref="K162:M162" si="207">K160-J160</f>
        <v>-3850</v>
      </c>
      <c r="L162" s="48">
        <f t="shared" si="207"/>
        <v>7</v>
      </c>
      <c r="M162" s="48">
        <f t="shared" si="207"/>
        <v>225.37384656340259</v>
      </c>
      <c r="N162" s="65">
        <f>N160-I160</f>
        <v>-1051.6261534365974</v>
      </c>
      <c r="O162" s="65">
        <f>O160-N160</f>
        <v>1640.3750232854293</v>
      </c>
      <c r="P162" s="65">
        <f t="shared" ref="P162:W162" si="208">P160-O160</f>
        <v>13477.807923437687</v>
      </c>
      <c r="Q162" s="65">
        <f t="shared" si="208"/>
        <v>6621.5468248819234</v>
      </c>
      <c r="R162" s="65">
        <f t="shared" si="208"/>
        <v>-2247.1102674831563</v>
      </c>
      <c r="S162" s="65">
        <f t="shared" si="208"/>
        <v>-120.66129283896225</v>
      </c>
      <c r="T162" s="65">
        <f t="shared" si="208"/>
        <v>-5495.5290075532848</v>
      </c>
      <c r="U162" s="65">
        <f t="shared" si="208"/>
        <v>-852.41860582289701</v>
      </c>
      <c r="V162" s="65">
        <f t="shared" si="208"/>
        <v>21983.825903373694</v>
      </c>
      <c r="W162" s="65">
        <f t="shared" si="208"/>
        <v>23025.773501336931</v>
      </c>
    </row>
    <row r="163" spans="2:24" ht="16.2" x14ac:dyDescent="0.35">
      <c r="B163" s="15" t="s">
        <v>28</v>
      </c>
      <c r="C163" s="40"/>
      <c r="D163" s="79">
        <v>33526</v>
      </c>
      <c r="E163" s="81">
        <v>27313</v>
      </c>
      <c r="F163" s="81">
        <v>34180</v>
      </c>
      <c r="G163" s="81">
        <v>51476</v>
      </c>
      <c r="H163" s="81">
        <v>32134</v>
      </c>
      <c r="I163" s="79">
        <f>H163</f>
        <v>32134</v>
      </c>
      <c r="J163" s="81">
        <v>61953</v>
      </c>
      <c r="K163" s="81">
        <v>65258</v>
      </c>
      <c r="L163" s="81">
        <v>63317</v>
      </c>
      <c r="M163" s="48">
        <f>M164*M52</f>
        <v>77096.17342684757</v>
      </c>
      <c r="N163" s="45">
        <f>M163</f>
        <v>77096.17342684757</v>
      </c>
      <c r="O163" s="40">
        <f t="shared" ref="O163:W163" si="209">O164*O52</f>
        <v>74320.168287314984</v>
      </c>
      <c r="P163" s="40">
        <f t="shared" si="209"/>
        <v>91479.426311498872</v>
      </c>
      <c r="Q163" s="40">
        <f t="shared" si="209"/>
        <v>116144.54366969071</v>
      </c>
      <c r="R163" s="40">
        <f t="shared" si="209"/>
        <v>146543.86916120091</v>
      </c>
      <c r="S163" s="40">
        <f t="shared" si="209"/>
        <v>179367.80314867204</v>
      </c>
      <c r="T163" s="40">
        <f t="shared" si="209"/>
        <v>222279.75403341392</v>
      </c>
      <c r="U163" s="40">
        <f t="shared" si="209"/>
        <v>270124.58497398463</v>
      </c>
      <c r="V163" s="40">
        <f t="shared" si="209"/>
        <v>331183.23205273307</v>
      </c>
      <c r="W163" s="40">
        <f t="shared" si="209"/>
        <v>404335.21195649484</v>
      </c>
    </row>
    <row r="164" spans="2:24" x14ac:dyDescent="0.3">
      <c r="B164" s="12" t="s">
        <v>26</v>
      </c>
      <c r="C164" s="37"/>
      <c r="D164" s="41">
        <f t="shared" ref="D164:L164" si="210">D163/D52</f>
        <v>0.17990684296385334</v>
      </c>
      <c r="E164" s="55">
        <f t="shared" si="210"/>
        <v>0.4512084317644921</v>
      </c>
      <c r="F164" s="55">
        <f t="shared" si="210"/>
        <v>0.47909395455755993</v>
      </c>
      <c r="G164" s="55">
        <f t="shared" si="210"/>
        <v>0.65696709804221864</v>
      </c>
      <c r="H164" s="55">
        <f t="shared" si="210"/>
        <v>0.37975820461609372</v>
      </c>
      <c r="I164" s="41">
        <f t="shared" si="210"/>
        <v>0.10898570779322087</v>
      </c>
      <c r="J164" s="55">
        <f t="shared" si="210"/>
        <v>0.54208739478151302</v>
      </c>
      <c r="K164" s="55">
        <f t="shared" si="210"/>
        <v>0.72780603140613842</v>
      </c>
      <c r="L164" s="55">
        <f t="shared" si="210"/>
        <v>0.74570422452272433</v>
      </c>
      <c r="M164" s="349">
        <f>AVERAGE(J164:L164)</f>
        <v>0.67186588357012533</v>
      </c>
      <c r="N164" s="359">
        <f>N163/N52</f>
        <v>0.19635840053478573</v>
      </c>
      <c r="O164" s="341">
        <v>0.15</v>
      </c>
      <c r="P164" s="341">
        <v>0.15</v>
      </c>
      <c r="Q164" s="341">
        <v>0.15</v>
      </c>
      <c r="R164" s="341">
        <v>0.15</v>
      </c>
      <c r="S164" s="341">
        <v>0.15</v>
      </c>
      <c r="T164" s="341">
        <v>0.15</v>
      </c>
      <c r="U164" s="341">
        <v>0.15</v>
      </c>
      <c r="V164" s="341">
        <v>0.15</v>
      </c>
      <c r="W164" s="87">
        <v>0.15</v>
      </c>
    </row>
    <row r="165" spans="2:24" x14ac:dyDescent="0.3">
      <c r="B165" s="12" t="s">
        <v>6</v>
      </c>
      <c r="C165" s="37"/>
      <c r="D165" s="37"/>
      <c r="E165" s="47"/>
      <c r="F165" s="55">
        <f>(F163/E163)-1</f>
        <v>0.25141873832973305</v>
      </c>
      <c r="G165" s="55">
        <f t="shared" ref="G165:H165" si="211">(G163/F163)-1</f>
        <v>0.50602691632533636</v>
      </c>
      <c r="H165" s="55">
        <f t="shared" si="211"/>
        <v>-0.37574792136141111</v>
      </c>
      <c r="I165" s="41">
        <f>(I163/D163)-1</f>
        <v>-4.1520014317246279E-2</v>
      </c>
      <c r="J165" s="55">
        <f>(J163/H163)-1</f>
        <v>0.927957926184104</v>
      </c>
      <c r="K165" s="55">
        <f>(K163/J163)-1</f>
        <v>5.3346891998773183E-2</v>
      </c>
      <c r="L165" s="55">
        <f t="shared" ref="L165:M165" si="212">(L163/K163)-1</f>
        <v>-2.9743479726623501E-2</v>
      </c>
      <c r="M165" s="55">
        <f t="shared" si="212"/>
        <v>0.21762201978690676</v>
      </c>
      <c r="N165" s="41">
        <f>(N163/I163)-1</f>
        <v>1.3992087330194676</v>
      </c>
      <c r="O165" s="41">
        <f>(O163/N163)-1</f>
        <v>-3.6007041804306805E-2</v>
      </c>
      <c r="P165" s="41">
        <f t="shared" ref="P165:W165" si="213">(P163/O163)-1</f>
        <v>0.23088292746926742</v>
      </c>
      <c r="Q165" s="41">
        <f t="shared" si="213"/>
        <v>0.26962474900316979</v>
      </c>
      <c r="R165" s="41">
        <f t="shared" si="213"/>
        <v>0.2617370091699216</v>
      </c>
      <c r="S165" s="41">
        <f t="shared" si="213"/>
        <v>0.22398708438197579</v>
      </c>
      <c r="T165" s="41">
        <f t="shared" si="213"/>
        <v>0.23923998695113413</v>
      </c>
      <c r="U165" s="41">
        <f t="shared" si="213"/>
        <v>0.21524601351402661</v>
      </c>
      <c r="V165" s="41">
        <f t="shared" si="213"/>
        <v>0.22603883717074069</v>
      </c>
      <c r="W165" s="41">
        <f t="shared" si="213"/>
        <v>0.22088068725687782</v>
      </c>
    </row>
    <row r="166" spans="2:24" x14ac:dyDescent="0.3">
      <c r="B166" s="27" t="s">
        <v>81</v>
      </c>
      <c r="C166" s="37"/>
      <c r="D166" s="37"/>
      <c r="E166" s="47"/>
      <c r="F166" s="48">
        <f>F163-E163</f>
        <v>6867</v>
      </c>
      <c r="G166" s="48">
        <f t="shared" ref="G166:H166" si="214">G163-F163</f>
        <v>17296</v>
      </c>
      <c r="H166" s="48">
        <f t="shared" si="214"/>
        <v>-19342</v>
      </c>
      <c r="I166" s="40">
        <f>I163-D163</f>
        <v>-1392</v>
      </c>
      <c r="J166" s="48">
        <f>J163-H163</f>
        <v>29819</v>
      </c>
      <c r="K166" s="48">
        <f>K163-J163</f>
        <v>3305</v>
      </c>
      <c r="L166" s="48">
        <f t="shared" ref="L166:M166" si="215">L163-K163</f>
        <v>-1941</v>
      </c>
      <c r="M166" s="48">
        <f t="shared" si="215"/>
        <v>13779.17342684757</v>
      </c>
      <c r="N166" s="40">
        <f>N163-I163</f>
        <v>44962.17342684757</v>
      </c>
      <c r="O166" s="40">
        <f>O163-N163</f>
        <v>-2776.0051395325863</v>
      </c>
      <c r="P166" s="40">
        <f t="shared" ref="P166:W166" si="216">P163-O163</f>
        <v>17159.258024183888</v>
      </c>
      <c r="Q166" s="40">
        <f t="shared" si="216"/>
        <v>24665.117358191841</v>
      </c>
      <c r="R166" s="40">
        <f t="shared" si="216"/>
        <v>30399.325491510201</v>
      </c>
      <c r="S166" s="40">
        <f t="shared" si="216"/>
        <v>32823.93398747113</v>
      </c>
      <c r="T166" s="40">
        <f t="shared" si="216"/>
        <v>42911.950884741877</v>
      </c>
      <c r="U166" s="40">
        <f t="shared" si="216"/>
        <v>47844.830940570711</v>
      </c>
      <c r="V166" s="40">
        <f t="shared" si="216"/>
        <v>61058.647078748443</v>
      </c>
      <c r="W166" s="40">
        <f t="shared" si="216"/>
        <v>73151.979903761763</v>
      </c>
    </row>
    <row r="167" spans="2:24" ht="16.2" x14ac:dyDescent="0.35">
      <c r="B167" s="15" t="s">
        <v>63</v>
      </c>
      <c r="C167" s="40">
        <v>171270</v>
      </c>
      <c r="D167" s="79">
        <v>192992</v>
      </c>
      <c r="E167" s="81">
        <v>222386</v>
      </c>
      <c r="F167" s="81">
        <v>240517</v>
      </c>
      <c r="G167" s="81">
        <v>276176</v>
      </c>
      <c r="H167" s="81">
        <v>278267</v>
      </c>
      <c r="I167" s="79">
        <f>H167</f>
        <v>278267</v>
      </c>
      <c r="J167" s="81">
        <v>321312</v>
      </c>
      <c r="K167" s="81">
        <v>324675</v>
      </c>
      <c r="L167" s="81">
        <v>338186</v>
      </c>
      <c r="M167" s="48">
        <f>L167*(1+M169)</f>
        <v>351713.44</v>
      </c>
      <c r="N167" s="45">
        <f>M167</f>
        <v>351713.44</v>
      </c>
      <c r="O167" s="40">
        <f t="shared" ref="O167:W167" si="217">N167*(1+O169)</f>
        <v>425573.26240000001</v>
      </c>
      <c r="P167" s="40">
        <f t="shared" si="217"/>
        <v>508560.04856800003</v>
      </c>
      <c r="Q167" s="40">
        <f t="shared" si="217"/>
        <v>602643.65755308</v>
      </c>
      <c r="R167" s="40">
        <f t="shared" si="217"/>
        <v>709612.90676875168</v>
      </c>
      <c r="S167" s="40">
        <f t="shared" si="217"/>
        <v>831311.5202795926</v>
      </c>
      <c r="T167" s="40">
        <f t="shared" si="217"/>
        <v>969724.8884061448</v>
      </c>
      <c r="U167" s="40">
        <f t="shared" si="217"/>
        <v>1127028.1185183129</v>
      </c>
      <c r="V167" s="40">
        <f t="shared" si="217"/>
        <v>1305621.8242992328</v>
      </c>
      <c r="W167" s="40">
        <f t="shared" si="217"/>
        <v>1508164.1813521292</v>
      </c>
    </row>
    <row r="168" spans="2:24" x14ac:dyDescent="0.3">
      <c r="B168" s="27" t="s">
        <v>80</v>
      </c>
      <c r="C168" s="37"/>
      <c r="D168" s="41">
        <f>D167/D13</f>
        <v>0.62243436754176606</v>
      </c>
      <c r="E168" s="55"/>
      <c r="F168" s="55"/>
      <c r="G168" s="55"/>
      <c r="H168" s="55"/>
      <c r="I168" s="41">
        <f>I167/I13</f>
        <v>0.50701302392700187</v>
      </c>
      <c r="J168" s="55"/>
      <c r="K168" s="55"/>
      <c r="L168" s="55"/>
      <c r="M168" s="349"/>
      <c r="N168" s="41">
        <f t="shared" ref="N168:W168" si="218">N167/N13</f>
        <v>0.47702703481655678</v>
      </c>
      <c r="O168" s="41">
        <f t="shared" si="218"/>
        <v>0.47505187787850706</v>
      </c>
      <c r="P168" s="41">
        <f t="shared" si="218"/>
        <v>0.46533341863533439</v>
      </c>
      <c r="Q168" s="41">
        <f t="shared" si="218"/>
        <v>0.45586862424779767</v>
      </c>
      <c r="R168" s="41">
        <f t="shared" si="218"/>
        <v>0.44753347863409465</v>
      </c>
      <c r="S168" s="41">
        <f t="shared" si="218"/>
        <v>0.44078581811799417</v>
      </c>
      <c r="T168" s="41">
        <f t="shared" si="218"/>
        <v>0.43588826555530574</v>
      </c>
      <c r="U168" s="41">
        <f t="shared" si="218"/>
        <v>0.43300852709000237</v>
      </c>
      <c r="V168" s="41">
        <f t="shared" si="218"/>
        <v>0.43227155285052893</v>
      </c>
      <c r="W168" s="41">
        <f t="shared" si="218"/>
        <v>0.43378968343380903</v>
      </c>
    </row>
    <row r="169" spans="2:24" ht="16.2" x14ac:dyDescent="0.35">
      <c r="B169" s="12" t="s">
        <v>6</v>
      </c>
      <c r="C169" s="37"/>
      <c r="D169" s="41">
        <f>(D167/C167)-1</f>
        <v>0.12682898347638227</v>
      </c>
      <c r="E169" s="55"/>
      <c r="F169" s="55">
        <f>(F167/E167)-1</f>
        <v>8.1529412822749725E-2</v>
      </c>
      <c r="G169" s="55">
        <f>(G167/F167)-1</f>
        <v>0.14825979036824832</v>
      </c>
      <c r="H169" s="55">
        <f>(H167/G167)-1</f>
        <v>7.5712589073633207E-3</v>
      </c>
      <c r="I169" s="41">
        <f>(I167/D167)-1</f>
        <v>0.44185769358315374</v>
      </c>
      <c r="J169" s="55">
        <f>(J167/H167)-1</f>
        <v>0.15468956074561491</v>
      </c>
      <c r="K169" s="55">
        <f>(K167/J167)-1</f>
        <v>1.046646250373473E-2</v>
      </c>
      <c r="L169" s="55">
        <f>(L167/K167)-1</f>
        <v>4.1613921613921523E-2</v>
      </c>
      <c r="M169" s="349">
        <v>0.04</v>
      </c>
      <c r="N169" s="41">
        <f>(N167/I167)-1</f>
        <v>0.26394232877056933</v>
      </c>
      <c r="O169" s="87">
        <v>0.21</v>
      </c>
      <c r="P169" s="87">
        <f>O169+($X$169/(O3-20))</f>
        <v>0.19500000000000001</v>
      </c>
      <c r="Q169" s="87">
        <f>P169+($X$169/(P3-20))</f>
        <v>0.185</v>
      </c>
      <c r="R169" s="87">
        <f>Q169+($X$169/(Q3-20))</f>
        <v>0.17749999999999999</v>
      </c>
      <c r="S169" s="87">
        <f>R169+($X$169/(R3-20))</f>
        <v>0.17149999999999999</v>
      </c>
      <c r="T169" s="87">
        <f t="shared" ref="T169:W169" si="219">S169+($X$169/(S3-20))</f>
        <v>0.16649999999999998</v>
      </c>
      <c r="U169" s="87">
        <f t="shared" si="219"/>
        <v>0.1622142857142857</v>
      </c>
      <c r="V169" s="87">
        <f t="shared" si="219"/>
        <v>0.1584642857142857</v>
      </c>
      <c r="W169" s="87">
        <f t="shared" si="219"/>
        <v>0.15513095238095237</v>
      </c>
      <c r="X169" s="348">
        <v>-0.03</v>
      </c>
    </row>
    <row r="170" spans="2:24" x14ac:dyDescent="0.3">
      <c r="B170" s="93" t="s">
        <v>81</v>
      </c>
      <c r="C170" s="94"/>
      <c r="D170" s="70"/>
      <c r="E170" s="55"/>
      <c r="F170" s="48">
        <f>F167-E167</f>
        <v>18131</v>
      </c>
      <c r="G170" s="48">
        <f>G167-F167</f>
        <v>35659</v>
      </c>
      <c r="H170" s="48">
        <f>H167-G167</f>
        <v>2091</v>
      </c>
      <c r="I170" s="65">
        <f>I167-D167</f>
        <v>85275</v>
      </c>
      <c r="J170" s="62">
        <f>J167-H167</f>
        <v>43045</v>
      </c>
      <c r="K170" s="48">
        <f>K167-J167</f>
        <v>3363</v>
      </c>
      <c r="L170" s="48">
        <f>L167-K167</f>
        <v>13511</v>
      </c>
      <c r="M170" s="48">
        <f>M167-L167</f>
        <v>13527.440000000002</v>
      </c>
      <c r="N170" s="65">
        <f>N167-I167</f>
        <v>73446.44</v>
      </c>
      <c r="O170" s="65">
        <f t="shared" ref="O170:W170" si="220">O167-N167</f>
        <v>73859.822400000005</v>
      </c>
      <c r="P170" s="65">
        <f t="shared" si="220"/>
        <v>82986.786168000021</v>
      </c>
      <c r="Q170" s="65">
        <f t="shared" si="220"/>
        <v>94083.608985079976</v>
      </c>
      <c r="R170" s="65">
        <f>R167-Q167</f>
        <v>106969.24921567168</v>
      </c>
      <c r="S170" s="65">
        <f t="shared" si="220"/>
        <v>121698.61351084092</v>
      </c>
      <c r="T170" s="65">
        <f t="shared" si="220"/>
        <v>138413.3681265522</v>
      </c>
      <c r="U170" s="65">
        <f t="shared" si="220"/>
        <v>157303.23011216812</v>
      </c>
      <c r="V170" s="65">
        <f t="shared" si="220"/>
        <v>178593.70578091987</v>
      </c>
      <c r="W170" s="65">
        <f t="shared" si="220"/>
        <v>202542.3570528964</v>
      </c>
    </row>
    <row r="171" spans="2:24" ht="16.2" x14ac:dyDescent="0.35">
      <c r="B171" s="15" t="s">
        <v>64</v>
      </c>
      <c r="C171" s="40"/>
      <c r="D171" s="79">
        <v>2084</v>
      </c>
      <c r="E171" s="81">
        <v>1656</v>
      </c>
      <c r="F171" s="81">
        <v>1214</v>
      </c>
      <c r="G171" s="81">
        <v>1017</v>
      </c>
      <c r="H171" s="81">
        <v>1077</v>
      </c>
      <c r="I171" s="79">
        <f>H171</f>
        <v>1077</v>
      </c>
      <c r="J171" s="81">
        <v>1195</v>
      </c>
      <c r="K171" s="81">
        <v>1223</v>
      </c>
      <c r="L171" s="81">
        <v>1252</v>
      </c>
      <c r="M171" s="48">
        <f>M172*M52</f>
        <v>1692.0018631711598</v>
      </c>
      <c r="N171" s="45">
        <f>M171</f>
        <v>1692.0018631711598</v>
      </c>
      <c r="O171" s="40">
        <f t="shared" ref="O171:W171" si="221">O172*O52</f>
        <v>1972.4971988173331</v>
      </c>
      <c r="P171" s="40">
        <f t="shared" si="221"/>
        <v>4402.3877634066375</v>
      </c>
      <c r="Q171" s="40">
        <f t="shared" si="221"/>
        <v>8075.3222523771565</v>
      </c>
      <c r="R171" s="40">
        <f t="shared" si="221"/>
        <v>12297.194263928441</v>
      </c>
      <c r="S171" s="40">
        <f t="shared" si="221"/>
        <v>16341.849264519631</v>
      </c>
      <c r="T171" s="40">
        <f t="shared" si="221"/>
        <v>13318.716199629675</v>
      </c>
      <c r="U171" s="40">
        <f t="shared" si="221"/>
        <v>11677.384195383136</v>
      </c>
      <c r="V171" s="40">
        <f t="shared" si="221"/>
        <v>15127.451855910133</v>
      </c>
      <c r="W171" s="40">
        <f t="shared" si="221"/>
        <v>23290.758724593499</v>
      </c>
    </row>
    <row r="172" spans="2:24" x14ac:dyDescent="0.3">
      <c r="B172" s="12" t="s">
        <v>26</v>
      </c>
      <c r="C172" s="37"/>
      <c r="D172" s="41">
        <f>D171/D$52</f>
        <v>1.1183137288572164E-2</v>
      </c>
      <c r="E172" s="55">
        <f>E171/E$52</f>
        <v>2.7356978837989196E-2</v>
      </c>
      <c r="F172" s="55">
        <f t="shared" ref="F172:H172" si="222">F171/F$52</f>
        <v>1.7016385629984723E-2</v>
      </c>
      <c r="G172" s="55">
        <f t="shared" si="222"/>
        <v>1.2979554330346888E-2</v>
      </c>
      <c r="H172" s="55">
        <f t="shared" si="222"/>
        <v>1.2727938830258695E-2</v>
      </c>
      <c r="I172" s="41">
        <f>I171/I$52</f>
        <v>3.6527543192039235E-3</v>
      </c>
      <c r="J172" s="55">
        <f>J171/J$52</f>
        <v>1.0456223859440351E-2</v>
      </c>
      <c r="K172" s="55">
        <f t="shared" ref="K172:L172" si="223">K171/K$52</f>
        <v>1.3639810849393291E-2</v>
      </c>
      <c r="L172" s="55">
        <f t="shared" si="223"/>
        <v>1.4745197799997644E-2</v>
      </c>
      <c r="M172" s="349">
        <f>L172</f>
        <v>1.4745197799997644E-2</v>
      </c>
      <c r="N172" s="340">
        <f>N171/N52</f>
        <v>4.3094068717873515E-3</v>
      </c>
      <c r="O172" s="87">
        <f>AVERAGE(N172,I172)</f>
        <v>3.9810805954956377E-3</v>
      </c>
      <c r="P172" s="87">
        <f t="shared" ref="P172:W172" si="224">AVERAGE(O172,J172)</f>
        <v>7.2186522274679948E-3</v>
      </c>
      <c r="Q172" s="87">
        <f t="shared" si="224"/>
        <v>1.0429231538430643E-2</v>
      </c>
      <c r="R172" s="87">
        <f t="shared" si="224"/>
        <v>1.2587214669214144E-2</v>
      </c>
      <c r="S172" s="87">
        <f t="shared" si="224"/>
        <v>1.3666206234605894E-2</v>
      </c>
      <c r="T172" s="87">
        <f t="shared" si="224"/>
        <v>8.9878065531966232E-3</v>
      </c>
      <c r="U172" s="87">
        <f t="shared" si="224"/>
        <v>6.4844435743461309E-3</v>
      </c>
      <c r="V172" s="87">
        <f t="shared" si="224"/>
        <v>6.8515479009070629E-3</v>
      </c>
      <c r="W172" s="87">
        <f t="shared" si="224"/>
        <v>8.6403897196688523E-3</v>
      </c>
    </row>
    <row r="173" spans="2:24" ht="16.2" x14ac:dyDescent="0.35">
      <c r="B173" s="15" t="s">
        <v>65</v>
      </c>
      <c r="C173" s="40"/>
      <c r="D173" s="79">
        <v>4256</v>
      </c>
      <c r="E173" s="81">
        <v>3122</v>
      </c>
      <c r="F173" s="81">
        <v>0</v>
      </c>
      <c r="G173" s="81">
        <v>0</v>
      </c>
      <c r="H173" s="81">
        <v>0</v>
      </c>
      <c r="I173" s="79">
        <v>0</v>
      </c>
      <c r="J173" s="81">
        <v>0</v>
      </c>
      <c r="K173" s="81">
        <v>0</v>
      </c>
      <c r="L173" s="81">
        <v>0</v>
      </c>
      <c r="M173" s="81">
        <v>0</v>
      </c>
      <c r="N173" s="364">
        <f>I173</f>
        <v>0</v>
      </c>
      <c r="O173" s="100">
        <f>N173</f>
        <v>0</v>
      </c>
      <c r="P173" s="100">
        <f t="shared" ref="P173:W173" si="225">O173</f>
        <v>0</v>
      </c>
      <c r="Q173" s="100">
        <f t="shared" si="225"/>
        <v>0</v>
      </c>
      <c r="R173" s="100">
        <f t="shared" si="225"/>
        <v>0</v>
      </c>
      <c r="S173" s="100">
        <f t="shared" si="225"/>
        <v>0</v>
      </c>
      <c r="T173" s="100">
        <f t="shared" si="225"/>
        <v>0</v>
      </c>
      <c r="U173" s="100">
        <f t="shared" si="225"/>
        <v>0</v>
      </c>
      <c r="V173" s="100">
        <f t="shared" si="225"/>
        <v>0</v>
      </c>
      <c r="W173" s="100">
        <f t="shared" si="225"/>
        <v>0</v>
      </c>
    </row>
    <row r="174" spans="2:24" x14ac:dyDescent="0.3">
      <c r="B174" s="12" t="s">
        <v>26</v>
      </c>
      <c r="C174" s="37"/>
      <c r="D174" s="41">
        <f>D173/D$52</f>
        <v>2.2838499184339316E-2</v>
      </c>
      <c r="E174" s="55">
        <f>E173/E$52</f>
        <v>5.1575173872102822E-2</v>
      </c>
      <c r="F174" s="55">
        <f t="shared" ref="F174:H174" si="226">F173/F$52</f>
        <v>0</v>
      </c>
      <c r="G174" s="55">
        <f t="shared" si="226"/>
        <v>0</v>
      </c>
      <c r="H174" s="55">
        <f t="shared" si="226"/>
        <v>0</v>
      </c>
      <c r="I174" s="41">
        <f>I173/I$52</f>
        <v>0</v>
      </c>
      <c r="J174" s="55">
        <f>J173/J$52</f>
        <v>0</v>
      </c>
      <c r="K174" s="55">
        <f t="shared" ref="K174:M174" si="227">K173/K$52</f>
        <v>0</v>
      </c>
      <c r="L174" s="55">
        <f t="shared" si="227"/>
        <v>0</v>
      </c>
      <c r="M174" s="55">
        <f t="shared" si="227"/>
        <v>0</v>
      </c>
      <c r="N174" s="41">
        <f>N173/N$52</f>
        <v>0</v>
      </c>
      <c r="O174" s="41">
        <f>O173/O$52</f>
        <v>0</v>
      </c>
      <c r="P174" s="41">
        <f t="shared" ref="P174:W174" si="228">P173/P$52</f>
        <v>0</v>
      </c>
      <c r="Q174" s="41">
        <f t="shared" si="228"/>
        <v>0</v>
      </c>
      <c r="R174" s="41">
        <f t="shared" si="228"/>
        <v>0</v>
      </c>
      <c r="S174" s="41">
        <f t="shared" si="228"/>
        <v>0</v>
      </c>
      <c r="T174" s="41">
        <f t="shared" si="228"/>
        <v>0</v>
      </c>
      <c r="U174" s="41">
        <f t="shared" si="228"/>
        <v>0</v>
      </c>
      <c r="V174" s="41">
        <f t="shared" si="228"/>
        <v>0</v>
      </c>
      <c r="W174" s="41">
        <f t="shared" si="228"/>
        <v>0</v>
      </c>
    </row>
    <row r="175" spans="2:24" ht="16.2" x14ac:dyDescent="0.35">
      <c r="B175" s="15" t="s">
        <v>29</v>
      </c>
      <c r="C175" s="40"/>
      <c r="D175" s="79">
        <v>9484</v>
      </c>
      <c r="E175" s="81">
        <v>10974</v>
      </c>
      <c r="F175" s="81">
        <v>15079</v>
      </c>
      <c r="G175" s="81">
        <v>17855</v>
      </c>
      <c r="H175" s="81">
        <v>19576</v>
      </c>
      <c r="I175" s="79">
        <f>H175</f>
        <v>19576</v>
      </c>
      <c r="J175" s="81">
        <v>23728</v>
      </c>
      <c r="K175" s="81">
        <v>24805</v>
      </c>
      <c r="L175" s="81">
        <v>25327</v>
      </c>
      <c r="M175" s="48">
        <f>M176*M52</f>
        <v>28687.337500000001</v>
      </c>
      <c r="N175" s="45">
        <f>M175</f>
        <v>28687.337500000001</v>
      </c>
      <c r="O175" s="40">
        <f t="shared" ref="O175:W175" si="229">O176*O52</f>
        <v>34682.745200746998</v>
      </c>
      <c r="P175" s="40">
        <f t="shared" si="229"/>
        <v>42690.398945366149</v>
      </c>
      <c r="Q175" s="40">
        <f t="shared" si="229"/>
        <v>54200.787045855672</v>
      </c>
      <c r="R175" s="40">
        <f t="shared" si="229"/>
        <v>68387.138941893762</v>
      </c>
      <c r="S175" s="40">
        <f t="shared" si="229"/>
        <v>83704.974802713623</v>
      </c>
      <c r="T175" s="40">
        <f t="shared" si="229"/>
        <v>103730.55188225984</v>
      </c>
      <c r="U175" s="40">
        <f t="shared" si="229"/>
        <v>126058.1396545262</v>
      </c>
      <c r="V175" s="40">
        <f t="shared" si="229"/>
        <v>154552.17495794213</v>
      </c>
      <c r="W175" s="40">
        <f t="shared" si="229"/>
        <v>188689.76557969762</v>
      </c>
    </row>
    <row r="176" spans="2:24" x14ac:dyDescent="0.3">
      <c r="B176" s="12" t="s">
        <v>26</v>
      </c>
      <c r="C176" s="37"/>
      <c r="D176" s="41">
        <f>D175/D$52</f>
        <v>5.0892933802695973E-2</v>
      </c>
      <c r="E176" s="55">
        <f>E175/E$52</f>
        <v>0.18128954454595014</v>
      </c>
      <c r="F176" s="55">
        <f t="shared" ref="F176:H176" si="230">F175/F$52</f>
        <v>0.21135920833158123</v>
      </c>
      <c r="G176" s="55">
        <f t="shared" si="230"/>
        <v>0.22787604972305178</v>
      </c>
      <c r="H176" s="55">
        <f t="shared" si="230"/>
        <v>0.23134831062316083</v>
      </c>
      <c r="I176" s="41">
        <f>I175/I$52</f>
        <v>6.6393981943116062E-2</v>
      </c>
      <c r="J176" s="55">
        <f>J175/J$52</f>
        <v>0.20761948095129762</v>
      </c>
      <c r="K176" s="55">
        <f t="shared" ref="K176:L176" si="231">K175/K$52</f>
        <v>0.27664391506067093</v>
      </c>
      <c r="L176" s="55">
        <f t="shared" si="231"/>
        <v>0.29828404527199709</v>
      </c>
      <c r="M176" s="349">
        <v>0.25</v>
      </c>
      <c r="N176" s="41">
        <f>N175/N$52</f>
        <v>7.3064582283664581E-2</v>
      </c>
      <c r="O176" s="87">
        <v>7.0000000000000007E-2</v>
      </c>
      <c r="P176" s="87">
        <v>7.0000000000000007E-2</v>
      </c>
      <c r="Q176" s="87">
        <v>7.0000000000000007E-2</v>
      </c>
      <c r="R176" s="87">
        <v>7.0000000000000007E-2</v>
      </c>
      <c r="S176" s="87">
        <v>7.0000000000000007E-2</v>
      </c>
      <c r="T176" s="87">
        <v>7.0000000000000007E-2</v>
      </c>
      <c r="U176" s="87">
        <v>7.0000000000000007E-2</v>
      </c>
      <c r="V176" s="87">
        <v>7.0000000000000007E-2</v>
      </c>
      <c r="W176" s="87">
        <v>7.0000000000000007E-2</v>
      </c>
    </row>
    <row r="177" spans="2:24" x14ac:dyDescent="0.3">
      <c r="B177" s="93" t="s">
        <v>81</v>
      </c>
      <c r="C177" s="94"/>
      <c r="D177" s="70"/>
      <c r="E177" s="55"/>
      <c r="F177" s="48">
        <f t="shared" ref="F177:H177" si="232">F175-E175</f>
        <v>4105</v>
      </c>
      <c r="G177" s="48">
        <f t="shared" si="232"/>
        <v>2776</v>
      </c>
      <c r="H177" s="48">
        <f t="shared" si="232"/>
        <v>1721</v>
      </c>
      <c r="I177" s="65">
        <f>I175-D175</f>
        <v>10092</v>
      </c>
      <c r="J177" s="62">
        <f>J175-H175</f>
        <v>4152</v>
      </c>
      <c r="K177" s="48">
        <f t="shared" ref="K177:M177" si="233">K175-J175</f>
        <v>1077</v>
      </c>
      <c r="L177" s="48">
        <f t="shared" si="233"/>
        <v>522</v>
      </c>
      <c r="M177" s="48">
        <f t="shared" si="233"/>
        <v>3360.3375000000015</v>
      </c>
      <c r="N177" s="65">
        <f>N175-I175</f>
        <v>9111.3375000000015</v>
      </c>
      <c r="O177" s="65">
        <f>O175-N175</f>
        <v>5995.4077007469969</v>
      </c>
      <c r="P177" s="65">
        <f t="shared" ref="P177:W177" si="234">P175-O175</f>
        <v>8007.6537446191505</v>
      </c>
      <c r="Q177" s="65">
        <f t="shared" si="234"/>
        <v>11510.388100489523</v>
      </c>
      <c r="R177" s="65">
        <f t="shared" si="234"/>
        <v>14186.35189603809</v>
      </c>
      <c r="S177" s="65">
        <f t="shared" si="234"/>
        <v>15317.835860819861</v>
      </c>
      <c r="T177" s="65">
        <f t="shared" si="234"/>
        <v>20025.577079546216</v>
      </c>
      <c r="U177" s="65">
        <f t="shared" si="234"/>
        <v>22327.587772266357</v>
      </c>
      <c r="V177" s="65">
        <f t="shared" si="234"/>
        <v>28494.035303415934</v>
      </c>
      <c r="W177" s="65">
        <f t="shared" si="234"/>
        <v>34137.590621755488</v>
      </c>
    </row>
    <row r="178" spans="2:24" ht="16.8" thickBot="1" x14ac:dyDescent="0.4">
      <c r="B178" s="28" t="s">
        <v>30</v>
      </c>
      <c r="C178" s="43">
        <f t="shared" ref="C178:W178" si="235">SUM(C157+C160+C163+C167+C171+C173+C175)</f>
        <v>171270</v>
      </c>
      <c r="D178" s="43">
        <f t="shared" si="235"/>
        <v>254431</v>
      </c>
      <c r="E178" s="52">
        <f t="shared" si="235"/>
        <v>275414</v>
      </c>
      <c r="F178" s="52">
        <f t="shared" si="235"/>
        <v>302057</v>
      </c>
      <c r="G178" s="52">
        <f t="shared" si="235"/>
        <v>353491</v>
      </c>
      <c r="H178" s="52">
        <f t="shared" si="235"/>
        <v>345538</v>
      </c>
      <c r="I178" s="43">
        <f t="shared" si="235"/>
        <v>345538</v>
      </c>
      <c r="J178" s="52">
        <f t="shared" si="235"/>
        <v>419966</v>
      </c>
      <c r="K178" s="52">
        <f t="shared" si="235"/>
        <v>421910</v>
      </c>
      <c r="L178" s="52">
        <f t="shared" si="235"/>
        <v>433669</v>
      </c>
      <c r="M178" s="52">
        <f t="shared" si="235"/>
        <v>465530.23945846019</v>
      </c>
      <c r="N178" s="344">
        <f t="shared" si="235"/>
        <v>465530.23945846019</v>
      </c>
      <c r="O178" s="344">
        <f t="shared" si="235"/>
        <v>551807.23289799527</v>
      </c>
      <c r="P178" s="344">
        <f t="shared" si="235"/>
        <v>678359.86682072794</v>
      </c>
      <c r="Q178" s="344">
        <f t="shared" si="235"/>
        <v>822471.44561707473</v>
      </c>
      <c r="R178" s="344">
        <f t="shared" si="235"/>
        <v>980436.796922863</v>
      </c>
      <c r="S178" s="344">
        <f t="shared" si="235"/>
        <v>1158875.2112212109</v>
      </c>
      <c r="T178" s="344">
        <f t="shared" si="235"/>
        <v>1357757.0962147475</v>
      </c>
      <c r="U178" s="344">
        <f t="shared" si="235"/>
        <v>1589892.3360854399</v>
      </c>
      <c r="V178" s="344">
        <f t="shared" si="235"/>
        <v>1891919.8119170219</v>
      </c>
      <c r="W178" s="42">
        <f t="shared" si="235"/>
        <v>2242900.197414482</v>
      </c>
    </row>
    <row r="179" spans="2:24" ht="16.8" thickTop="1" x14ac:dyDescent="0.35">
      <c r="B179" s="15" t="s">
        <v>31</v>
      </c>
      <c r="C179" s="40">
        <f t="shared" ref="C179:W179" si="236">C155-C178</f>
        <v>-171270</v>
      </c>
      <c r="D179" s="40">
        <f t="shared" si="236"/>
        <v>-48731</v>
      </c>
      <c r="E179" s="48">
        <f t="shared" si="236"/>
        <v>-137867</v>
      </c>
      <c r="F179" s="48">
        <f t="shared" si="236"/>
        <v>-138065</v>
      </c>
      <c r="G179" s="48">
        <f t="shared" si="236"/>
        <v>-146205</v>
      </c>
      <c r="H179" s="48">
        <f t="shared" si="236"/>
        <v>-164901</v>
      </c>
      <c r="I179" s="40">
        <f t="shared" si="236"/>
        <v>-164901</v>
      </c>
      <c r="J179" s="48">
        <f t="shared" si="236"/>
        <v>-150861</v>
      </c>
      <c r="K179" s="48">
        <f t="shared" si="236"/>
        <v>-91592</v>
      </c>
      <c r="L179" s="48">
        <f t="shared" si="236"/>
        <v>-198213</v>
      </c>
      <c r="M179" s="48">
        <f t="shared" si="236"/>
        <v>-172701.88870060479</v>
      </c>
      <c r="N179" s="45">
        <f t="shared" si="236"/>
        <v>-360645.88870060479</v>
      </c>
      <c r="O179" s="45">
        <f t="shared" si="236"/>
        <v>-409962.86226255732</v>
      </c>
      <c r="P179" s="45">
        <f t="shared" si="236"/>
        <v>-500934.01552491728</v>
      </c>
      <c r="Q179" s="45">
        <f t="shared" si="236"/>
        <v>-593555.99654479977</v>
      </c>
      <c r="R179" s="45">
        <f t="shared" si="236"/>
        <v>-687304.83412366849</v>
      </c>
      <c r="S179" s="45">
        <f t="shared" si="236"/>
        <v>-794688.67901872192</v>
      </c>
      <c r="T179" s="45">
        <f t="shared" si="236"/>
        <v>-899695.36408784729</v>
      </c>
      <c r="U179" s="45">
        <f t="shared" si="236"/>
        <v>-1026747.0956594259</v>
      </c>
      <c r="V179" s="45">
        <f t="shared" si="236"/>
        <v>-1192100.8028642456</v>
      </c>
      <c r="W179" s="42">
        <f t="shared" si="236"/>
        <v>-1375809.032402717</v>
      </c>
    </row>
    <row r="180" spans="2:24" x14ac:dyDescent="0.3">
      <c r="B180" s="12" t="s">
        <v>32</v>
      </c>
      <c r="C180" s="37"/>
      <c r="D180" s="72">
        <f t="shared" ref="D180:W180" si="237">D25/D179</f>
        <v>-5.586238739200919</v>
      </c>
      <c r="E180" s="74">
        <f t="shared" si="237"/>
        <v>-0.55402670689867772</v>
      </c>
      <c r="F180" s="74">
        <f t="shared" si="237"/>
        <v>-0.59968130952812082</v>
      </c>
      <c r="G180" s="74">
        <f t="shared" si="237"/>
        <v>-0.67137922779658699</v>
      </c>
      <c r="H180" s="74">
        <f t="shared" si="237"/>
        <v>-0.6479220865852845</v>
      </c>
      <c r="I180" s="72">
        <f t="shared" si="237"/>
        <v>-2.208470536867575</v>
      </c>
      <c r="J180" s="74">
        <f t="shared" si="237"/>
        <v>-0.79353842278653863</v>
      </c>
      <c r="K180" s="74">
        <f t="shared" si="237"/>
        <v>-1.5517730806183947</v>
      </c>
      <c r="L180" s="74">
        <f t="shared" si="237"/>
        <v>-0.70967595465484101</v>
      </c>
      <c r="M180" s="74">
        <f t="shared" si="237"/>
        <v>-0.81450759489874291</v>
      </c>
      <c r="N180" s="72">
        <f t="shared" si="237"/>
        <v>-1.5061255847309181</v>
      </c>
      <c r="O180" s="72">
        <f t="shared" si="237"/>
        <v>-1.664881008631151</v>
      </c>
      <c r="P180" s="72">
        <f t="shared" si="237"/>
        <v>-1.6667989582792402</v>
      </c>
      <c r="Q180" s="72">
        <f t="shared" si="237"/>
        <v>-1.7750595511948226</v>
      </c>
      <c r="R180" s="72">
        <f t="shared" si="237"/>
        <v>-1.9354946659484356</v>
      </c>
      <c r="S180" s="72">
        <f t="shared" si="237"/>
        <v>-2.0503056014340846</v>
      </c>
      <c r="T180" s="72">
        <f t="shared" si="237"/>
        <v>-2.2458096781115136</v>
      </c>
      <c r="U180" s="72">
        <f t="shared" si="237"/>
        <v>-2.4262355842439929</v>
      </c>
      <c r="V180" s="72">
        <f t="shared" si="237"/>
        <v>-2.5638291403016931</v>
      </c>
      <c r="W180" s="72">
        <f t="shared" si="237"/>
        <v>-2.7140543428509272</v>
      </c>
    </row>
    <row r="181" spans="2:24" ht="16.2" x14ac:dyDescent="0.35">
      <c r="B181" s="15" t="s">
        <v>202</v>
      </c>
      <c r="C181" s="347">
        <v>39572</v>
      </c>
      <c r="D181" s="347">
        <v>15422</v>
      </c>
      <c r="E181" s="59"/>
      <c r="F181" s="59">
        <f>-F139-F142+F145-F154+F159+F162+F166+F177+F194+F191</f>
        <v>36116</v>
      </c>
      <c r="G181" s="59">
        <f>-G139-G142+G145-G154+G159+G162+G166+G177+G194+G191</f>
        <v>48548</v>
      </c>
      <c r="H181" s="59">
        <f>-H139-H142+H145-H154+H159+H162+H166+H177+H194+H191</f>
        <v>6165</v>
      </c>
      <c r="I181" s="98">
        <f>-I139-I142+I145-I154+I159+I162+I166+I177+I194+I193</f>
        <v>116494</v>
      </c>
      <c r="J181" s="59">
        <f>-J139-J142+J145-J154+J159+J162+J166+J177+J194+J191</f>
        <v>111996</v>
      </c>
      <c r="K181" s="59">
        <f>-K139-K142+K145-K154+K159+K162+K166+K177+K194+K191</f>
        <v>21960</v>
      </c>
      <c r="L181" s="59">
        <f>-L139-L142+L145-L154+L159+L162+L166+L177+L194+L191</f>
        <v>-15804</v>
      </c>
      <c r="M181" s="59">
        <f>-M139-M142+M145-M154+M159+M162+M166+M177+M194+M191</f>
        <v>19878.391837433504</v>
      </c>
      <c r="N181" s="98">
        <f>-N139-N142+N145-N154+N159+N162+N166+N177+N194+N193</f>
        <v>138736.3918374335</v>
      </c>
      <c r="O181" s="98">
        <f>-O139-O142+O145-O154+O159+O162+O166+O177+O194+O193</f>
        <v>51423.774630391927</v>
      </c>
      <c r="P181" s="98">
        <f t="shared" ref="P181:W181" si="238">-P139-P142+P145-P154+P159+P162+P166+P177+P194+P193</f>
        <v>108844.34697630373</v>
      </c>
      <c r="Q181" s="98">
        <f t="shared" si="238"/>
        <v>72298.982964383904</v>
      </c>
      <c r="R181" s="98">
        <f t="shared" si="238"/>
        <v>25888.073911295534</v>
      </c>
      <c r="S181" s="98">
        <f t="shared" si="238"/>
        <v>-16499.059845621639</v>
      </c>
      <c r="T181" s="98">
        <f t="shared" si="238"/>
        <v>-57494.230169740273</v>
      </c>
      <c r="U181" s="98">
        <f t="shared" si="238"/>
        <v>-86584.841387717694</v>
      </c>
      <c r="V181" s="98">
        <f t="shared" si="238"/>
        <v>-122389.42906896421</v>
      </c>
      <c r="W181" s="98">
        <f t="shared" si="238"/>
        <v>-194570.5888790997</v>
      </c>
      <c r="X181" s="29"/>
    </row>
    <row r="182" spans="2:24" ht="16.2" x14ac:dyDescent="0.35">
      <c r="B182" s="15"/>
      <c r="C182" s="347"/>
      <c r="D182" s="347"/>
      <c r="E182" s="59"/>
      <c r="F182" s="59"/>
      <c r="G182" s="59"/>
      <c r="H182" s="59"/>
      <c r="I182" s="98"/>
      <c r="J182" s="59"/>
      <c r="K182" s="59"/>
      <c r="L182" s="59"/>
      <c r="M182" s="59"/>
      <c r="N182" s="412"/>
      <c r="O182" s="98"/>
      <c r="P182" s="98"/>
      <c r="Q182" s="98"/>
      <c r="R182" s="98"/>
      <c r="S182" s="98"/>
      <c r="T182" s="98"/>
      <c r="U182" s="98"/>
      <c r="V182" s="98"/>
      <c r="W182" s="98"/>
      <c r="X182" s="29"/>
    </row>
    <row r="183" spans="2:24" ht="16.2" x14ac:dyDescent="0.35">
      <c r="B183" s="15" t="s">
        <v>233</v>
      </c>
      <c r="C183" s="347"/>
      <c r="D183" s="444">
        <f>D107+D109+D111+D113+D115+D118+D120+D155</f>
        <v>276205</v>
      </c>
      <c r="E183" s="445">
        <f t="shared" ref="E183:W183" si="239">E107+E109+E111+E113+E115+E118+E120+E155</f>
        <v>212749</v>
      </c>
      <c r="F183" s="404">
        <f t="shared" si="239"/>
        <v>241903</v>
      </c>
      <c r="G183" s="404">
        <f t="shared" si="239"/>
        <v>294356</v>
      </c>
      <c r="H183" s="405">
        <f t="shared" si="239"/>
        <v>284813</v>
      </c>
      <c r="I183" s="444">
        <f t="shared" si="239"/>
        <v>284813</v>
      </c>
      <c r="J183" s="445">
        <f t="shared" si="239"/>
        <v>415925</v>
      </c>
      <c r="K183" s="404">
        <f t="shared" si="239"/>
        <v>490883</v>
      </c>
      <c r="L183" s="404">
        <f>L107+L109+L111+L113+L115+L118+L120+L155</f>
        <v>396163</v>
      </c>
      <c r="M183" s="405">
        <f t="shared" si="239"/>
        <v>456548.15075785539</v>
      </c>
      <c r="N183" s="444">
        <f>N107+N109+N111+N113+N115+N118+N120+N155</f>
        <v>268604.15075785539</v>
      </c>
      <c r="O183" s="444">
        <f t="shared" si="239"/>
        <v>337994.69902803481</v>
      </c>
      <c r="P183" s="444">
        <f t="shared" si="239"/>
        <v>411833.97476376279</v>
      </c>
      <c r="Q183" s="444">
        <f t="shared" si="239"/>
        <v>518932.71584955766</v>
      </c>
      <c r="R183" s="444">
        <f t="shared" si="239"/>
        <v>652178.75464780256</v>
      </c>
      <c r="S183" s="444">
        <f t="shared" si="239"/>
        <v>799619.96477468335</v>
      </c>
      <c r="T183" s="444">
        <f t="shared" si="239"/>
        <v>994540.10475005955</v>
      </c>
      <c r="U183" s="444">
        <f t="shared" si="239"/>
        <v>1210764.0585768735</v>
      </c>
      <c r="V183" s="444">
        <f t="shared" si="239"/>
        <v>1495066.063333021</v>
      </c>
      <c r="W183" s="444">
        <f t="shared" si="239"/>
        <v>1841997.5102275198</v>
      </c>
      <c r="X183" s="29"/>
    </row>
    <row r="184" spans="2:24" ht="16.2" x14ac:dyDescent="0.35">
      <c r="B184" s="15" t="s">
        <v>234</v>
      </c>
      <c r="C184" s="347"/>
      <c r="D184" s="444">
        <f>D122+D124+D126+D129+D131+D178</f>
        <v>544269</v>
      </c>
      <c r="E184" s="445">
        <f t="shared" ref="E184:V184" si="240">E122+E124+E126+E129+E131+E178</f>
        <v>564705</v>
      </c>
      <c r="F184" s="404">
        <f t="shared" si="240"/>
        <v>683090</v>
      </c>
      <c r="G184" s="404">
        <f t="shared" si="240"/>
        <v>815798</v>
      </c>
      <c r="H184" s="405">
        <f t="shared" si="240"/>
        <v>1205423</v>
      </c>
      <c r="I184" s="444">
        <f t="shared" si="240"/>
        <v>1205423</v>
      </c>
      <c r="J184" s="445">
        <f t="shared" si="240"/>
        <v>1964992</v>
      </c>
      <c r="K184" s="404">
        <f t="shared" si="240"/>
        <v>2049822</v>
      </c>
      <c r="L184" s="404">
        <f t="shared" si="240"/>
        <v>809740</v>
      </c>
      <c r="M184" s="405">
        <f t="shared" si="240"/>
        <v>840401.72445846011</v>
      </c>
      <c r="N184" s="444">
        <f>N122+N124+N126+N129+N131+N178</f>
        <v>840401.72445846011</v>
      </c>
      <c r="O184" s="444">
        <f t="shared" si="240"/>
        <v>981895.09136939724</v>
      </c>
      <c r="P184" s="444">
        <f t="shared" si="240"/>
        <v>1205995.5790687934</v>
      </c>
      <c r="Q184" s="444">
        <f t="shared" si="240"/>
        <v>1465040.2724124347</v>
      </c>
      <c r="R184" s="444">
        <f t="shared" si="240"/>
        <v>1757033.3054088657</v>
      </c>
      <c r="S184" s="444">
        <f t="shared" si="240"/>
        <v>2090167.7986964902</v>
      </c>
      <c r="T184" s="444">
        <f t="shared" si="240"/>
        <v>2465773.6309531978</v>
      </c>
      <c r="U184" s="444">
        <f t="shared" si="240"/>
        <v>2897721.2754762517</v>
      </c>
      <c r="V184" s="444">
        <f t="shared" si="240"/>
        <v>3423324.3017026638</v>
      </c>
      <c r="W184" s="444">
        <f>W122+W124+W126+W129+W131+W178</f>
        <v>4021846.4598399503</v>
      </c>
      <c r="X184" s="29"/>
    </row>
    <row r="185" spans="2:24" ht="16.2" x14ac:dyDescent="0.35">
      <c r="B185" s="15"/>
      <c r="C185" s="37"/>
      <c r="D185" s="37"/>
      <c r="E185" s="47"/>
      <c r="F185" s="47"/>
      <c r="G185" s="47"/>
      <c r="H185" s="47"/>
      <c r="I185" s="40"/>
      <c r="J185" s="48"/>
      <c r="K185" s="47"/>
      <c r="L185" s="55"/>
      <c r="M185" s="47"/>
      <c r="N185" s="45"/>
      <c r="O185" s="37"/>
      <c r="P185" s="37"/>
      <c r="Q185" s="37"/>
      <c r="R185" s="37"/>
      <c r="S185" s="37"/>
      <c r="T185" s="37"/>
      <c r="U185" s="37"/>
      <c r="V185" s="37"/>
      <c r="W185" s="37"/>
      <c r="X185" s="29"/>
    </row>
    <row r="186" spans="2:24" ht="16.2" x14ac:dyDescent="0.35">
      <c r="B186" s="25" t="s">
        <v>85</v>
      </c>
      <c r="C186" s="37"/>
      <c r="D186" s="37"/>
      <c r="E186" s="47"/>
      <c r="F186" s="48"/>
      <c r="G186" s="47"/>
      <c r="H186" s="47"/>
      <c r="I186" s="40"/>
      <c r="J186" s="48"/>
      <c r="K186" s="47"/>
      <c r="L186" s="47"/>
      <c r="M186" s="47"/>
      <c r="N186" s="92"/>
      <c r="O186" s="37"/>
      <c r="P186" s="37"/>
      <c r="Q186" s="37"/>
      <c r="R186" s="37"/>
      <c r="S186" s="37"/>
      <c r="T186" s="37"/>
      <c r="U186" s="37"/>
      <c r="V186" s="37"/>
      <c r="W186" s="37"/>
      <c r="X186" s="29"/>
    </row>
    <row r="187" spans="2:24" ht="16.2" x14ac:dyDescent="0.35">
      <c r="B187" s="15" t="s">
        <v>86</v>
      </c>
      <c r="C187" s="37"/>
      <c r="D187" s="79"/>
      <c r="E187" s="47"/>
      <c r="F187" s="48">
        <f>F126-E126</f>
        <v>19115</v>
      </c>
      <c r="G187" s="48">
        <f>G126-F126</f>
        <v>14111</v>
      </c>
      <c r="H187" s="48">
        <f>H126-G126</f>
        <v>48722</v>
      </c>
      <c r="I187" s="40">
        <f>I126-D126</f>
        <v>93574</v>
      </c>
      <c r="J187" s="48">
        <f>J126-I126</f>
        <v>89320</v>
      </c>
      <c r="K187" s="48">
        <f>K126-J126</f>
        <v>38996</v>
      </c>
      <c r="L187" s="48">
        <f>L126-K126</f>
        <v>-16121</v>
      </c>
      <c r="M187" s="48">
        <f>M126-L126</f>
        <v>-1420.0150000000722</v>
      </c>
      <c r="N187" s="40">
        <f>N126-I126</f>
        <v>110774.98499999993</v>
      </c>
      <c r="O187" s="40">
        <f>O126-N126</f>
        <v>55791.573471402051</v>
      </c>
      <c r="P187" s="40">
        <f t="shared" ref="P187:W187" si="241">P126-O126</f>
        <v>98077.037776663492</v>
      </c>
      <c r="Q187" s="40">
        <f t="shared" si="241"/>
        <v>115419.96382729465</v>
      </c>
      <c r="R187" s="40">
        <f t="shared" si="241"/>
        <v>134475.58302824257</v>
      </c>
      <c r="S187" s="40">
        <f t="shared" si="241"/>
        <v>155108.14821986866</v>
      </c>
      <c r="T187" s="40">
        <f t="shared" si="241"/>
        <v>177103.05095531559</v>
      </c>
      <c r="U187" s="40">
        <f t="shared" si="241"/>
        <v>200161.18004913488</v>
      </c>
      <c r="V187" s="40">
        <f t="shared" si="241"/>
        <v>223896.42375986092</v>
      </c>
      <c r="W187" s="40">
        <f t="shared" si="241"/>
        <v>247836.97613565554</v>
      </c>
      <c r="X187" s="29"/>
    </row>
    <row r="188" spans="2:24" x14ac:dyDescent="0.3">
      <c r="B188" s="97" t="s">
        <v>84</v>
      </c>
      <c r="C188" s="37"/>
      <c r="D188" s="41"/>
      <c r="E188" s="47"/>
      <c r="F188" s="55">
        <f>F187/F191</f>
        <v>0.5132094721580841</v>
      </c>
      <c r="G188" s="55">
        <f t="shared" ref="G188:H188" si="242">G187/G191</f>
        <v>0.28352421137231265</v>
      </c>
      <c r="H188" s="55">
        <f t="shared" si="242"/>
        <v>0.9588491134158581</v>
      </c>
      <c r="I188" s="41">
        <f>H188</f>
        <v>0.9588491134158581</v>
      </c>
      <c r="J188" s="55">
        <f t="shared" ref="J188" si="243">J187/J191</f>
        <v>0.6748007403769879</v>
      </c>
      <c r="K188" s="55">
        <f t="shared" ref="K188" si="244">K187/K191</f>
        <v>0.92060719091574394</v>
      </c>
      <c r="L188" s="55">
        <f t="shared" ref="L188:M188" si="245">L187/L191</f>
        <v>6.1766283524904217</v>
      </c>
      <c r="M188" s="55">
        <f t="shared" si="245"/>
        <v>-0.11728464144936519</v>
      </c>
      <c r="N188" s="41">
        <f>M188</f>
        <v>-0.11728464144936519</v>
      </c>
      <c r="O188" s="41">
        <f>O187/O191</f>
        <v>0.43031988276269934</v>
      </c>
      <c r="P188" s="41">
        <f t="shared" ref="P188:W188" si="246">P187/P191</f>
        <v>0.54167108393025909</v>
      </c>
      <c r="Q188" s="41">
        <f t="shared" si="246"/>
        <v>0.55092121951858763</v>
      </c>
      <c r="R188" s="41">
        <f t="shared" si="246"/>
        <v>0.55696194355649586</v>
      </c>
      <c r="S188" s="41">
        <f t="shared" si="246"/>
        <v>0.56034811884676805</v>
      </c>
      <c r="T188" s="41">
        <f t="shared" si="246"/>
        <v>0.56131167902663803</v>
      </c>
      <c r="U188" s="41">
        <f t="shared" si="246"/>
        <v>0.559947156582144</v>
      </c>
      <c r="V188" s="41">
        <f t="shared" si="246"/>
        <v>0.55627804839665129</v>
      </c>
      <c r="W188" s="41">
        <f t="shared" si="246"/>
        <v>0.55028496618848677</v>
      </c>
      <c r="X188" s="29"/>
    </row>
    <row r="189" spans="2:24" ht="16.2" x14ac:dyDescent="0.35">
      <c r="B189" s="15" t="s">
        <v>87</v>
      </c>
      <c r="C189" s="37"/>
      <c r="D189" s="79"/>
      <c r="E189" s="47"/>
      <c r="F189" s="48">
        <f>F167-E167</f>
        <v>18131</v>
      </c>
      <c r="G189" s="48">
        <f>G167-F167</f>
        <v>35659</v>
      </c>
      <c r="H189" s="48">
        <f>H167-G167</f>
        <v>2091</v>
      </c>
      <c r="I189" s="40">
        <f>I167-D167</f>
        <v>85275</v>
      </c>
      <c r="J189" s="48">
        <f>J167-I167</f>
        <v>43045</v>
      </c>
      <c r="K189" s="48">
        <f>K167-J167</f>
        <v>3363</v>
      </c>
      <c r="L189" s="48">
        <f>L167-K167</f>
        <v>13511</v>
      </c>
      <c r="M189" s="48">
        <f>M167-L167</f>
        <v>13527.440000000002</v>
      </c>
      <c r="N189" s="40">
        <f>N167-I167</f>
        <v>73446.44</v>
      </c>
      <c r="O189" s="40">
        <f t="shared" ref="O189:W189" si="247">O167-N167</f>
        <v>73859.822400000005</v>
      </c>
      <c r="P189" s="40">
        <f t="shared" si="247"/>
        <v>82986.786168000021</v>
      </c>
      <c r="Q189" s="40">
        <f t="shared" si="247"/>
        <v>94083.608985079976</v>
      </c>
      <c r="R189" s="40">
        <f t="shared" si="247"/>
        <v>106969.24921567168</v>
      </c>
      <c r="S189" s="40">
        <f t="shared" si="247"/>
        <v>121698.61351084092</v>
      </c>
      <c r="T189" s="40">
        <f t="shared" si="247"/>
        <v>138413.3681265522</v>
      </c>
      <c r="U189" s="40">
        <f t="shared" si="247"/>
        <v>157303.23011216812</v>
      </c>
      <c r="V189" s="40">
        <f t="shared" si="247"/>
        <v>178593.70578091987</v>
      </c>
      <c r="W189" s="40">
        <f t="shared" si="247"/>
        <v>202542.3570528964</v>
      </c>
      <c r="X189" s="29"/>
    </row>
    <row r="190" spans="2:24" x14ac:dyDescent="0.3">
      <c r="B190" s="97" t="s">
        <v>84</v>
      </c>
      <c r="C190" s="37"/>
      <c r="D190" s="41"/>
      <c r="E190" s="47"/>
      <c r="F190" s="55">
        <f>F189/F191</f>
        <v>0.4867905278419159</v>
      </c>
      <c r="G190" s="55">
        <f t="shared" ref="G190:H190" si="248">G189/G191</f>
        <v>0.71647578862768735</v>
      </c>
      <c r="H190" s="55">
        <f t="shared" si="248"/>
        <v>4.1150886584141851E-2</v>
      </c>
      <c r="I190" s="41">
        <f>H190</f>
        <v>4.1150886584141851E-2</v>
      </c>
      <c r="J190" s="55">
        <f t="shared" ref="J190" si="249">J189/J191</f>
        <v>0.3251992596230121</v>
      </c>
      <c r="K190" s="55">
        <f t="shared" ref="K190" si="250">K189/K191</f>
        <v>7.9392809084256E-2</v>
      </c>
      <c r="L190" s="55">
        <f t="shared" ref="L190:M190" si="251">L189/L191</f>
        <v>-5.1766283524904217</v>
      </c>
      <c r="M190" s="55">
        <f t="shared" si="251"/>
        <v>1.1172846414493651</v>
      </c>
      <c r="N190" s="41">
        <f>M190</f>
        <v>1.1172846414493651</v>
      </c>
      <c r="O190" s="41">
        <f>O189/O191</f>
        <v>0.56968011723730072</v>
      </c>
      <c r="P190" s="41">
        <f t="shared" ref="P190:W190" si="252">P189/P191</f>
        <v>0.45832891606974085</v>
      </c>
      <c r="Q190" s="41">
        <f t="shared" si="252"/>
        <v>0.44907878048141237</v>
      </c>
      <c r="R190" s="41">
        <f t="shared" si="252"/>
        <v>0.44303805644350419</v>
      </c>
      <c r="S190" s="41">
        <f t="shared" si="252"/>
        <v>0.43965188115323195</v>
      </c>
      <c r="T190" s="41">
        <f t="shared" si="252"/>
        <v>0.43868832097336197</v>
      </c>
      <c r="U190" s="41">
        <f t="shared" si="252"/>
        <v>0.440052843417856</v>
      </c>
      <c r="V190" s="41">
        <f t="shared" si="252"/>
        <v>0.44372195160334865</v>
      </c>
      <c r="W190" s="41">
        <f t="shared" si="252"/>
        <v>0.44971503381151318</v>
      </c>
      <c r="X190" s="29"/>
    </row>
    <row r="191" spans="2:24" ht="16.2" x14ac:dyDescent="0.35">
      <c r="B191" s="30" t="s">
        <v>88</v>
      </c>
      <c r="C191" s="36"/>
      <c r="D191" s="56"/>
      <c r="E191" s="69"/>
      <c r="F191" s="57">
        <f>F187+F189</f>
        <v>37246</v>
      </c>
      <c r="G191" s="57">
        <f t="shared" ref="G191:H191" si="253">G187+G189</f>
        <v>49770</v>
      </c>
      <c r="H191" s="57">
        <f t="shared" si="253"/>
        <v>50813</v>
      </c>
      <c r="I191" s="56">
        <f>I187+I189</f>
        <v>178849</v>
      </c>
      <c r="J191" s="57">
        <f t="shared" ref="J191:L191" si="254">J187+J189</f>
        <v>132365</v>
      </c>
      <c r="K191" s="57">
        <f t="shared" si="254"/>
        <v>42359</v>
      </c>
      <c r="L191" s="57">
        <f t="shared" si="254"/>
        <v>-2610</v>
      </c>
      <c r="M191" s="57">
        <f t="shared" ref="M191" si="255">M187+M189</f>
        <v>12107.42499999993</v>
      </c>
      <c r="N191" s="56">
        <f>N187+N189</f>
        <v>184221.42499999993</v>
      </c>
      <c r="O191" s="56">
        <f>O187+O189</f>
        <v>129651.39587140206</v>
      </c>
      <c r="P191" s="56">
        <f t="shared" ref="P191:W191" si="256">P187+P189</f>
        <v>181063.82394466351</v>
      </c>
      <c r="Q191" s="56">
        <f t="shared" si="256"/>
        <v>209503.57281237462</v>
      </c>
      <c r="R191" s="56">
        <f t="shared" si="256"/>
        <v>241444.83224391425</v>
      </c>
      <c r="S191" s="56">
        <f t="shared" si="256"/>
        <v>276806.76173070958</v>
      </c>
      <c r="T191" s="56">
        <f t="shared" si="256"/>
        <v>315516.41908186779</v>
      </c>
      <c r="U191" s="56">
        <f t="shared" si="256"/>
        <v>357464.41016130301</v>
      </c>
      <c r="V191" s="56">
        <f t="shared" si="256"/>
        <v>402490.12954078079</v>
      </c>
      <c r="W191" s="56">
        <f t="shared" si="256"/>
        <v>450379.33318855194</v>
      </c>
      <c r="X191" s="29"/>
    </row>
    <row r="192" spans="2:24" ht="16.2" x14ac:dyDescent="0.35">
      <c r="B192" s="12" t="s">
        <v>89</v>
      </c>
      <c r="C192" s="37"/>
      <c r="D192" s="40"/>
      <c r="E192" s="47"/>
      <c r="F192" s="48">
        <v>-3072</v>
      </c>
      <c r="G192" s="48">
        <v>-1978</v>
      </c>
      <c r="H192" s="48">
        <v>-706</v>
      </c>
      <c r="I192" s="40">
        <v>-706</v>
      </c>
      <c r="J192" s="48">
        <v>-3224</v>
      </c>
      <c r="K192" s="48">
        <v>-611</v>
      </c>
      <c r="L192" s="59"/>
      <c r="M192" s="59"/>
      <c r="N192" s="100">
        <v>-706</v>
      </c>
      <c r="O192" s="100">
        <v>0</v>
      </c>
      <c r="P192" s="100">
        <v>0</v>
      </c>
      <c r="Q192" s="100">
        <v>0</v>
      </c>
      <c r="R192" s="100">
        <v>0</v>
      </c>
      <c r="S192" s="100">
        <v>0</v>
      </c>
      <c r="T192" s="100">
        <v>0</v>
      </c>
      <c r="U192" s="100">
        <v>0</v>
      </c>
      <c r="V192" s="100">
        <v>0</v>
      </c>
      <c r="W192" s="100">
        <v>0</v>
      </c>
      <c r="X192" s="29"/>
    </row>
    <row r="193" spans="2:24" ht="16.2" x14ac:dyDescent="0.35">
      <c r="B193" s="12" t="s">
        <v>82</v>
      </c>
      <c r="C193" s="37"/>
      <c r="D193" s="58"/>
      <c r="E193" s="47"/>
      <c r="F193" s="59">
        <f>F191-F192</f>
        <v>40318</v>
      </c>
      <c r="G193" s="59">
        <f t="shared" ref="G193" si="257">G191-G192</f>
        <v>51748</v>
      </c>
      <c r="H193" s="59">
        <f>H191-H192</f>
        <v>51519</v>
      </c>
      <c r="I193" s="58">
        <f>I191-I192</f>
        <v>179555</v>
      </c>
      <c r="J193" s="59">
        <f t="shared" ref="J193:M193" si="258">J191-J192</f>
        <v>135589</v>
      </c>
      <c r="K193" s="59">
        <f t="shared" si="258"/>
        <v>42970</v>
      </c>
      <c r="L193" s="59">
        <f t="shared" si="258"/>
        <v>-2610</v>
      </c>
      <c r="M193" s="59">
        <f t="shared" si="258"/>
        <v>12107.42499999993</v>
      </c>
      <c r="N193" s="58">
        <f>N191-N192</f>
        <v>184927.42499999993</v>
      </c>
      <c r="O193" s="58">
        <f>O191-O192</f>
        <v>129651.39587140206</v>
      </c>
      <c r="P193" s="58">
        <f t="shared" ref="P193:W193" si="259">P191-P192</f>
        <v>181063.82394466351</v>
      </c>
      <c r="Q193" s="58">
        <f t="shared" si="259"/>
        <v>209503.57281237462</v>
      </c>
      <c r="R193" s="58">
        <f t="shared" si="259"/>
        <v>241444.83224391425</v>
      </c>
      <c r="S193" s="58">
        <f t="shared" si="259"/>
        <v>276806.76173070958</v>
      </c>
      <c r="T193" s="58">
        <f t="shared" si="259"/>
        <v>315516.41908186779</v>
      </c>
      <c r="U193" s="58">
        <f t="shared" si="259"/>
        <v>357464.41016130301</v>
      </c>
      <c r="V193" s="58">
        <f t="shared" si="259"/>
        <v>402490.12954078079</v>
      </c>
      <c r="W193" s="58">
        <f t="shared" si="259"/>
        <v>450379.33318855194</v>
      </c>
      <c r="X193" s="29"/>
    </row>
    <row r="194" spans="2:24" ht="16.2" x14ac:dyDescent="0.35">
      <c r="B194" s="15" t="s">
        <v>83</v>
      </c>
      <c r="C194" s="37"/>
      <c r="D194" s="37"/>
      <c r="E194" s="47"/>
      <c r="F194" s="59">
        <f>(-F115+E115)-F151</f>
        <v>-12890</v>
      </c>
      <c r="G194" s="59">
        <f>(-G115+F115)-G151</f>
        <v>-15094</v>
      </c>
      <c r="H194" s="59">
        <f>(-H115+G115)-H151</f>
        <v>-27736</v>
      </c>
      <c r="I194" s="58">
        <f>(-I115+D115)-I151</f>
        <v>-64922</v>
      </c>
      <c r="J194" s="59">
        <f>(-J115+I115)-J151</f>
        <v>-49680</v>
      </c>
      <c r="K194" s="59">
        <f>(-K115+J115)-K151</f>
        <v>-24661</v>
      </c>
      <c r="L194" s="59">
        <f>(-L115+K115)-L151</f>
        <v>-7709</v>
      </c>
      <c r="M194" s="59">
        <f>(-M115+L115)-M151</f>
        <v>-6341.3300000000017</v>
      </c>
      <c r="N194" s="58">
        <f>(-N115+I115)-N151</f>
        <v>-88391.33</v>
      </c>
      <c r="O194" s="58">
        <f t="shared" ref="O194:W194" si="260">(-O115+J115)-O151</f>
        <v>-76579.267857620085</v>
      </c>
      <c r="P194" s="58">
        <f t="shared" si="260"/>
        <v>-104313.60954250554</v>
      </c>
      <c r="Q194" s="58">
        <f t="shared" si="260"/>
        <v>-170584.55889066489</v>
      </c>
      <c r="R194" s="58">
        <f t="shared" si="260"/>
        <v>-246189.19321048708</v>
      </c>
      <c r="S194" s="58">
        <f t="shared" si="260"/>
        <v>-328630.23301660287</v>
      </c>
      <c r="T194" s="58">
        <f t="shared" si="260"/>
        <v>-413826.40015944379</v>
      </c>
      <c r="U194" s="58">
        <f t="shared" si="260"/>
        <v>-494431.64671529015</v>
      </c>
      <c r="V194" s="58">
        <f t="shared" si="260"/>
        <v>-612551.75600077491</v>
      </c>
      <c r="W194" s="58">
        <f t="shared" si="260"/>
        <v>-746602.731249145</v>
      </c>
      <c r="X194" s="29"/>
    </row>
    <row r="195" spans="2:24" ht="16.2" x14ac:dyDescent="0.35">
      <c r="B195" s="15"/>
      <c r="C195" s="37"/>
      <c r="D195" s="37"/>
      <c r="E195" s="47"/>
      <c r="F195" s="59"/>
      <c r="G195" s="59"/>
      <c r="H195" s="59"/>
      <c r="I195" s="58"/>
      <c r="J195" s="59"/>
      <c r="K195" s="59"/>
      <c r="L195" s="59"/>
      <c r="M195" s="59"/>
      <c r="N195" s="383"/>
      <c r="O195" s="58"/>
      <c r="P195" s="58"/>
      <c r="Q195" s="58"/>
      <c r="R195" s="58"/>
      <c r="S195" s="58"/>
      <c r="T195" s="58"/>
      <c r="U195" s="58"/>
      <c r="V195" s="58"/>
      <c r="W195" s="58"/>
      <c r="X195" s="29"/>
    </row>
    <row r="196" spans="2:24" ht="16.2" x14ac:dyDescent="0.35">
      <c r="B196" s="15" t="s">
        <v>203</v>
      </c>
      <c r="C196" s="37"/>
      <c r="D196" s="37"/>
      <c r="E196" s="47"/>
      <c r="F196" s="47"/>
      <c r="G196" s="47"/>
      <c r="H196" s="47"/>
      <c r="I196" s="40"/>
      <c r="J196" s="48"/>
      <c r="K196" s="47"/>
      <c r="L196" s="47"/>
      <c r="M196" s="47"/>
      <c r="N196" s="92"/>
      <c r="O196" s="37"/>
      <c r="P196" s="37"/>
      <c r="Q196" s="37"/>
      <c r="R196" s="37"/>
      <c r="S196" s="37"/>
      <c r="T196" s="37"/>
      <c r="U196" s="37"/>
      <c r="V196" s="37"/>
      <c r="W196" s="37"/>
      <c r="X196" s="29"/>
    </row>
    <row r="197" spans="2:24" ht="16.2" x14ac:dyDescent="0.35">
      <c r="B197" s="25" t="s">
        <v>33</v>
      </c>
      <c r="C197" s="37"/>
      <c r="D197" s="37"/>
      <c r="E197" s="47"/>
      <c r="F197" s="47"/>
      <c r="G197" s="47"/>
      <c r="H197" s="47"/>
      <c r="I197" s="37"/>
      <c r="J197" s="47"/>
      <c r="K197" s="47"/>
      <c r="L197" s="47"/>
      <c r="M197" s="47"/>
      <c r="N197" s="92"/>
      <c r="O197" s="37"/>
      <c r="P197" s="37"/>
      <c r="Q197" s="37"/>
      <c r="R197" s="37"/>
      <c r="S197" s="37"/>
      <c r="T197" s="37"/>
      <c r="U197" s="37"/>
      <c r="V197" s="37"/>
      <c r="W197" s="37"/>
    </row>
    <row r="198" spans="2:24" ht="16.2" x14ac:dyDescent="0.35">
      <c r="B198" s="15" t="s">
        <v>68</v>
      </c>
      <c r="C198" s="79">
        <v>0</v>
      </c>
      <c r="D198" s="79">
        <v>-193</v>
      </c>
      <c r="E198" s="81">
        <v>-9164</v>
      </c>
      <c r="F198" s="81">
        <v>0</v>
      </c>
      <c r="G198" s="81">
        <v>0</v>
      </c>
      <c r="H198" s="81">
        <v>0</v>
      </c>
      <c r="I198" s="79">
        <f>SUM(E198:H198)</f>
        <v>-9164</v>
      </c>
      <c r="J198" s="81">
        <v>-7139</v>
      </c>
      <c r="K198" s="81">
        <v>0</v>
      </c>
      <c r="L198" s="81">
        <v>0</v>
      </c>
      <c r="M198" s="99">
        <v>0</v>
      </c>
      <c r="N198" s="45">
        <f>SUM(J198:M198)</f>
        <v>-7139</v>
      </c>
      <c r="O198" s="100">
        <f>AVERAGE(N198,I198,D198,C198)</f>
        <v>-4124</v>
      </c>
      <c r="P198" s="100">
        <f>O198</f>
        <v>-4124</v>
      </c>
      <c r="Q198" s="100">
        <f t="shared" ref="Q198:W198" si="261">P198</f>
        <v>-4124</v>
      </c>
      <c r="R198" s="100">
        <f t="shared" si="261"/>
        <v>-4124</v>
      </c>
      <c r="S198" s="100">
        <f t="shared" si="261"/>
        <v>-4124</v>
      </c>
      <c r="T198" s="100">
        <f t="shared" si="261"/>
        <v>-4124</v>
      </c>
      <c r="U198" s="100">
        <f t="shared" si="261"/>
        <v>-4124</v>
      </c>
      <c r="V198" s="100">
        <f t="shared" si="261"/>
        <v>-4124</v>
      </c>
      <c r="W198" s="100">
        <f t="shared" si="261"/>
        <v>-4124</v>
      </c>
    </row>
    <row r="199" spans="2:24" x14ac:dyDescent="0.3">
      <c r="B199" s="12" t="s">
        <v>6</v>
      </c>
      <c r="C199" s="37"/>
      <c r="D199" s="37"/>
      <c r="E199" s="47"/>
      <c r="F199" s="55">
        <f>IFERROR((F198/E198)-1,"")</f>
        <v>-1</v>
      </c>
      <c r="G199" s="55" t="str">
        <f>IFERROR((G198/F198)-1,"")</f>
        <v/>
      </c>
      <c r="H199" s="55" t="str">
        <f>IFERROR((H198/G198)-1,"")</f>
        <v/>
      </c>
      <c r="I199" s="88">
        <f>(I198/D198)-1</f>
        <v>46.481865284974091</v>
      </c>
      <c r="J199" s="47" t="str">
        <f>IFERROR((J198/H198)-1,"")</f>
        <v/>
      </c>
      <c r="K199" s="55">
        <f>IFERROR((K198/J198)-1,"")</f>
        <v>-1</v>
      </c>
      <c r="L199" s="55"/>
      <c r="M199" s="47"/>
      <c r="N199" s="88">
        <f>(N198/I198)-1</f>
        <v>-0.22097337407245743</v>
      </c>
      <c r="O199" s="37"/>
      <c r="P199" s="37"/>
      <c r="Q199" s="37"/>
      <c r="R199" s="37"/>
      <c r="S199" s="37"/>
      <c r="T199" s="37"/>
      <c r="U199" s="37"/>
      <c r="V199" s="37"/>
      <c r="W199" s="37"/>
    </row>
    <row r="200" spans="2:24" ht="16.2" x14ac:dyDescent="0.35">
      <c r="B200" s="15" t="s">
        <v>35</v>
      </c>
      <c r="C200" s="79">
        <v>-655</v>
      </c>
      <c r="D200" s="79">
        <v>-177</v>
      </c>
      <c r="E200" s="81">
        <v>-184</v>
      </c>
      <c r="F200" s="81">
        <v>-30</v>
      </c>
      <c r="G200" s="81">
        <v>-15</v>
      </c>
      <c r="H200" s="81">
        <v>-61</v>
      </c>
      <c r="I200" s="79">
        <f>SUM(E200:H200)</f>
        <v>-290</v>
      </c>
      <c r="J200" s="81">
        <v>-13</v>
      </c>
      <c r="K200" s="81">
        <v>-49</v>
      </c>
      <c r="L200" s="81">
        <v>-11</v>
      </c>
      <c r="M200" s="99">
        <f>AVERAGE(J200:L200)</f>
        <v>-24.333333333333332</v>
      </c>
      <c r="N200" s="45">
        <f>SUM(J200:M200)</f>
        <v>-97.333333333333329</v>
      </c>
      <c r="O200" s="100">
        <f>AVERAGE(N200,I200,D200,C200)</f>
        <v>-304.83333333333331</v>
      </c>
      <c r="P200" s="100">
        <f>O200</f>
        <v>-304.83333333333331</v>
      </c>
      <c r="Q200" s="100">
        <f t="shared" ref="Q200:W200" si="262">P200</f>
        <v>-304.83333333333331</v>
      </c>
      <c r="R200" s="100">
        <f t="shared" si="262"/>
        <v>-304.83333333333331</v>
      </c>
      <c r="S200" s="100">
        <f t="shared" si="262"/>
        <v>-304.83333333333331</v>
      </c>
      <c r="T200" s="100">
        <f t="shared" si="262"/>
        <v>-304.83333333333331</v>
      </c>
      <c r="U200" s="100">
        <f t="shared" si="262"/>
        <v>-304.83333333333331</v>
      </c>
      <c r="V200" s="100">
        <f t="shared" si="262"/>
        <v>-304.83333333333331</v>
      </c>
      <c r="W200" s="100">
        <f t="shared" si="262"/>
        <v>-304.83333333333331</v>
      </c>
    </row>
    <row r="201" spans="2:24" x14ac:dyDescent="0.3">
      <c r="B201" s="12" t="s">
        <v>34</v>
      </c>
      <c r="C201" s="41">
        <f>C200/C$59</f>
        <v>-0.25848460931333861</v>
      </c>
      <c r="D201" s="41">
        <f>D200/D$59</f>
        <v>-7.583547557840617E-2</v>
      </c>
      <c r="E201" s="55">
        <f t="shared" ref="E201:H201" si="263">E200/E$59</f>
        <v>-0.30114566284779049</v>
      </c>
      <c r="F201" s="55">
        <f t="shared" si="263"/>
        <v>-4.5317220543806644E-2</v>
      </c>
      <c r="G201" s="55">
        <f t="shared" si="263"/>
        <v>-2.3474178403755867E-2</v>
      </c>
      <c r="H201" s="55">
        <f t="shared" si="263"/>
        <v>-9.5163806552262087E-2</v>
      </c>
      <c r="I201" s="41">
        <f>I200/I$59</f>
        <v>-0.1135918527222875</v>
      </c>
      <c r="J201" s="55">
        <f t="shared" ref="J201:M201" si="264">J200/J$59</f>
        <v>-1.7310252996005325E-2</v>
      </c>
      <c r="K201" s="55">
        <f t="shared" si="264"/>
        <v>-7.040229885057471E-2</v>
      </c>
      <c r="L201" s="55">
        <f t="shared" si="264"/>
        <v>-1.7488076311605722E-2</v>
      </c>
      <c r="M201" s="55">
        <f t="shared" si="264"/>
        <v>-3.5163776493256263E-2</v>
      </c>
      <c r="N201" s="340">
        <f t="shared" ref="N201:W201" si="265">N200/N59</f>
        <v>-3.5163776493256263E-2</v>
      </c>
      <c r="O201" s="340">
        <f t="shared" si="265"/>
        <v>-9.5751141265653136E-2</v>
      </c>
      <c r="P201" s="340">
        <f t="shared" si="265"/>
        <v>-9.912508040086461E-2</v>
      </c>
      <c r="Q201" s="340">
        <f t="shared" si="265"/>
        <v>-0.10261790548498118</v>
      </c>
      <c r="R201" s="340">
        <f t="shared" si="265"/>
        <v>-0.106233805647765</v>
      </c>
      <c r="S201" s="340">
        <f t="shared" si="265"/>
        <v>-0.10997711762942611</v>
      </c>
      <c r="T201" s="340">
        <f t="shared" si="265"/>
        <v>-0.11385233098190423</v>
      </c>
      <c r="U201" s="340">
        <f t="shared" si="265"/>
        <v>-0.11786409345342569</v>
      </c>
      <c r="V201" s="340">
        <f t="shared" si="265"/>
        <v>-0.12201721656279362</v>
      </c>
      <c r="W201" s="41">
        <f t="shared" si="265"/>
        <v>-0.12631668137009672</v>
      </c>
    </row>
    <row r="202" spans="2:24" x14ac:dyDescent="0.3">
      <c r="B202" s="12" t="s">
        <v>6</v>
      </c>
      <c r="C202" s="37"/>
      <c r="D202" s="41">
        <f>(D200/C200)-1</f>
        <v>-0.72977099236641219</v>
      </c>
      <c r="E202" s="47"/>
      <c r="F202" s="55">
        <f t="shared" ref="F202:H202" si="266">(F200/E200)-1</f>
        <v>-0.83695652173913038</v>
      </c>
      <c r="G202" s="55">
        <f t="shared" si="266"/>
        <v>-0.5</v>
      </c>
      <c r="H202" s="55">
        <f t="shared" si="266"/>
        <v>3.0666666666666664</v>
      </c>
      <c r="I202" s="88">
        <f>(I200/D200)-1</f>
        <v>0.6384180790960452</v>
      </c>
      <c r="J202" s="55">
        <f>IFERROR((J200/H200)-1,"")</f>
        <v>-0.78688524590163933</v>
      </c>
      <c r="K202" s="55">
        <f t="shared" ref="K202:L202" si="267">IFERROR((K200/J200)-1,"")</f>
        <v>2.7692307692307692</v>
      </c>
      <c r="L202" s="55">
        <f t="shared" si="267"/>
        <v>-0.77551020408163263</v>
      </c>
      <c r="M202" s="55">
        <f t="shared" ref="M202" si="268">IFERROR((M200/L200)-1,"")</f>
        <v>1.2121212121212119</v>
      </c>
      <c r="N202" s="88">
        <f>(N200/I200)-1</f>
        <v>-0.66436781609195406</v>
      </c>
      <c r="O202" s="37"/>
      <c r="P202" s="37"/>
      <c r="Q202" s="37"/>
      <c r="R202" s="37"/>
      <c r="S202" s="37"/>
      <c r="T202" s="37"/>
      <c r="U202" s="37"/>
      <c r="V202" s="37"/>
      <c r="W202" s="37"/>
    </row>
    <row r="203" spans="2:24" ht="16.2" x14ac:dyDescent="0.35">
      <c r="B203" s="15" t="s">
        <v>66</v>
      </c>
      <c r="C203" s="79">
        <v>0</v>
      </c>
      <c r="D203" s="79">
        <v>0</v>
      </c>
      <c r="E203" s="81">
        <v>0</v>
      </c>
      <c r="F203" s="81">
        <v>0</v>
      </c>
      <c r="G203" s="81">
        <v>-195</v>
      </c>
      <c r="H203" s="81">
        <v>0</v>
      </c>
      <c r="I203" s="79">
        <f>SUM(E203:H203)</f>
        <v>-195</v>
      </c>
      <c r="J203" s="81">
        <v>-662</v>
      </c>
      <c r="K203" s="81">
        <v>-195</v>
      </c>
      <c r="L203" s="81">
        <v>-33</v>
      </c>
      <c r="M203" s="99">
        <v>0</v>
      </c>
      <c r="N203" s="45">
        <f>SUM(J203:M203)</f>
        <v>-890</v>
      </c>
      <c r="O203" s="100">
        <v>0</v>
      </c>
      <c r="P203" s="100">
        <v>0</v>
      </c>
      <c r="Q203" s="100">
        <v>0</v>
      </c>
      <c r="R203" s="100">
        <v>0</v>
      </c>
      <c r="S203" s="100">
        <v>0</v>
      </c>
      <c r="T203" s="100">
        <v>0</v>
      </c>
      <c r="U203" s="100">
        <v>0</v>
      </c>
      <c r="V203" s="100">
        <v>0</v>
      </c>
      <c r="W203" s="100">
        <v>0</v>
      </c>
    </row>
    <row r="204" spans="2:24" x14ac:dyDescent="0.3">
      <c r="B204" s="12" t="s">
        <v>6</v>
      </c>
      <c r="C204" s="37"/>
      <c r="D204" s="41"/>
      <c r="E204" s="47"/>
      <c r="F204" s="55" t="str">
        <f>IFERROR((F203/E203)-1,"")</f>
        <v/>
      </c>
      <c r="G204" s="55" t="str">
        <f>IFERROR((G203/F203)-1,"")</f>
        <v/>
      </c>
      <c r="H204" s="55">
        <f>IFERROR((H203/G203)-1,"")</f>
        <v>-1</v>
      </c>
      <c r="I204" s="88"/>
      <c r="J204" s="55" t="str">
        <f>IFERROR((J203/H203)-1,"")</f>
        <v/>
      </c>
      <c r="K204" s="55">
        <f>IFERROR((K203/J203)-1,"")</f>
        <v>-0.70543806646525686</v>
      </c>
      <c r="L204" s="55">
        <f>IFERROR((L203/K203)-1,"")</f>
        <v>-0.8307692307692307</v>
      </c>
      <c r="M204" s="47"/>
      <c r="N204" s="340">
        <f>(N203/I203)-1</f>
        <v>3.5641025641025639</v>
      </c>
      <c r="O204" s="37"/>
      <c r="P204" s="37"/>
      <c r="Q204" s="37"/>
      <c r="R204" s="37"/>
      <c r="S204" s="37"/>
      <c r="T204" s="37"/>
      <c r="U204" s="37"/>
      <c r="V204" s="37"/>
      <c r="W204" s="37"/>
    </row>
    <row r="205" spans="2:24" ht="16.2" x14ac:dyDescent="0.35">
      <c r="B205" s="15" t="s">
        <v>69</v>
      </c>
      <c r="C205" s="79">
        <v>-848</v>
      </c>
      <c r="D205" s="79">
        <v>-752</v>
      </c>
      <c r="E205" s="81">
        <v>0</v>
      </c>
      <c r="F205" s="81">
        <v>0</v>
      </c>
      <c r="G205" s="81">
        <v>0</v>
      </c>
      <c r="H205" s="81">
        <v>0</v>
      </c>
      <c r="I205" s="79">
        <f>SUM(E205:H205)</f>
        <v>0</v>
      </c>
      <c r="J205" s="81">
        <v>-20</v>
      </c>
      <c r="K205" s="81">
        <v>0</v>
      </c>
      <c r="L205" s="81">
        <v>-80</v>
      </c>
      <c r="M205" s="99">
        <v>0</v>
      </c>
      <c r="N205" s="45">
        <f>SUM(J205:M205)</f>
        <v>-100</v>
      </c>
      <c r="O205" s="100">
        <v>-100</v>
      </c>
      <c r="P205" s="100">
        <v>-100</v>
      </c>
      <c r="Q205" s="100">
        <v>-100</v>
      </c>
      <c r="R205" s="100">
        <v>-100</v>
      </c>
      <c r="S205" s="100">
        <v>-100</v>
      </c>
      <c r="T205" s="100">
        <v>-100</v>
      </c>
      <c r="U205" s="100">
        <v>-100</v>
      </c>
      <c r="V205" s="100">
        <v>-100</v>
      </c>
      <c r="W205" s="100">
        <v>-100</v>
      </c>
    </row>
    <row r="206" spans="2:24" x14ac:dyDescent="0.3">
      <c r="B206" s="12" t="s">
        <v>6</v>
      </c>
      <c r="C206" s="37"/>
      <c r="D206" s="41">
        <f>(D205/C205)-1</f>
        <v>-0.1132075471698113</v>
      </c>
      <c r="E206" s="47"/>
      <c r="F206" s="55" t="str">
        <f>IFERROR((F205/E205)-1,"")</f>
        <v/>
      </c>
      <c r="G206" s="55" t="str">
        <f>IFERROR((G205/F205)-1,"")</f>
        <v/>
      </c>
      <c r="H206" s="55" t="str">
        <f>IFERROR((H205/G205)-1,"")</f>
        <v/>
      </c>
      <c r="I206" s="88">
        <f>(I205/D205)-1</f>
        <v>-1</v>
      </c>
      <c r="J206" s="55" t="str">
        <f>IFERROR((J205/H205)-1,"")</f>
        <v/>
      </c>
      <c r="K206" s="55">
        <f>IFERROR((K205/J205)-1,"")</f>
        <v>-1</v>
      </c>
      <c r="L206" s="55" t="str">
        <f>IFERROR((L205/K205)-1,"")</f>
        <v/>
      </c>
      <c r="M206" s="47"/>
      <c r="N206" s="88"/>
      <c r="O206" s="37"/>
      <c r="P206" s="37"/>
      <c r="Q206" s="37"/>
      <c r="R206" s="37"/>
      <c r="S206" s="37"/>
      <c r="T206" s="37"/>
      <c r="U206" s="37"/>
      <c r="V206" s="37"/>
      <c r="W206" s="37"/>
    </row>
    <row r="207" spans="2:24" ht="16.2" x14ac:dyDescent="0.35">
      <c r="B207" s="30" t="s">
        <v>36</v>
      </c>
      <c r="C207" s="42">
        <f t="shared" ref="C207:N207" si="269">SUM(C198+C200+C203+C205)</f>
        <v>-1503</v>
      </c>
      <c r="D207" s="42">
        <f t="shared" si="269"/>
        <v>-1122</v>
      </c>
      <c r="E207" s="50">
        <f>SUM(E198+E200+E203+E205)</f>
        <v>-9348</v>
      </c>
      <c r="F207" s="50">
        <f t="shared" si="269"/>
        <v>-30</v>
      </c>
      <c r="G207" s="50">
        <f t="shared" si="269"/>
        <v>-210</v>
      </c>
      <c r="H207" s="50">
        <f t="shared" si="269"/>
        <v>-61</v>
      </c>
      <c r="I207" s="42">
        <f t="shared" si="269"/>
        <v>-9649</v>
      </c>
      <c r="J207" s="50">
        <f t="shared" si="269"/>
        <v>-7834</v>
      </c>
      <c r="K207" s="50">
        <f t="shared" si="269"/>
        <v>-244</v>
      </c>
      <c r="L207" s="50">
        <f t="shared" si="269"/>
        <v>-124</v>
      </c>
      <c r="M207" s="50">
        <f t="shared" si="269"/>
        <v>-24.333333333333332</v>
      </c>
      <c r="N207" s="44">
        <f t="shared" si="269"/>
        <v>-8226.3333333333321</v>
      </c>
      <c r="O207" s="668">
        <f>SUM(O205,O200,O198)</f>
        <v>-4528.833333333333</v>
      </c>
      <c r="P207" s="668">
        <f t="shared" ref="P207:W207" si="270">SUM(P205,P200,P198)</f>
        <v>-4528.833333333333</v>
      </c>
      <c r="Q207" s="668">
        <f t="shared" si="270"/>
        <v>-4528.833333333333</v>
      </c>
      <c r="R207" s="668">
        <f t="shared" si="270"/>
        <v>-4528.833333333333</v>
      </c>
      <c r="S207" s="668">
        <f t="shared" si="270"/>
        <v>-4528.833333333333</v>
      </c>
      <c r="T207" s="668">
        <f t="shared" si="270"/>
        <v>-4528.833333333333</v>
      </c>
      <c r="U207" s="668">
        <f t="shared" si="270"/>
        <v>-4528.833333333333</v>
      </c>
      <c r="V207" s="668">
        <f t="shared" si="270"/>
        <v>-4528.833333333333</v>
      </c>
      <c r="W207" s="696">
        <f t="shared" si="270"/>
        <v>-4528.833333333333</v>
      </c>
    </row>
    <row r="208" spans="2:24" x14ac:dyDescent="0.3">
      <c r="B208" s="12" t="s">
        <v>34</v>
      </c>
      <c r="C208" s="41">
        <f>C207/C$59</f>
        <v>-0.59313338595106546</v>
      </c>
      <c r="D208" s="41">
        <f>D207/D$59</f>
        <v>-0.48071979434447298</v>
      </c>
      <c r="E208" s="55">
        <f t="shared" ref="E208:H208" si="271">E207/E$59</f>
        <v>-15.299509001636661</v>
      </c>
      <c r="F208" s="55">
        <f t="shared" si="271"/>
        <v>-4.5317220543806644E-2</v>
      </c>
      <c r="G208" s="55">
        <f t="shared" si="271"/>
        <v>-0.32863849765258218</v>
      </c>
      <c r="H208" s="55">
        <f t="shared" si="271"/>
        <v>-9.5163806552262087E-2</v>
      </c>
      <c r="I208" s="41">
        <f>I207/I$59</f>
        <v>-3.7794751273012142</v>
      </c>
      <c r="J208" s="55">
        <f t="shared" ref="J208:M208" si="272">J207/J$59</f>
        <v>-10.431424766977363</v>
      </c>
      <c r="K208" s="55">
        <f t="shared" si="272"/>
        <v>-0.35057471264367818</v>
      </c>
      <c r="L208" s="55">
        <f t="shared" si="272"/>
        <v>-0.19713831478537361</v>
      </c>
      <c r="M208" s="55">
        <f t="shared" si="272"/>
        <v>-3.5163776493256263E-2</v>
      </c>
      <c r="N208" s="41">
        <f>N207/N$59</f>
        <v>-2.9719412331406545</v>
      </c>
      <c r="O208" s="41">
        <f t="shared" ref="O208:W208" si="273">O207/O$59</f>
        <v>-1.422550990492943</v>
      </c>
      <c r="P208" s="41">
        <f t="shared" si="273"/>
        <v>-1.4726767685799311</v>
      </c>
      <c r="Q208" s="41">
        <f t="shared" si="273"/>
        <v>-1.5245688057645674</v>
      </c>
      <c r="R208" s="41">
        <f t="shared" si="273"/>
        <v>-1.5782893389101795</v>
      </c>
      <c r="S208" s="41">
        <f t="shared" si="273"/>
        <v>-1.6339027978919605</v>
      </c>
      <c r="T208" s="41">
        <f t="shared" si="273"/>
        <v>-1.6914758828711229</v>
      </c>
      <c r="U208" s="41">
        <f t="shared" si="273"/>
        <v>-1.7510776442919278</v>
      </c>
      <c r="V208" s="41">
        <f t="shared" si="273"/>
        <v>-1.8127795656975347</v>
      </c>
      <c r="W208" s="41">
        <f t="shared" si="273"/>
        <v>-1.8766556494639901</v>
      </c>
    </row>
    <row r="209" spans="2:24" x14ac:dyDescent="0.3">
      <c r="B209" s="12" t="s">
        <v>6</v>
      </c>
      <c r="C209" s="37"/>
      <c r="D209" s="41">
        <f>(D207/C207)-1</f>
        <v>-0.25349301397205593</v>
      </c>
      <c r="E209" s="47"/>
      <c r="F209" s="55">
        <f t="shared" ref="F209:H209" si="274">IFERROR((F207/E207)-1,"")</f>
        <v>-0.996790757381258</v>
      </c>
      <c r="G209" s="55">
        <f t="shared" si="274"/>
        <v>6</v>
      </c>
      <c r="H209" s="55">
        <f t="shared" si="274"/>
        <v>-0.70952380952380945</v>
      </c>
      <c r="I209" s="88">
        <f>(I207/D207)-1</f>
        <v>7.5998217468805702</v>
      </c>
      <c r="J209" s="55">
        <f>IFERROR((J207/H207)-1,"")</f>
        <v>127.42622950819671</v>
      </c>
      <c r="K209" s="55">
        <f t="shared" ref="K209:L209" si="275">IFERROR((K207/J207)-1,"")</f>
        <v>-0.96885371457748282</v>
      </c>
      <c r="L209" s="55">
        <f t="shared" si="275"/>
        <v>-0.49180327868852458</v>
      </c>
      <c r="M209" s="55">
        <f t="shared" ref="M209" si="276">IFERROR((M207/L207)-1,"")</f>
        <v>-0.80376344086021501</v>
      </c>
      <c r="N209" s="88">
        <f>(N207/I207)-1</f>
        <v>-0.14744187653297414</v>
      </c>
      <c r="O209" s="88">
        <f t="shared" ref="O209:W209" si="277">(O207/J207)-1</f>
        <v>-0.42190026380733558</v>
      </c>
      <c r="P209" s="88">
        <f t="shared" si="277"/>
        <v>17.560792349726775</v>
      </c>
      <c r="Q209" s="88">
        <f t="shared" si="277"/>
        <v>35.522849462365592</v>
      </c>
      <c r="R209" s="88">
        <f t="shared" si="277"/>
        <v>185.11643835616437</v>
      </c>
      <c r="S209" s="88">
        <f t="shared" si="277"/>
        <v>-0.44947121034077553</v>
      </c>
      <c r="T209" s="88">
        <f t="shared" si="277"/>
        <v>0</v>
      </c>
      <c r="U209" s="88">
        <f t="shared" si="277"/>
        <v>0</v>
      </c>
      <c r="V209" s="88">
        <f t="shared" si="277"/>
        <v>0</v>
      </c>
      <c r="W209" s="88">
        <f t="shared" si="277"/>
        <v>0</v>
      </c>
    </row>
    <row r="210" spans="2:24" x14ac:dyDescent="0.3">
      <c r="B210" s="12"/>
      <c r="C210" s="37"/>
      <c r="D210" s="37"/>
      <c r="E210" s="47"/>
      <c r="F210" s="47"/>
      <c r="G210" s="47"/>
      <c r="H210" s="47"/>
      <c r="I210" s="37"/>
      <c r="J210" s="47"/>
      <c r="K210" s="47"/>
      <c r="L210" s="47"/>
      <c r="M210" s="47"/>
      <c r="N210" s="92"/>
      <c r="O210" s="37"/>
      <c r="P210" s="37"/>
      <c r="Q210" s="37"/>
      <c r="R210" s="37"/>
      <c r="S210" s="37"/>
      <c r="T210" s="37"/>
      <c r="U210" s="37"/>
      <c r="V210" s="37"/>
      <c r="W210" s="37"/>
    </row>
    <row r="211" spans="2:24" x14ac:dyDescent="0.3">
      <c r="C211" s="37"/>
      <c r="D211" s="37"/>
      <c r="E211" s="47"/>
      <c r="F211" s="47"/>
      <c r="G211" s="47"/>
      <c r="H211" s="47"/>
      <c r="I211" s="37"/>
      <c r="J211" s="47"/>
      <c r="K211" s="47"/>
      <c r="L211" s="47"/>
      <c r="M211" s="47"/>
      <c r="N211" s="92"/>
      <c r="O211" s="37"/>
      <c r="P211" s="37"/>
      <c r="Q211" s="37"/>
      <c r="R211" s="37"/>
      <c r="S211" s="37"/>
      <c r="T211" s="37"/>
      <c r="U211" s="37"/>
      <c r="V211" s="37"/>
      <c r="W211" s="37"/>
      <c r="X211" s="13"/>
    </row>
    <row r="212" spans="2:24" x14ac:dyDescent="0.3">
      <c r="C212" s="33"/>
      <c r="D212" s="33"/>
      <c r="E212" s="33"/>
      <c r="F212" s="33"/>
      <c r="G212" s="33"/>
      <c r="H212" s="33"/>
      <c r="I212" s="33"/>
      <c r="J212" s="33"/>
      <c r="K212" s="33"/>
      <c r="L212" s="33"/>
      <c r="M212" s="33"/>
      <c r="N212" s="33"/>
      <c r="O212" s="33"/>
      <c r="P212" s="33"/>
      <c r="Q212" s="33"/>
      <c r="R212" s="33"/>
      <c r="S212" s="33"/>
      <c r="T212" s="33"/>
      <c r="U212" s="33"/>
      <c r="V212" s="33"/>
      <c r="W212" s="33"/>
    </row>
  </sheetData>
  <pageMargins left="0.7" right="0.7" top="0.75" bottom="0.75" header="0.3" footer="0.3"/>
  <pageSetup scale="35" orientation="portrait" horizontalDpi="1200" verticalDpi="1200" r:id="rId1"/>
  <colBreaks count="1" manualBreakCount="1">
    <brk id="14" max="211" man="1"/>
  </col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9DC31-2813-41EC-97A8-2C89A81564F9}">
  <dimension ref="A1:X50"/>
  <sheetViews>
    <sheetView showGridLines="0" zoomScale="65" zoomScaleNormal="65" workbookViewId="0">
      <pane ySplit="1" topLeftCell="A2" activePane="bottomLeft" state="frozen"/>
      <selection pane="bottomLeft" activeCell="N1" sqref="N1"/>
    </sheetView>
  </sheetViews>
  <sheetFormatPr defaultRowHeight="15.6" x14ac:dyDescent="0.3"/>
  <cols>
    <col min="1" max="1" width="11.77734375" style="104" customWidth="1"/>
    <col min="2" max="2" width="13.77734375" style="104" bestFit="1" customWidth="1"/>
    <col min="3" max="8" width="11.77734375" style="104" customWidth="1"/>
    <col min="9" max="10" width="12.5546875" style="104" bestFit="1" customWidth="1"/>
    <col min="11" max="19" width="13.77734375" style="104" bestFit="1" customWidth="1"/>
    <col min="20" max="22" width="13.77734375" style="104" customWidth="1"/>
    <col min="23" max="25" width="11.77734375" style="104" customWidth="1"/>
    <col min="26" max="16384" width="8.88671875" style="104"/>
  </cols>
  <sheetData>
    <row r="1" spans="1:24" x14ac:dyDescent="0.3">
      <c r="D1" s="275">
        <v>2012</v>
      </c>
      <c r="E1" s="275">
        <v>2013</v>
      </c>
      <c r="F1" s="275">
        <v>2014</v>
      </c>
      <c r="G1" s="275">
        <v>2015</v>
      </c>
      <c r="H1" s="275">
        <v>2016</v>
      </c>
      <c r="I1" s="275">
        <v>2017</v>
      </c>
      <c r="J1" s="275">
        <v>2018</v>
      </c>
      <c r="K1" s="275">
        <v>2019</v>
      </c>
      <c r="L1" s="275">
        <v>2020</v>
      </c>
      <c r="M1" s="275">
        <v>2021</v>
      </c>
      <c r="N1" s="275">
        <v>2022</v>
      </c>
      <c r="O1" s="275">
        <v>2023</v>
      </c>
      <c r="P1" s="275">
        <v>2024</v>
      </c>
      <c r="Q1" s="275">
        <v>2025</v>
      </c>
      <c r="R1" s="275">
        <v>2026</v>
      </c>
      <c r="S1" s="275">
        <v>2027</v>
      </c>
      <c r="T1" s="275">
        <v>2028</v>
      </c>
      <c r="U1" s="275">
        <v>2029</v>
      </c>
      <c r="V1" s="275">
        <v>2030</v>
      </c>
    </row>
    <row r="2" spans="1:24" x14ac:dyDescent="0.3">
      <c r="B2" s="275" t="s">
        <v>207</v>
      </c>
    </row>
    <row r="3" spans="1:24" x14ac:dyDescent="0.3">
      <c r="X3" s="275" t="s">
        <v>205</v>
      </c>
    </row>
    <row r="4" spans="1:24" x14ac:dyDescent="0.3">
      <c r="B4" s="394">
        <f t="shared" ref="B4:B9" si="0">B5/(1+A5)</f>
        <v>33744.643686400006</v>
      </c>
      <c r="C4" s="275">
        <f t="shared" ref="C4:C6" si="1">C5-1</f>
        <v>2012</v>
      </c>
      <c r="D4" s="385">
        <f t="shared" ref="D4:M13" si="2">SLN($B4,0,$X$4)*(D$1&gt;=($C4)+2)*(D$1&lt;$C4+$X$4+2)</f>
        <v>0</v>
      </c>
      <c r="E4" s="385">
        <f t="shared" si="2"/>
        <v>0</v>
      </c>
      <c r="F4" s="385">
        <f t="shared" si="2"/>
        <v>8436.1609216000015</v>
      </c>
      <c r="G4" s="385">
        <f t="shared" si="2"/>
        <v>8436.1609216000015</v>
      </c>
      <c r="H4" s="385">
        <f t="shared" si="2"/>
        <v>8436.1609216000015</v>
      </c>
      <c r="I4" s="385">
        <f t="shared" si="2"/>
        <v>8436.1609216000015</v>
      </c>
      <c r="J4" s="385">
        <f t="shared" si="2"/>
        <v>0</v>
      </c>
      <c r="K4" s="385">
        <f t="shared" si="2"/>
        <v>0</v>
      </c>
      <c r="L4" s="385">
        <f t="shared" si="2"/>
        <v>0</v>
      </c>
      <c r="M4" s="385">
        <f t="shared" si="2"/>
        <v>0</v>
      </c>
      <c r="N4" s="385">
        <f t="shared" ref="N4:V13" si="3">SLN($B4,0,$X$4)*(N$1&gt;=($C4)+2)*(N$1&lt;$C4+$X$4+2)</f>
        <v>0</v>
      </c>
      <c r="O4" s="385">
        <f t="shared" si="3"/>
        <v>0</v>
      </c>
      <c r="P4" s="385">
        <f t="shared" si="3"/>
        <v>0</v>
      </c>
      <c r="Q4" s="385">
        <f t="shared" si="3"/>
        <v>0</v>
      </c>
      <c r="R4" s="385">
        <f t="shared" si="3"/>
        <v>0</v>
      </c>
      <c r="S4" s="385">
        <f t="shared" si="3"/>
        <v>0</v>
      </c>
      <c r="T4" s="385">
        <f t="shared" si="3"/>
        <v>0</v>
      </c>
      <c r="U4" s="385">
        <f t="shared" si="3"/>
        <v>0</v>
      </c>
      <c r="V4" s="385">
        <f t="shared" si="3"/>
        <v>0</v>
      </c>
      <c r="X4" s="275">
        <v>4</v>
      </c>
    </row>
    <row r="5" spans="1:24" x14ac:dyDescent="0.3">
      <c r="A5" s="398">
        <v>0.25</v>
      </c>
      <c r="B5" s="394">
        <f t="shared" si="0"/>
        <v>42180.804608000006</v>
      </c>
      <c r="C5" s="275">
        <f t="shared" si="1"/>
        <v>2013</v>
      </c>
      <c r="D5" s="385">
        <f t="shared" si="2"/>
        <v>0</v>
      </c>
      <c r="E5" s="385">
        <f t="shared" si="2"/>
        <v>0</v>
      </c>
      <c r="F5" s="385">
        <f t="shared" si="2"/>
        <v>0</v>
      </c>
      <c r="G5" s="385">
        <f t="shared" si="2"/>
        <v>10545.201152000001</v>
      </c>
      <c r="H5" s="385">
        <f t="shared" si="2"/>
        <v>10545.201152000001</v>
      </c>
      <c r="I5" s="385">
        <f t="shared" si="2"/>
        <v>10545.201152000001</v>
      </c>
      <c r="J5" s="385">
        <f t="shared" si="2"/>
        <v>10545.201152000001</v>
      </c>
      <c r="K5" s="385">
        <f t="shared" si="2"/>
        <v>0</v>
      </c>
      <c r="L5" s="385">
        <f t="shared" si="2"/>
        <v>0</v>
      </c>
      <c r="M5" s="385">
        <f t="shared" si="2"/>
        <v>0</v>
      </c>
      <c r="N5" s="385">
        <f t="shared" si="3"/>
        <v>0</v>
      </c>
      <c r="O5" s="385">
        <f t="shared" si="3"/>
        <v>0</v>
      </c>
      <c r="P5" s="385">
        <f t="shared" si="3"/>
        <v>0</v>
      </c>
      <c r="Q5" s="385">
        <f t="shared" si="3"/>
        <v>0</v>
      </c>
      <c r="R5" s="385">
        <f t="shared" si="3"/>
        <v>0</v>
      </c>
      <c r="S5" s="385">
        <f t="shared" si="3"/>
        <v>0</v>
      </c>
      <c r="T5" s="385">
        <f t="shared" si="3"/>
        <v>0</v>
      </c>
      <c r="U5" s="385">
        <f t="shared" si="3"/>
        <v>0</v>
      </c>
      <c r="V5" s="385">
        <f t="shared" si="3"/>
        <v>0</v>
      </c>
      <c r="X5" s="275"/>
    </row>
    <row r="6" spans="1:24" x14ac:dyDescent="0.3">
      <c r="A6" s="398">
        <v>0.25</v>
      </c>
      <c r="B6" s="394">
        <f t="shared" si="0"/>
        <v>52726.005760000007</v>
      </c>
      <c r="C6" s="275">
        <f t="shared" si="1"/>
        <v>2014</v>
      </c>
      <c r="D6" s="385">
        <f t="shared" si="2"/>
        <v>0</v>
      </c>
      <c r="E6" s="385">
        <f t="shared" si="2"/>
        <v>0</v>
      </c>
      <c r="F6" s="385">
        <f t="shared" si="2"/>
        <v>0</v>
      </c>
      <c r="G6" s="385">
        <f t="shared" si="2"/>
        <v>0</v>
      </c>
      <c r="H6" s="385">
        <f t="shared" si="2"/>
        <v>13181.501440000002</v>
      </c>
      <c r="I6" s="385">
        <f t="shared" si="2"/>
        <v>13181.501440000002</v>
      </c>
      <c r="J6" s="385">
        <f t="shared" si="2"/>
        <v>13181.501440000002</v>
      </c>
      <c r="K6" s="385">
        <f t="shared" si="2"/>
        <v>13181.501440000002</v>
      </c>
      <c r="L6" s="385">
        <f t="shared" si="2"/>
        <v>0</v>
      </c>
      <c r="M6" s="385">
        <f t="shared" si="2"/>
        <v>0</v>
      </c>
      <c r="N6" s="385">
        <f t="shared" si="3"/>
        <v>0</v>
      </c>
      <c r="O6" s="385">
        <f t="shared" si="3"/>
        <v>0</v>
      </c>
      <c r="P6" s="385">
        <f t="shared" si="3"/>
        <v>0</v>
      </c>
      <c r="Q6" s="385">
        <f t="shared" si="3"/>
        <v>0</v>
      </c>
      <c r="R6" s="385">
        <f t="shared" si="3"/>
        <v>0</v>
      </c>
      <c r="S6" s="385">
        <f t="shared" si="3"/>
        <v>0</v>
      </c>
      <c r="T6" s="385">
        <f t="shared" si="3"/>
        <v>0</v>
      </c>
      <c r="U6" s="385">
        <f t="shared" si="3"/>
        <v>0</v>
      </c>
      <c r="V6" s="385">
        <f t="shared" si="3"/>
        <v>0</v>
      </c>
      <c r="X6" s="275"/>
    </row>
    <row r="7" spans="1:24" x14ac:dyDescent="0.3">
      <c r="A7" s="398">
        <v>0.25</v>
      </c>
      <c r="B7" s="394">
        <f t="shared" si="0"/>
        <v>65907.507200000007</v>
      </c>
      <c r="C7" s="275">
        <f>C8-1</f>
        <v>2015</v>
      </c>
      <c r="D7" s="385">
        <f t="shared" si="2"/>
        <v>0</v>
      </c>
      <c r="E7" s="385">
        <f t="shared" si="2"/>
        <v>0</v>
      </c>
      <c r="F7" s="385">
        <f t="shared" si="2"/>
        <v>0</v>
      </c>
      <c r="G7" s="385">
        <f t="shared" si="2"/>
        <v>0</v>
      </c>
      <c r="H7" s="385">
        <f t="shared" si="2"/>
        <v>0</v>
      </c>
      <c r="I7" s="385">
        <f t="shared" si="2"/>
        <v>16476.876800000002</v>
      </c>
      <c r="J7" s="385">
        <f t="shared" si="2"/>
        <v>16476.876800000002</v>
      </c>
      <c r="K7" s="385">
        <f t="shared" si="2"/>
        <v>16476.876800000002</v>
      </c>
      <c r="L7" s="385">
        <f t="shared" si="2"/>
        <v>16476.876800000002</v>
      </c>
      <c r="M7" s="385">
        <f t="shared" si="2"/>
        <v>0</v>
      </c>
      <c r="N7" s="385">
        <f t="shared" si="3"/>
        <v>0</v>
      </c>
      <c r="O7" s="385">
        <f t="shared" si="3"/>
        <v>0</v>
      </c>
      <c r="P7" s="385">
        <f t="shared" si="3"/>
        <v>0</v>
      </c>
      <c r="Q7" s="385">
        <f t="shared" si="3"/>
        <v>0</v>
      </c>
      <c r="R7" s="385">
        <f t="shared" si="3"/>
        <v>0</v>
      </c>
      <c r="S7" s="385">
        <f t="shared" si="3"/>
        <v>0</v>
      </c>
      <c r="T7" s="385">
        <f t="shared" si="3"/>
        <v>0</v>
      </c>
      <c r="U7" s="385">
        <f t="shared" si="3"/>
        <v>0</v>
      </c>
      <c r="V7" s="385">
        <f t="shared" si="3"/>
        <v>0</v>
      </c>
      <c r="X7" s="275"/>
    </row>
    <row r="8" spans="1:24" x14ac:dyDescent="0.3">
      <c r="A8" s="398">
        <v>0.25</v>
      </c>
      <c r="B8" s="394">
        <f t="shared" si="0"/>
        <v>82384.384000000005</v>
      </c>
      <c r="C8" s="275">
        <v>2016</v>
      </c>
      <c r="D8" s="385">
        <f t="shared" si="2"/>
        <v>0</v>
      </c>
      <c r="E8" s="385">
        <f t="shared" si="2"/>
        <v>0</v>
      </c>
      <c r="F8" s="385">
        <f t="shared" si="2"/>
        <v>0</v>
      </c>
      <c r="G8" s="385">
        <f t="shared" si="2"/>
        <v>0</v>
      </c>
      <c r="H8" s="385">
        <f t="shared" si="2"/>
        <v>0</v>
      </c>
      <c r="I8" s="385">
        <f t="shared" si="2"/>
        <v>0</v>
      </c>
      <c r="J8" s="385">
        <f t="shared" si="2"/>
        <v>20596.096000000001</v>
      </c>
      <c r="K8" s="385">
        <f t="shared" si="2"/>
        <v>20596.096000000001</v>
      </c>
      <c r="L8" s="385">
        <f t="shared" si="2"/>
        <v>20596.096000000001</v>
      </c>
      <c r="M8" s="385">
        <f t="shared" si="2"/>
        <v>20596.096000000001</v>
      </c>
      <c r="N8" s="385">
        <f t="shared" si="3"/>
        <v>0</v>
      </c>
      <c r="O8" s="385">
        <f t="shared" si="3"/>
        <v>0</v>
      </c>
      <c r="P8" s="385">
        <f t="shared" si="3"/>
        <v>0</v>
      </c>
      <c r="Q8" s="385">
        <f t="shared" si="3"/>
        <v>0</v>
      </c>
      <c r="R8" s="385">
        <f t="shared" si="3"/>
        <v>0</v>
      </c>
      <c r="S8" s="385">
        <f t="shared" si="3"/>
        <v>0</v>
      </c>
      <c r="T8" s="385">
        <f t="shared" si="3"/>
        <v>0</v>
      </c>
      <c r="U8" s="385">
        <f t="shared" si="3"/>
        <v>0</v>
      </c>
      <c r="V8" s="385">
        <f t="shared" si="3"/>
        <v>0</v>
      </c>
    </row>
    <row r="9" spans="1:24" x14ac:dyDescent="0.3">
      <c r="A9" s="398">
        <v>0.25</v>
      </c>
      <c r="B9" s="394">
        <f t="shared" si="0"/>
        <v>102980.48000000001</v>
      </c>
      <c r="C9" s="275">
        <f>C8+1</f>
        <v>2017</v>
      </c>
      <c r="D9" s="385">
        <f t="shared" si="2"/>
        <v>0</v>
      </c>
      <c r="E9" s="385">
        <f t="shared" si="2"/>
        <v>0</v>
      </c>
      <c r="F9" s="385">
        <f t="shared" si="2"/>
        <v>0</v>
      </c>
      <c r="G9" s="385">
        <f t="shared" si="2"/>
        <v>0</v>
      </c>
      <c r="H9" s="385">
        <f t="shared" si="2"/>
        <v>0</v>
      </c>
      <c r="I9" s="385">
        <f t="shared" si="2"/>
        <v>0</v>
      </c>
      <c r="J9" s="385">
        <f t="shared" si="2"/>
        <v>0</v>
      </c>
      <c r="K9" s="385">
        <f t="shared" si="2"/>
        <v>25745.120000000003</v>
      </c>
      <c r="L9" s="385">
        <f t="shared" si="2"/>
        <v>25745.120000000003</v>
      </c>
      <c r="M9" s="385">
        <f t="shared" si="2"/>
        <v>25745.120000000003</v>
      </c>
      <c r="N9" s="385">
        <f t="shared" si="3"/>
        <v>25745.120000000003</v>
      </c>
      <c r="O9" s="385">
        <f t="shared" si="3"/>
        <v>0</v>
      </c>
      <c r="P9" s="385">
        <f t="shared" si="3"/>
        <v>0</v>
      </c>
      <c r="Q9" s="385">
        <f t="shared" si="3"/>
        <v>0</v>
      </c>
      <c r="R9" s="385">
        <f t="shared" si="3"/>
        <v>0</v>
      </c>
      <c r="S9" s="385">
        <f t="shared" si="3"/>
        <v>0</v>
      </c>
      <c r="T9" s="385">
        <f t="shared" si="3"/>
        <v>0</v>
      </c>
      <c r="U9" s="385">
        <f t="shared" si="3"/>
        <v>0</v>
      </c>
      <c r="V9" s="385">
        <f t="shared" si="3"/>
        <v>0</v>
      </c>
      <c r="X9" s="275"/>
    </row>
    <row r="10" spans="1:24" x14ac:dyDescent="0.3">
      <c r="A10" s="398">
        <v>0.25</v>
      </c>
      <c r="B10" s="394">
        <f>B11/(1+A11)</f>
        <v>128725.6</v>
      </c>
      <c r="C10" s="275">
        <f t="shared" ref="C10:C11" si="4">C9+1</f>
        <v>2018</v>
      </c>
      <c r="D10" s="385">
        <f t="shared" si="2"/>
        <v>0</v>
      </c>
      <c r="E10" s="385">
        <f t="shared" si="2"/>
        <v>0</v>
      </c>
      <c r="F10" s="385">
        <f t="shared" si="2"/>
        <v>0</v>
      </c>
      <c r="G10" s="385">
        <f t="shared" si="2"/>
        <v>0</v>
      </c>
      <c r="H10" s="385">
        <f t="shared" si="2"/>
        <v>0</v>
      </c>
      <c r="I10" s="385">
        <f t="shared" si="2"/>
        <v>0</v>
      </c>
      <c r="J10" s="385">
        <f t="shared" si="2"/>
        <v>0</v>
      </c>
      <c r="K10" s="385">
        <f t="shared" si="2"/>
        <v>0</v>
      </c>
      <c r="L10" s="385">
        <f t="shared" si="2"/>
        <v>32181.4</v>
      </c>
      <c r="M10" s="385">
        <f t="shared" si="2"/>
        <v>32181.4</v>
      </c>
      <c r="N10" s="385">
        <f t="shared" si="3"/>
        <v>32181.4</v>
      </c>
      <c r="O10" s="385">
        <f t="shared" si="3"/>
        <v>32181.4</v>
      </c>
      <c r="P10" s="385">
        <f t="shared" si="3"/>
        <v>0</v>
      </c>
      <c r="Q10" s="385">
        <f t="shared" si="3"/>
        <v>0</v>
      </c>
      <c r="R10" s="385">
        <f t="shared" si="3"/>
        <v>0</v>
      </c>
      <c r="S10" s="385">
        <f t="shared" si="3"/>
        <v>0</v>
      </c>
      <c r="T10" s="385">
        <f t="shared" si="3"/>
        <v>0</v>
      </c>
      <c r="U10" s="385">
        <f t="shared" si="3"/>
        <v>0</v>
      </c>
      <c r="V10" s="385">
        <f t="shared" si="3"/>
        <v>0</v>
      </c>
    </row>
    <row r="11" spans="1:24" x14ac:dyDescent="0.3">
      <c r="A11" s="398">
        <v>0.25</v>
      </c>
      <c r="B11" s="385">
        <f>'Pro Forma'!D126</f>
        <v>160907</v>
      </c>
      <c r="C11" s="275">
        <f t="shared" si="4"/>
        <v>2019</v>
      </c>
      <c r="D11" s="385">
        <f t="shared" si="2"/>
        <v>0</v>
      </c>
      <c r="E11" s="385">
        <f t="shared" si="2"/>
        <v>0</v>
      </c>
      <c r="F11" s="385">
        <f t="shared" si="2"/>
        <v>0</v>
      </c>
      <c r="G11" s="385">
        <f t="shared" si="2"/>
        <v>0</v>
      </c>
      <c r="H11" s="385">
        <f t="shared" si="2"/>
        <v>0</v>
      </c>
      <c r="I11" s="385">
        <f t="shared" si="2"/>
        <v>0</v>
      </c>
      <c r="J11" s="385">
        <f t="shared" si="2"/>
        <v>0</v>
      </c>
      <c r="K11" s="385">
        <f t="shared" si="2"/>
        <v>0</v>
      </c>
      <c r="L11" s="385">
        <f t="shared" si="2"/>
        <v>0</v>
      </c>
      <c r="M11" s="385">
        <f t="shared" si="2"/>
        <v>40226.75</v>
      </c>
      <c r="N11" s="385">
        <f t="shared" si="3"/>
        <v>40226.75</v>
      </c>
      <c r="O11" s="385">
        <f t="shared" si="3"/>
        <v>40226.75</v>
      </c>
      <c r="P11" s="385">
        <f t="shared" si="3"/>
        <v>40226.75</v>
      </c>
      <c r="Q11" s="385">
        <f t="shared" si="3"/>
        <v>0</v>
      </c>
      <c r="R11" s="385">
        <f t="shared" si="3"/>
        <v>0</v>
      </c>
      <c r="S11" s="385">
        <f t="shared" si="3"/>
        <v>0</v>
      </c>
      <c r="T11" s="385">
        <f t="shared" si="3"/>
        <v>0</v>
      </c>
      <c r="U11" s="385">
        <f t="shared" si="3"/>
        <v>0</v>
      </c>
      <c r="V11" s="385">
        <f t="shared" si="3"/>
        <v>0</v>
      </c>
    </row>
    <row r="12" spans="1:24" x14ac:dyDescent="0.3">
      <c r="A12" s="183">
        <f t="shared" ref="A12:A22" si="5">(B12/B11)-1</f>
        <v>0.5815408900793626</v>
      </c>
      <c r="B12" s="385">
        <f>'Pro Forma'!I126</f>
        <v>254481</v>
      </c>
      <c r="C12" s="275">
        <f>C11+1</f>
        <v>2020</v>
      </c>
      <c r="D12" s="385">
        <f t="shared" si="2"/>
        <v>0</v>
      </c>
      <c r="E12" s="385">
        <f t="shared" si="2"/>
        <v>0</v>
      </c>
      <c r="F12" s="385">
        <f t="shared" si="2"/>
        <v>0</v>
      </c>
      <c r="G12" s="385">
        <f t="shared" si="2"/>
        <v>0</v>
      </c>
      <c r="H12" s="385">
        <f t="shared" si="2"/>
        <v>0</v>
      </c>
      <c r="I12" s="385">
        <f t="shared" si="2"/>
        <v>0</v>
      </c>
      <c r="J12" s="385">
        <f t="shared" si="2"/>
        <v>0</v>
      </c>
      <c r="K12" s="385">
        <f t="shared" si="2"/>
        <v>0</v>
      </c>
      <c r="L12" s="385">
        <f t="shared" si="2"/>
        <v>0</v>
      </c>
      <c r="M12" s="385">
        <f t="shared" si="2"/>
        <v>0</v>
      </c>
      <c r="N12" s="385">
        <f t="shared" si="3"/>
        <v>63620.25</v>
      </c>
      <c r="O12" s="385">
        <f t="shared" si="3"/>
        <v>63620.25</v>
      </c>
      <c r="P12" s="385">
        <f t="shared" si="3"/>
        <v>63620.25</v>
      </c>
      <c r="Q12" s="385">
        <f t="shared" si="3"/>
        <v>63620.25</v>
      </c>
      <c r="R12" s="385">
        <f t="shared" si="3"/>
        <v>0</v>
      </c>
      <c r="S12" s="385">
        <f t="shared" si="3"/>
        <v>0</v>
      </c>
      <c r="T12" s="385">
        <f t="shared" si="3"/>
        <v>0</v>
      </c>
      <c r="U12" s="385">
        <f t="shared" si="3"/>
        <v>0</v>
      </c>
      <c r="V12" s="385">
        <f t="shared" si="3"/>
        <v>0</v>
      </c>
    </row>
    <row r="13" spans="1:24" x14ac:dyDescent="0.3">
      <c r="A13" s="183">
        <f t="shared" si="5"/>
        <v>0.43529766465865793</v>
      </c>
      <c r="B13" s="385" cm="1">
        <f t="array" ref="B13:B22">TRANSPOSE('Pro Forma'!N126:W126)</f>
        <v>365255.98499999993</v>
      </c>
      <c r="C13" s="275">
        <f t="shared" ref="C13:C22" si="6">C12+1</f>
        <v>2021</v>
      </c>
      <c r="D13" s="385">
        <f t="shared" si="2"/>
        <v>0</v>
      </c>
      <c r="E13" s="385">
        <f t="shared" si="2"/>
        <v>0</v>
      </c>
      <c r="F13" s="385">
        <f t="shared" si="2"/>
        <v>0</v>
      </c>
      <c r="G13" s="385">
        <f t="shared" si="2"/>
        <v>0</v>
      </c>
      <c r="H13" s="385">
        <f t="shared" si="2"/>
        <v>0</v>
      </c>
      <c r="I13" s="385">
        <f t="shared" si="2"/>
        <v>0</v>
      </c>
      <c r="J13" s="385">
        <f t="shared" si="2"/>
        <v>0</v>
      </c>
      <c r="K13" s="385">
        <f t="shared" si="2"/>
        <v>0</v>
      </c>
      <c r="L13" s="385">
        <f t="shared" si="2"/>
        <v>0</v>
      </c>
      <c r="M13" s="385">
        <f t="shared" si="2"/>
        <v>0</v>
      </c>
      <c r="N13" s="385">
        <f t="shared" si="3"/>
        <v>0</v>
      </c>
      <c r="O13" s="385">
        <f t="shared" si="3"/>
        <v>91313.996249999982</v>
      </c>
      <c r="P13" s="385">
        <f t="shared" si="3"/>
        <v>91313.996249999982</v>
      </c>
      <c r="Q13" s="385">
        <f t="shared" si="3"/>
        <v>91313.996249999982</v>
      </c>
      <c r="R13" s="385">
        <f t="shared" si="3"/>
        <v>91313.996249999982</v>
      </c>
      <c r="S13" s="385">
        <f t="shared" si="3"/>
        <v>0</v>
      </c>
      <c r="T13" s="385">
        <f t="shared" si="3"/>
        <v>0</v>
      </c>
      <c r="U13" s="385">
        <f t="shared" si="3"/>
        <v>0</v>
      </c>
      <c r="V13" s="385">
        <f t="shared" si="3"/>
        <v>0</v>
      </c>
    </row>
    <row r="14" spans="1:24" x14ac:dyDescent="0.3">
      <c r="A14" s="183">
        <f t="shared" si="5"/>
        <v>0.15274650043421478</v>
      </c>
      <c r="B14" s="385">
        <v>421047.55847140198</v>
      </c>
      <c r="C14" s="275">
        <f t="shared" si="6"/>
        <v>2022</v>
      </c>
      <c r="D14" s="385">
        <f t="shared" ref="D14:M22" si="7">SLN($B14,0,$X$4)*(D$1&gt;=($C14)+2)*(D$1&lt;$C14+$X$4+2)</f>
        <v>0</v>
      </c>
      <c r="E14" s="385">
        <f t="shared" si="7"/>
        <v>0</v>
      </c>
      <c r="F14" s="385">
        <f t="shared" si="7"/>
        <v>0</v>
      </c>
      <c r="G14" s="385">
        <f t="shared" si="7"/>
        <v>0</v>
      </c>
      <c r="H14" s="385">
        <f t="shared" si="7"/>
        <v>0</v>
      </c>
      <c r="I14" s="385">
        <f t="shared" si="7"/>
        <v>0</v>
      </c>
      <c r="J14" s="385">
        <f t="shared" si="7"/>
        <v>0</v>
      </c>
      <c r="K14" s="385">
        <f t="shared" si="7"/>
        <v>0</v>
      </c>
      <c r="L14" s="385">
        <f t="shared" si="7"/>
        <v>0</v>
      </c>
      <c r="M14" s="385">
        <f t="shared" si="7"/>
        <v>0</v>
      </c>
      <c r="N14" s="385">
        <f t="shared" ref="N14:V22" si="8">SLN($B14,0,$X$4)*(N$1&gt;=($C14)+2)*(N$1&lt;$C14+$X$4+2)</f>
        <v>0</v>
      </c>
      <c r="O14" s="385">
        <f t="shared" si="8"/>
        <v>0</v>
      </c>
      <c r="P14" s="385">
        <f t="shared" si="8"/>
        <v>105261.88961785049</v>
      </c>
      <c r="Q14" s="385">
        <f t="shared" si="8"/>
        <v>105261.88961785049</v>
      </c>
      <c r="R14" s="385">
        <f t="shared" si="8"/>
        <v>105261.88961785049</v>
      </c>
      <c r="S14" s="385">
        <f t="shared" si="8"/>
        <v>105261.88961785049</v>
      </c>
      <c r="T14" s="385">
        <f t="shared" si="8"/>
        <v>0</v>
      </c>
      <c r="U14" s="385">
        <f t="shared" si="8"/>
        <v>0</v>
      </c>
      <c r="V14" s="385">
        <f t="shared" si="8"/>
        <v>0</v>
      </c>
    </row>
    <row r="15" spans="1:24" x14ac:dyDescent="0.3">
      <c r="A15" s="183">
        <f t="shared" si="5"/>
        <v>0.23293577127659559</v>
      </c>
      <c r="B15" s="385">
        <v>519124.59624806547</v>
      </c>
      <c r="C15" s="275">
        <f t="shared" si="6"/>
        <v>2023</v>
      </c>
      <c r="D15" s="385">
        <f t="shared" si="7"/>
        <v>0</v>
      </c>
      <c r="E15" s="385">
        <f t="shared" si="7"/>
        <v>0</v>
      </c>
      <c r="F15" s="385">
        <f t="shared" si="7"/>
        <v>0</v>
      </c>
      <c r="G15" s="385">
        <f t="shared" si="7"/>
        <v>0</v>
      </c>
      <c r="H15" s="385">
        <f t="shared" si="7"/>
        <v>0</v>
      </c>
      <c r="I15" s="385">
        <f t="shared" si="7"/>
        <v>0</v>
      </c>
      <c r="J15" s="385">
        <f t="shared" si="7"/>
        <v>0</v>
      </c>
      <c r="K15" s="385">
        <f t="shared" si="7"/>
        <v>0</v>
      </c>
      <c r="L15" s="385">
        <f t="shared" si="7"/>
        <v>0</v>
      </c>
      <c r="M15" s="385">
        <f t="shared" si="7"/>
        <v>0</v>
      </c>
      <c r="N15" s="385">
        <f t="shared" si="8"/>
        <v>0</v>
      </c>
      <c r="O15" s="385">
        <f t="shared" si="8"/>
        <v>0</v>
      </c>
      <c r="P15" s="385">
        <f t="shared" si="8"/>
        <v>0</v>
      </c>
      <c r="Q15" s="385">
        <f t="shared" si="8"/>
        <v>129781.14906201637</v>
      </c>
      <c r="R15" s="385">
        <f t="shared" si="8"/>
        <v>129781.14906201637</v>
      </c>
      <c r="S15" s="385">
        <f t="shared" si="8"/>
        <v>129781.14906201637</v>
      </c>
      <c r="T15" s="385">
        <f t="shared" si="8"/>
        <v>129781.14906201637</v>
      </c>
      <c r="U15" s="385">
        <f t="shared" si="8"/>
        <v>0</v>
      </c>
      <c r="V15" s="385">
        <f t="shared" si="8"/>
        <v>0</v>
      </c>
    </row>
    <row r="16" spans="1:24" x14ac:dyDescent="0.3">
      <c r="A16" s="183">
        <f t="shared" si="5"/>
        <v>0.22233576421052659</v>
      </c>
      <c r="B16" s="385">
        <v>634544.56007536012</v>
      </c>
      <c r="C16" s="275">
        <f t="shared" si="6"/>
        <v>2024</v>
      </c>
      <c r="D16" s="385">
        <f t="shared" si="7"/>
        <v>0</v>
      </c>
      <c r="E16" s="385">
        <f t="shared" si="7"/>
        <v>0</v>
      </c>
      <c r="F16" s="385">
        <f t="shared" si="7"/>
        <v>0</v>
      </c>
      <c r="G16" s="385">
        <f t="shared" si="7"/>
        <v>0</v>
      </c>
      <c r="H16" s="385">
        <f t="shared" si="7"/>
        <v>0</v>
      </c>
      <c r="I16" s="385">
        <f t="shared" si="7"/>
        <v>0</v>
      </c>
      <c r="J16" s="385">
        <f t="shared" si="7"/>
        <v>0</v>
      </c>
      <c r="K16" s="385">
        <f t="shared" si="7"/>
        <v>0</v>
      </c>
      <c r="L16" s="385">
        <f t="shared" si="7"/>
        <v>0</v>
      </c>
      <c r="M16" s="385">
        <f t="shared" si="7"/>
        <v>0</v>
      </c>
      <c r="N16" s="385">
        <f t="shared" si="8"/>
        <v>0</v>
      </c>
      <c r="O16" s="385">
        <f t="shared" si="8"/>
        <v>0</v>
      </c>
      <c r="P16" s="385">
        <f t="shared" si="8"/>
        <v>0</v>
      </c>
      <c r="Q16" s="385">
        <f t="shared" si="8"/>
        <v>0</v>
      </c>
      <c r="R16" s="385">
        <f t="shared" si="8"/>
        <v>158636.14001884003</v>
      </c>
      <c r="S16" s="385">
        <f t="shared" si="8"/>
        <v>158636.14001884003</v>
      </c>
      <c r="T16" s="385">
        <f t="shared" si="8"/>
        <v>158636.14001884003</v>
      </c>
      <c r="U16" s="385">
        <f t="shared" si="8"/>
        <v>158636.14001884003</v>
      </c>
      <c r="V16" s="385">
        <f t="shared" si="8"/>
        <v>0</v>
      </c>
    </row>
    <row r="17" spans="1:24" x14ac:dyDescent="0.3">
      <c r="A17" s="183">
        <f t="shared" si="5"/>
        <v>0.21192456998177067</v>
      </c>
      <c r="B17" s="385">
        <v>769020.14310360269</v>
      </c>
      <c r="C17" s="275">
        <f t="shared" si="6"/>
        <v>2025</v>
      </c>
      <c r="D17" s="385">
        <f t="shared" si="7"/>
        <v>0</v>
      </c>
      <c r="E17" s="385">
        <f t="shared" si="7"/>
        <v>0</v>
      </c>
      <c r="F17" s="385">
        <f t="shared" si="7"/>
        <v>0</v>
      </c>
      <c r="G17" s="385">
        <f t="shared" si="7"/>
        <v>0</v>
      </c>
      <c r="H17" s="385">
        <f t="shared" si="7"/>
        <v>0</v>
      </c>
      <c r="I17" s="385">
        <f t="shared" si="7"/>
        <v>0</v>
      </c>
      <c r="J17" s="385">
        <f t="shared" si="7"/>
        <v>0</v>
      </c>
      <c r="K17" s="385">
        <f t="shared" si="7"/>
        <v>0</v>
      </c>
      <c r="L17" s="385">
        <f t="shared" si="7"/>
        <v>0</v>
      </c>
      <c r="M17" s="385">
        <f t="shared" si="7"/>
        <v>0</v>
      </c>
      <c r="N17" s="385">
        <f t="shared" si="8"/>
        <v>0</v>
      </c>
      <c r="O17" s="385">
        <f t="shared" si="8"/>
        <v>0</v>
      </c>
      <c r="P17" s="385">
        <f t="shared" si="8"/>
        <v>0</v>
      </c>
      <c r="Q17" s="385">
        <f t="shared" si="8"/>
        <v>0</v>
      </c>
      <c r="R17" s="385">
        <f t="shared" si="8"/>
        <v>0</v>
      </c>
      <c r="S17" s="385">
        <f t="shared" si="8"/>
        <v>192255.03577590067</v>
      </c>
      <c r="T17" s="385">
        <f t="shared" si="8"/>
        <v>192255.03577590067</v>
      </c>
      <c r="U17" s="385">
        <f t="shared" si="8"/>
        <v>192255.03577590067</v>
      </c>
      <c r="V17" s="385">
        <f t="shared" si="8"/>
        <v>192255.03577590067</v>
      </c>
    </row>
    <row r="18" spans="1:24" x14ac:dyDescent="0.3">
      <c r="A18" s="183">
        <f t="shared" si="5"/>
        <v>0.20169581981804141</v>
      </c>
      <c r="B18" s="385">
        <v>924128.29132347135</v>
      </c>
      <c r="C18" s="275">
        <f t="shared" si="6"/>
        <v>2026</v>
      </c>
      <c r="D18" s="385">
        <f t="shared" si="7"/>
        <v>0</v>
      </c>
      <c r="E18" s="385">
        <f t="shared" si="7"/>
        <v>0</v>
      </c>
      <c r="F18" s="385">
        <f t="shared" si="7"/>
        <v>0</v>
      </c>
      <c r="G18" s="385">
        <f t="shared" si="7"/>
        <v>0</v>
      </c>
      <c r="H18" s="385">
        <f t="shared" si="7"/>
        <v>0</v>
      </c>
      <c r="I18" s="385">
        <f t="shared" si="7"/>
        <v>0</v>
      </c>
      <c r="J18" s="385">
        <f t="shared" si="7"/>
        <v>0</v>
      </c>
      <c r="K18" s="385">
        <f t="shared" si="7"/>
        <v>0</v>
      </c>
      <c r="L18" s="385">
        <f t="shared" si="7"/>
        <v>0</v>
      </c>
      <c r="M18" s="385">
        <f t="shared" si="7"/>
        <v>0</v>
      </c>
      <c r="N18" s="385">
        <f t="shared" si="8"/>
        <v>0</v>
      </c>
      <c r="O18" s="385">
        <f t="shared" si="8"/>
        <v>0</v>
      </c>
      <c r="P18" s="385">
        <f t="shared" si="8"/>
        <v>0</v>
      </c>
      <c r="Q18" s="385">
        <f t="shared" si="8"/>
        <v>0</v>
      </c>
      <c r="R18" s="385">
        <f t="shared" si="8"/>
        <v>0</v>
      </c>
      <c r="S18" s="385">
        <f t="shared" si="8"/>
        <v>0</v>
      </c>
      <c r="T18" s="385">
        <f t="shared" si="8"/>
        <v>231032.07283086784</v>
      </c>
      <c r="U18" s="385">
        <f t="shared" si="8"/>
        <v>231032.07283086784</v>
      </c>
      <c r="V18" s="385">
        <f t="shared" si="8"/>
        <v>231032.07283086784</v>
      </c>
    </row>
    <row r="19" spans="1:24" x14ac:dyDescent="0.3">
      <c r="A19" s="183">
        <f t="shared" si="5"/>
        <v>0.1916433601461125</v>
      </c>
      <c r="B19" s="385">
        <v>1101231.3422787869</v>
      </c>
      <c r="C19" s="275">
        <f t="shared" si="6"/>
        <v>2027</v>
      </c>
      <c r="D19" s="385">
        <f t="shared" si="7"/>
        <v>0</v>
      </c>
      <c r="E19" s="385">
        <f t="shared" si="7"/>
        <v>0</v>
      </c>
      <c r="F19" s="385">
        <f t="shared" si="7"/>
        <v>0</v>
      </c>
      <c r="G19" s="385">
        <f t="shared" si="7"/>
        <v>0</v>
      </c>
      <c r="H19" s="385">
        <f t="shared" si="7"/>
        <v>0</v>
      </c>
      <c r="I19" s="385">
        <f t="shared" si="7"/>
        <v>0</v>
      </c>
      <c r="J19" s="385">
        <f t="shared" si="7"/>
        <v>0</v>
      </c>
      <c r="K19" s="385">
        <f t="shared" si="7"/>
        <v>0</v>
      </c>
      <c r="L19" s="385">
        <f t="shared" si="7"/>
        <v>0</v>
      </c>
      <c r="M19" s="385">
        <f t="shared" si="7"/>
        <v>0</v>
      </c>
      <c r="N19" s="385">
        <f t="shared" si="8"/>
        <v>0</v>
      </c>
      <c r="O19" s="385">
        <f t="shared" si="8"/>
        <v>0</v>
      </c>
      <c r="P19" s="385">
        <f t="shared" si="8"/>
        <v>0</v>
      </c>
      <c r="Q19" s="385">
        <f t="shared" si="8"/>
        <v>0</v>
      </c>
      <c r="R19" s="385">
        <f t="shared" si="8"/>
        <v>0</v>
      </c>
      <c r="S19" s="385">
        <f t="shared" si="8"/>
        <v>0</v>
      </c>
      <c r="T19" s="385">
        <f t="shared" si="8"/>
        <v>0</v>
      </c>
      <c r="U19" s="385">
        <f t="shared" si="8"/>
        <v>275307.83556969673</v>
      </c>
      <c r="V19" s="385">
        <f t="shared" si="8"/>
        <v>275307.83556969673</v>
      </c>
    </row>
    <row r="20" spans="1:24" x14ac:dyDescent="0.3">
      <c r="A20" s="183">
        <f t="shared" si="5"/>
        <v>0.18176124522113568</v>
      </c>
      <c r="B20" s="385">
        <v>1301392.5223279218</v>
      </c>
      <c r="C20" s="275">
        <f t="shared" si="6"/>
        <v>2028</v>
      </c>
      <c r="D20" s="385">
        <f t="shared" si="7"/>
        <v>0</v>
      </c>
      <c r="E20" s="385">
        <f t="shared" si="7"/>
        <v>0</v>
      </c>
      <c r="F20" s="385">
        <f t="shared" si="7"/>
        <v>0</v>
      </c>
      <c r="G20" s="385">
        <f t="shared" si="7"/>
        <v>0</v>
      </c>
      <c r="H20" s="385">
        <f t="shared" si="7"/>
        <v>0</v>
      </c>
      <c r="I20" s="385">
        <f t="shared" si="7"/>
        <v>0</v>
      </c>
      <c r="J20" s="385">
        <f t="shared" si="7"/>
        <v>0</v>
      </c>
      <c r="K20" s="385">
        <f t="shared" si="7"/>
        <v>0</v>
      </c>
      <c r="L20" s="385">
        <f t="shared" si="7"/>
        <v>0</v>
      </c>
      <c r="M20" s="385">
        <f t="shared" si="7"/>
        <v>0</v>
      </c>
      <c r="N20" s="385">
        <f t="shared" si="8"/>
        <v>0</v>
      </c>
      <c r="O20" s="385">
        <f t="shared" si="8"/>
        <v>0</v>
      </c>
      <c r="P20" s="385">
        <f t="shared" si="8"/>
        <v>0</v>
      </c>
      <c r="Q20" s="385">
        <f t="shared" si="8"/>
        <v>0</v>
      </c>
      <c r="R20" s="385">
        <f t="shared" si="8"/>
        <v>0</v>
      </c>
      <c r="S20" s="385">
        <f t="shared" si="8"/>
        <v>0</v>
      </c>
      <c r="T20" s="385">
        <f t="shared" si="8"/>
        <v>0</v>
      </c>
      <c r="U20" s="385">
        <f t="shared" si="8"/>
        <v>0</v>
      </c>
      <c r="V20" s="385">
        <f t="shared" si="8"/>
        <v>325348.13058198045</v>
      </c>
    </row>
    <row r="21" spans="1:24" x14ac:dyDescent="0.3">
      <c r="A21" s="183">
        <f t="shared" si="5"/>
        <v>0.17204373001879292</v>
      </c>
      <c r="B21" s="385">
        <v>1525288.9460877827</v>
      </c>
      <c r="C21" s="275">
        <f t="shared" si="6"/>
        <v>2029</v>
      </c>
      <c r="D21" s="385">
        <f t="shared" si="7"/>
        <v>0</v>
      </c>
      <c r="E21" s="385">
        <f t="shared" si="7"/>
        <v>0</v>
      </c>
      <c r="F21" s="385">
        <f t="shared" si="7"/>
        <v>0</v>
      </c>
      <c r="G21" s="385">
        <f t="shared" si="7"/>
        <v>0</v>
      </c>
      <c r="H21" s="385">
        <f t="shared" si="7"/>
        <v>0</v>
      </c>
      <c r="I21" s="385">
        <f t="shared" si="7"/>
        <v>0</v>
      </c>
      <c r="J21" s="385">
        <f t="shared" si="7"/>
        <v>0</v>
      </c>
      <c r="K21" s="385">
        <f t="shared" si="7"/>
        <v>0</v>
      </c>
      <c r="L21" s="385">
        <f t="shared" si="7"/>
        <v>0</v>
      </c>
      <c r="M21" s="385">
        <f t="shared" si="7"/>
        <v>0</v>
      </c>
      <c r="N21" s="385">
        <f t="shared" si="8"/>
        <v>0</v>
      </c>
      <c r="O21" s="385">
        <f t="shared" si="8"/>
        <v>0</v>
      </c>
      <c r="P21" s="385">
        <f t="shared" si="8"/>
        <v>0</v>
      </c>
      <c r="Q21" s="385">
        <f t="shared" si="8"/>
        <v>0</v>
      </c>
      <c r="R21" s="385">
        <f t="shared" si="8"/>
        <v>0</v>
      </c>
      <c r="S21" s="385">
        <f t="shared" si="8"/>
        <v>0</v>
      </c>
      <c r="T21" s="385">
        <f t="shared" si="8"/>
        <v>0</v>
      </c>
      <c r="U21" s="385">
        <f t="shared" si="8"/>
        <v>0</v>
      </c>
      <c r="V21" s="385">
        <f t="shared" si="8"/>
        <v>0</v>
      </c>
    </row>
    <row r="22" spans="1:24" x14ac:dyDescent="0.3">
      <c r="A22" s="183">
        <f t="shared" si="5"/>
        <v>0.16248526337998648</v>
      </c>
      <c r="B22" s="385">
        <v>1773125.9222234383</v>
      </c>
      <c r="C22" s="275">
        <f t="shared" si="6"/>
        <v>2030</v>
      </c>
      <c r="D22" s="385">
        <f t="shared" si="7"/>
        <v>0</v>
      </c>
      <c r="E22" s="385">
        <f t="shared" si="7"/>
        <v>0</v>
      </c>
      <c r="F22" s="385">
        <f t="shared" si="7"/>
        <v>0</v>
      </c>
      <c r="G22" s="385">
        <f t="shared" si="7"/>
        <v>0</v>
      </c>
      <c r="H22" s="385">
        <f t="shared" si="7"/>
        <v>0</v>
      </c>
      <c r="I22" s="385">
        <f t="shared" si="7"/>
        <v>0</v>
      </c>
      <c r="J22" s="385">
        <f t="shared" si="7"/>
        <v>0</v>
      </c>
      <c r="K22" s="385">
        <f t="shared" si="7"/>
        <v>0</v>
      </c>
      <c r="L22" s="385">
        <f t="shared" si="7"/>
        <v>0</v>
      </c>
      <c r="M22" s="385">
        <f t="shared" si="7"/>
        <v>0</v>
      </c>
      <c r="N22" s="385">
        <f t="shared" si="8"/>
        <v>0</v>
      </c>
      <c r="O22" s="385">
        <f t="shared" si="8"/>
        <v>0</v>
      </c>
      <c r="P22" s="385">
        <f t="shared" si="8"/>
        <v>0</v>
      </c>
      <c r="Q22" s="385">
        <f t="shared" si="8"/>
        <v>0</v>
      </c>
      <c r="R22" s="385">
        <f t="shared" si="8"/>
        <v>0</v>
      </c>
      <c r="S22" s="385">
        <f t="shared" si="8"/>
        <v>0</v>
      </c>
      <c r="T22" s="385">
        <f t="shared" si="8"/>
        <v>0</v>
      </c>
      <c r="U22" s="385">
        <f t="shared" si="8"/>
        <v>0</v>
      </c>
      <c r="V22" s="385">
        <f t="shared" si="8"/>
        <v>0</v>
      </c>
    </row>
    <row r="23" spans="1:24" x14ac:dyDescent="0.3">
      <c r="C23" s="275" t="s">
        <v>204</v>
      </c>
      <c r="D23" s="386">
        <f>SUM(D4:D22)</f>
        <v>0</v>
      </c>
      <c r="E23" s="386">
        <f t="shared" ref="E23:V23" si="9">SUM(E4:E22)</f>
        <v>0</v>
      </c>
      <c r="F23" s="386">
        <f t="shared" si="9"/>
        <v>8436.1609216000015</v>
      </c>
      <c r="G23" s="386">
        <f t="shared" si="9"/>
        <v>18981.362073600001</v>
      </c>
      <c r="H23" s="386">
        <f t="shared" si="9"/>
        <v>32162.863513600001</v>
      </c>
      <c r="I23" s="386">
        <f t="shared" si="9"/>
        <v>48639.740313600007</v>
      </c>
      <c r="J23" s="386">
        <f t="shared" si="9"/>
        <v>60799.675392000005</v>
      </c>
      <c r="K23" s="386">
        <f t="shared" si="9"/>
        <v>75999.594240000006</v>
      </c>
      <c r="L23" s="386">
        <f t="shared" si="9"/>
        <v>94999.492800000007</v>
      </c>
      <c r="M23" s="386">
        <f t="shared" si="9"/>
        <v>118749.36600000001</v>
      </c>
      <c r="N23" s="386">
        <f t="shared" si="9"/>
        <v>161773.52000000002</v>
      </c>
      <c r="O23" s="386">
        <f t="shared" si="9"/>
        <v>227342.39624999999</v>
      </c>
      <c r="P23" s="386">
        <f t="shared" si="9"/>
        <v>300422.88586785045</v>
      </c>
      <c r="Q23" s="386">
        <f t="shared" si="9"/>
        <v>389977.28492986679</v>
      </c>
      <c r="R23" s="386">
        <f t="shared" si="9"/>
        <v>484993.17494870687</v>
      </c>
      <c r="S23" s="386">
        <f t="shared" si="9"/>
        <v>585934.21447460761</v>
      </c>
      <c r="T23" s="386">
        <f t="shared" si="9"/>
        <v>711704.39768762491</v>
      </c>
      <c r="U23" s="386">
        <f t="shared" si="9"/>
        <v>857231.08419530524</v>
      </c>
      <c r="V23" s="386">
        <f t="shared" si="9"/>
        <v>1023943.0747584457</v>
      </c>
    </row>
    <row r="25" spans="1:24" x14ac:dyDescent="0.3">
      <c r="B25" s="275" t="s">
        <v>206</v>
      </c>
    </row>
    <row r="26" spans="1:24" x14ac:dyDescent="0.3">
      <c r="K26" s="275"/>
      <c r="L26" s="275"/>
      <c r="M26" s="275"/>
      <c r="N26" s="275"/>
      <c r="O26" s="275"/>
      <c r="P26" s="275"/>
      <c r="Q26" s="275"/>
      <c r="R26" s="275"/>
      <c r="S26" s="275"/>
      <c r="T26" s="275"/>
      <c r="U26" s="275"/>
      <c r="V26" s="275"/>
      <c r="X26" s="275"/>
    </row>
    <row r="27" spans="1:24" x14ac:dyDescent="0.3">
      <c r="B27" s="394">
        <f t="shared" ref="B27:B32" si="10">B28/(1+A28)</f>
        <v>40473.355878400005</v>
      </c>
      <c r="C27" s="275">
        <f t="shared" ref="C27:C32" si="11">C28-1</f>
        <v>2012</v>
      </c>
      <c r="D27" s="385">
        <f t="shared" ref="D27:S45" si="12">IF((D$1=$C27+1),$B27,0)</f>
        <v>0</v>
      </c>
      <c r="E27" s="385">
        <f t="shared" si="12"/>
        <v>40473.355878400005</v>
      </c>
      <c r="F27" s="385">
        <f t="shared" si="12"/>
        <v>0</v>
      </c>
      <c r="G27" s="385">
        <f t="shared" si="12"/>
        <v>0</v>
      </c>
      <c r="H27" s="385">
        <f t="shared" si="12"/>
        <v>0</v>
      </c>
      <c r="I27" s="385">
        <f t="shared" si="12"/>
        <v>0</v>
      </c>
      <c r="J27" s="385">
        <f t="shared" si="12"/>
        <v>0</v>
      </c>
      <c r="K27" s="385">
        <f t="shared" si="12"/>
        <v>0</v>
      </c>
      <c r="L27" s="385">
        <f t="shared" si="12"/>
        <v>0</v>
      </c>
      <c r="M27" s="385">
        <f t="shared" si="12"/>
        <v>0</v>
      </c>
      <c r="N27" s="385">
        <f t="shared" si="12"/>
        <v>0</v>
      </c>
      <c r="O27" s="385">
        <f t="shared" si="12"/>
        <v>0</v>
      </c>
      <c r="P27" s="385">
        <f t="shared" si="12"/>
        <v>0</v>
      </c>
      <c r="Q27" s="385">
        <f t="shared" si="12"/>
        <v>0</v>
      </c>
      <c r="R27" s="385">
        <f t="shared" si="12"/>
        <v>0</v>
      </c>
      <c r="S27" s="385">
        <f t="shared" si="12"/>
        <v>0</v>
      </c>
      <c r="T27" s="385">
        <f t="shared" ref="E27:V41" si="13">IF((T$1=$C27+1),$B27,0)</f>
        <v>0</v>
      </c>
      <c r="U27" s="385">
        <f t="shared" si="13"/>
        <v>0</v>
      </c>
      <c r="V27" s="385">
        <f t="shared" si="13"/>
        <v>0</v>
      </c>
      <c r="X27" s="275"/>
    </row>
    <row r="28" spans="1:24" x14ac:dyDescent="0.3">
      <c r="A28" s="398">
        <v>0.25</v>
      </c>
      <c r="B28" s="394">
        <f t="shared" si="10"/>
        <v>50591.694848000006</v>
      </c>
      <c r="C28" s="275">
        <f t="shared" si="11"/>
        <v>2013</v>
      </c>
      <c r="D28" s="385">
        <f t="shared" si="12"/>
        <v>0</v>
      </c>
      <c r="E28" s="385">
        <f t="shared" si="13"/>
        <v>0</v>
      </c>
      <c r="F28" s="385">
        <f t="shared" si="13"/>
        <v>50591.694848000006</v>
      </c>
      <c r="G28" s="385">
        <f t="shared" si="13"/>
        <v>0</v>
      </c>
      <c r="H28" s="385">
        <f t="shared" si="13"/>
        <v>0</v>
      </c>
      <c r="I28" s="385">
        <f t="shared" si="13"/>
        <v>0</v>
      </c>
      <c r="J28" s="385">
        <f t="shared" si="13"/>
        <v>0</v>
      </c>
      <c r="K28" s="385">
        <f t="shared" si="13"/>
        <v>0</v>
      </c>
      <c r="L28" s="385">
        <f t="shared" si="13"/>
        <v>0</v>
      </c>
      <c r="M28" s="385">
        <f t="shared" si="13"/>
        <v>0</v>
      </c>
      <c r="N28" s="385">
        <f t="shared" si="13"/>
        <v>0</v>
      </c>
      <c r="O28" s="385">
        <f t="shared" si="13"/>
        <v>0</v>
      </c>
      <c r="P28" s="385">
        <f t="shared" si="13"/>
        <v>0</v>
      </c>
      <c r="Q28" s="385">
        <f t="shared" si="13"/>
        <v>0</v>
      </c>
      <c r="R28" s="385">
        <f t="shared" si="13"/>
        <v>0</v>
      </c>
      <c r="S28" s="385">
        <f t="shared" si="13"/>
        <v>0</v>
      </c>
      <c r="T28" s="385">
        <f t="shared" si="13"/>
        <v>0</v>
      </c>
      <c r="U28" s="385">
        <f t="shared" si="13"/>
        <v>0</v>
      </c>
      <c r="V28" s="385">
        <f t="shared" si="13"/>
        <v>0</v>
      </c>
      <c r="X28" s="275"/>
    </row>
    <row r="29" spans="1:24" x14ac:dyDescent="0.3">
      <c r="A29" s="398">
        <v>0.25</v>
      </c>
      <c r="B29" s="394">
        <f t="shared" si="10"/>
        <v>63239.61856000001</v>
      </c>
      <c r="C29" s="275">
        <f t="shared" si="11"/>
        <v>2014</v>
      </c>
      <c r="D29" s="385">
        <f t="shared" si="12"/>
        <v>0</v>
      </c>
      <c r="E29" s="385">
        <f t="shared" si="13"/>
        <v>0</v>
      </c>
      <c r="F29" s="385">
        <f t="shared" si="13"/>
        <v>0</v>
      </c>
      <c r="G29" s="385">
        <f t="shared" si="13"/>
        <v>63239.61856000001</v>
      </c>
      <c r="H29" s="385">
        <f t="shared" si="13"/>
        <v>0</v>
      </c>
      <c r="I29" s="385">
        <f t="shared" si="13"/>
        <v>0</v>
      </c>
      <c r="J29" s="385">
        <f t="shared" si="13"/>
        <v>0</v>
      </c>
      <c r="K29" s="385">
        <f t="shared" si="13"/>
        <v>0</v>
      </c>
      <c r="L29" s="385">
        <f t="shared" si="13"/>
        <v>0</v>
      </c>
      <c r="M29" s="385">
        <f t="shared" si="13"/>
        <v>0</v>
      </c>
      <c r="N29" s="385">
        <f t="shared" si="13"/>
        <v>0</v>
      </c>
      <c r="O29" s="385">
        <f t="shared" si="13"/>
        <v>0</v>
      </c>
      <c r="P29" s="385">
        <f t="shared" si="13"/>
        <v>0</v>
      </c>
      <c r="Q29" s="385">
        <f t="shared" si="13"/>
        <v>0</v>
      </c>
      <c r="R29" s="385">
        <f t="shared" si="13"/>
        <v>0</v>
      </c>
      <c r="S29" s="385">
        <f t="shared" si="13"/>
        <v>0</v>
      </c>
      <c r="T29" s="385">
        <f t="shared" si="13"/>
        <v>0</v>
      </c>
      <c r="U29" s="385">
        <f t="shared" si="13"/>
        <v>0</v>
      </c>
      <c r="V29" s="385">
        <f t="shared" si="13"/>
        <v>0</v>
      </c>
      <c r="X29" s="275"/>
    </row>
    <row r="30" spans="1:24" x14ac:dyDescent="0.3">
      <c r="A30" s="398">
        <v>0.25</v>
      </c>
      <c r="B30" s="394">
        <f t="shared" si="10"/>
        <v>79049.523200000011</v>
      </c>
      <c r="C30" s="275">
        <f t="shared" si="11"/>
        <v>2015</v>
      </c>
      <c r="D30" s="385">
        <f t="shared" si="12"/>
        <v>0</v>
      </c>
      <c r="E30" s="385">
        <f t="shared" si="13"/>
        <v>0</v>
      </c>
      <c r="F30" s="385">
        <f t="shared" si="13"/>
        <v>0</v>
      </c>
      <c r="G30" s="385">
        <f t="shared" si="13"/>
        <v>0</v>
      </c>
      <c r="H30" s="385">
        <f t="shared" si="13"/>
        <v>79049.523200000011</v>
      </c>
      <c r="I30" s="385">
        <f t="shared" si="13"/>
        <v>0</v>
      </c>
      <c r="J30" s="385">
        <f t="shared" si="13"/>
        <v>0</v>
      </c>
      <c r="K30" s="385">
        <f t="shared" si="13"/>
        <v>0</v>
      </c>
      <c r="L30" s="385">
        <f t="shared" si="13"/>
        <v>0</v>
      </c>
      <c r="M30" s="385">
        <f t="shared" si="13"/>
        <v>0</v>
      </c>
      <c r="N30" s="385">
        <f t="shared" si="13"/>
        <v>0</v>
      </c>
      <c r="O30" s="385">
        <f t="shared" si="13"/>
        <v>0</v>
      </c>
      <c r="P30" s="385">
        <f t="shared" si="13"/>
        <v>0</v>
      </c>
      <c r="Q30" s="385">
        <f t="shared" si="13"/>
        <v>0</v>
      </c>
      <c r="R30" s="385">
        <f t="shared" si="13"/>
        <v>0</v>
      </c>
      <c r="S30" s="385">
        <f t="shared" si="13"/>
        <v>0</v>
      </c>
      <c r="T30" s="385">
        <f t="shared" si="13"/>
        <v>0</v>
      </c>
      <c r="U30" s="385">
        <f t="shared" si="13"/>
        <v>0</v>
      </c>
      <c r="V30" s="385">
        <f t="shared" si="13"/>
        <v>0</v>
      </c>
      <c r="X30" s="275"/>
    </row>
    <row r="31" spans="1:24" x14ac:dyDescent="0.3">
      <c r="A31" s="398">
        <v>0.25</v>
      </c>
      <c r="B31" s="394">
        <f t="shared" si="10"/>
        <v>98811.90400000001</v>
      </c>
      <c r="C31" s="275">
        <f t="shared" si="11"/>
        <v>2016</v>
      </c>
      <c r="D31" s="385">
        <f t="shared" si="12"/>
        <v>0</v>
      </c>
      <c r="E31" s="385">
        <f t="shared" si="13"/>
        <v>0</v>
      </c>
      <c r="F31" s="385">
        <f t="shared" si="13"/>
        <v>0</v>
      </c>
      <c r="G31" s="385">
        <f t="shared" si="13"/>
        <v>0</v>
      </c>
      <c r="H31" s="385">
        <f t="shared" si="13"/>
        <v>0</v>
      </c>
      <c r="I31" s="385">
        <f t="shared" si="13"/>
        <v>98811.90400000001</v>
      </c>
      <c r="J31" s="385">
        <f t="shared" si="13"/>
        <v>0</v>
      </c>
      <c r="K31" s="385">
        <f t="shared" si="13"/>
        <v>0</v>
      </c>
      <c r="L31" s="385">
        <f t="shared" si="13"/>
        <v>0</v>
      </c>
      <c r="M31" s="385">
        <f t="shared" si="13"/>
        <v>0</v>
      </c>
      <c r="N31" s="385">
        <f t="shared" si="13"/>
        <v>0</v>
      </c>
      <c r="O31" s="385">
        <f t="shared" si="13"/>
        <v>0</v>
      </c>
      <c r="P31" s="385">
        <f t="shared" si="13"/>
        <v>0</v>
      </c>
      <c r="Q31" s="385">
        <f t="shared" si="13"/>
        <v>0</v>
      </c>
      <c r="R31" s="385">
        <f t="shared" si="13"/>
        <v>0</v>
      </c>
      <c r="S31" s="385">
        <f t="shared" si="13"/>
        <v>0</v>
      </c>
      <c r="T31" s="385">
        <f t="shared" si="13"/>
        <v>0</v>
      </c>
      <c r="U31" s="385">
        <f t="shared" si="13"/>
        <v>0</v>
      </c>
      <c r="V31" s="385">
        <f t="shared" si="13"/>
        <v>0</v>
      </c>
      <c r="X31" s="275"/>
    </row>
    <row r="32" spans="1:24" x14ac:dyDescent="0.3">
      <c r="A32" s="398">
        <v>0.25</v>
      </c>
      <c r="B32" s="394">
        <f t="shared" si="10"/>
        <v>123514.88</v>
      </c>
      <c r="C32" s="275">
        <f t="shared" si="11"/>
        <v>2017</v>
      </c>
      <c r="D32" s="385">
        <f t="shared" si="12"/>
        <v>0</v>
      </c>
      <c r="E32" s="385">
        <f t="shared" si="13"/>
        <v>0</v>
      </c>
      <c r="F32" s="385">
        <f t="shared" si="13"/>
        <v>0</v>
      </c>
      <c r="G32" s="385">
        <f t="shared" si="13"/>
        <v>0</v>
      </c>
      <c r="H32" s="385">
        <f t="shared" si="13"/>
        <v>0</v>
      </c>
      <c r="I32" s="385">
        <f t="shared" si="13"/>
        <v>0</v>
      </c>
      <c r="J32" s="385">
        <f t="shared" si="13"/>
        <v>123514.88</v>
      </c>
      <c r="K32" s="385">
        <f t="shared" si="13"/>
        <v>0</v>
      </c>
      <c r="L32" s="385">
        <f t="shared" si="13"/>
        <v>0</v>
      </c>
      <c r="M32" s="385">
        <f t="shared" si="13"/>
        <v>0</v>
      </c>
      <c r="N32" s="385">
        <f t="shared" si="13"/>
        <v>0</v>
      </c>
      <c r="O32" s="385">
        <f t="shared" si="13"/>
        <v>0</v>
      </c>
      <c r="P32" s="385">
        <f t="shared" si="13"/>
        <v>0</v>
      </c>
      <c r="Q32" s="385">
        <f t="shared" si="13"/>
        <v>0</v>
      </c>
      <c r="R32" s="385">
        <f t="shared" si="13"/>
        <v>0</v>
      </c>
      <c r="S32" s="385">
        <f t="shared" si="13"/>
        <v>0</v>
      </c>
      <c r="T32" s="385">
        <f t="shared" si="13"/>
        <v>0</v>
      </c>
      <c r="U32" s="385">
        <f t="shared" si="13"/>
        <v>0</v>
      </c>
      <c r="V32" s="385">
        <f t="shared" si="13"/>
        <v>0</v>
      </c>
      <c r="X32" s="275"/>
    </row>
    <row r="33" spans="1:24" x14ac:dyDescent="0.3">
      <c r="A33" s="398">
        <v>0.25</v>
      </c>
      <c r="B33" s="394">
        <f>B34/(1+A34)</f>
        <v>154393.60000000001</v>
      </c>
      <c r="C33" s="275">
        <f>C34-1</f>
        <v>2018</v>
      </c>
      <c r="D33" s="385">
        <f t="shared" si="12"/>
        <v>0</v>
      </c>
      <c r="E33" s="385">
        <f t="shared" si="13"/>
        <v>0</v>
      </c>
      <c r="F33" s="385">
        <f t="shared" si="13"/>
        <v>0</v>
      </c>
      <c r="G33" s="385">
        <f t="shared" si="13"/>
        <v>0</v>
      </c>
      <c r="H33" s="385">
        <f t="shared" si="13"/>
        <v>0</v>
      </c>
      <c r="I33" s="385">
        <f t="shared" si="13"/>
        <v>0</v>
      </c>
      <c r="J33" s="385">
        <f t="shared" si="13"/>
        <v>0</v>
      </c>
      <c r="K33" s="385">
        <f t="shared" si="13"/>
        <v>154393.60000000001</v>
      </c>
      <c r="L33" s="385">
        <f t="shared" si="13"/>
        <v>0</v>
      </c>
      <c r="M33" s="385">
        <f t="shared" si="13"/>
        <v>0</v>
      </c>
      <c r="N33" s="385">
        <f t="shared" si="13"/>
        <v>0</v>
      </c>
      <c r="O33" s="385">
        <f t="shared" si="13"/>
        <v>0</v>
      </c>
      <c r="P33" s="385">
        <f t="shared" si="13"/>
        <v>0</v>
      </c>
      <c r="Q33" s="385">
        <f t="shared" si="13"/>
        <v>0</v>
      </c>
      <c r="R33" s="385">
        <f t="shared" si="13"/>
        <v>0</v>
      </c>
      <c r="S33" s="385">
        <f t="shared" si="13"/>
        <v>0</v>
      </c>
      <c r="T33" s="385">
        <f t="shared" si="13"/>
        <v>0</v>
      </c>
      <c r="U33" s="385">
        <f t="shared" si="13"/>
        <v>0</v>
      </c>
      <c r="V33" s="385">
        <f t="shared" si="13"/>
        <v>0</v>
      </c>
      <c r="X33" s="275"/>
    </row>
    <row r="34" spans="1:24" x14ac:dyDescent="0.3">
      <c r="A34" s="398">
        <v>0.25</v>
      </c>
      <c r="B34" s="385">
        <f>'Pro Forma'!D167</f>
        <v>192992</v>
      </c>
      <c r="C34" s="275">
        <v>2019</v>
      </c>
      <c r="D34" s="385">
        <f t="shared" si="12"/>
        <v>0</v>
      </c>
      <c r="E34" s="385">
        <f t="shared" si="13"/>
        <v>0</v>
      </c>
      <c r="F34" s="385">
        <f t="shared" si="13"/>
        <v>0</v>
      </c>
      <c r="G34" s="385">
        <f t="shared" si="13"/>
        <v>0</v>
      </c>
      <c r="H34" s="385">
        <f t="shared" si="13"/>
        <v>0</v>
      </c>
      <c r="I34" s="385">
        <f t="shared" si="13"/>
        <v>0</v>
      </c>
      <c r="J34" s="385">
        <f t="shared" si="13"/>
        <v>0</v>
      </c>
      <c r="K34" s="385">
        <f t="shared" si="13"/>
        <v>0</v>
      </c>
      <c r="L34" s="385">
        <f t="shared" si="13"/>
        <v>192992</v>
      </c>
      <c r="M34" s="385">
        <f t="shared" si="13"/>
        <v>0</v>
      </c>
      <c r="N34" s="385">
        <f t="shared" si="13"/>
        <v>0</v>
      </c>
      <c r="O34" s="385">
        <f t="shared" si="13"/>
        <v>0</v>
      </c>
      <c r="P34" s="385">
        <f t="shared" si="13"/>
        <v>0</v>
      </c>
      <c r="Q34" s="385">
        <f t="shared" si="13"/>
        <v>0</v>
      </c>
      <c r="R34" s="385">
        <f t="shared" si="13"/>
        <v>0</v>
      </c>
      <c r="S34" s="385">
        <f t="shared" si="13"/>
        <v>0</v>
      </c>
      <c r="T34" s="385">
        <f t="shared" si="13"/>
        <v>0</v>
      </c>
      <c r="U34" s="385">
        <f t="shared" si="13"/>
        <v>0</v>
      </c>
      <c r="V34" s="385">
        <f t="shared" si="13"/>
        <v>0</v>
      </c>
      <c r="X34" s="275"/>
    </row>
    <row r="35" spans="1:24" x14ac:dyDescent="0.3">
      <c r="A35" s="183">
        <f>(B35/B34)-1</f>
        <v>0.44185769358315374</v>
      </c>
      <c r="B35" s="385">
        <f>'Pro Forma'!I167</f>
        <v>278267</v>
      </c>
      <c r="C35" s="275">
        <f>C34+1</f>
        <v>2020</v>
      </c>
      <c r="D35" s="385">
        <f t="shared" si="12"/>
        <v>0</v>
      </c>
      <c r="E35" s="385">
        <f t="shared" si="13"/>
        <v>0</v>
      </c>
      <c r="F35" s="385">
        <f t="shared" si="13"/>
        <v>0</v>
      </c>
      <c r="G35" s="385">
        <f t="shared" si="13"/>
        <v>0</v>
      </c>
      <c r="H35" s="385">
        <f t="shared" si="13"/>
        <v>0</v>
      </c>
      <c r="I35" s="385">
        <f t="shared" si="13"/>
        <v>0</v>
      </c>
      <c r="J35" s="385">
        <f t="shared" si="13"/>
        <v>0</v>
      </c>
      <c r="K35" s="385">
        <f t="shared" si="13"/>
        <v>0</v>
      </c>
      <c r="L35" s="385">
        <f t="shared" si="13"/>
        <v>0</v>
      </c>
      <c r="M35" s="385">
        <f t="shared" si="13"/>
        <v>278267</v>
      </c>
      <c r="N35" s="385">
        <f t="shared" si="13"/>
        <v>0</v>
      </c>
      <c r="O35" s="385">
        <f t="shared" si="13"/>
        <v>0</v>
      </c>
      <c r="P35" s="385">
        <f t="shared" si="13"/>
        <v>0</v>
      </c>
      <c r="Q35" s="385">
        <f t="shared" si="13"/>
        <v>0</v>
      </c>
      <c r="R35" s="385">
        <f t="shared" si="13"/>
        <v>0</v>
      </c>
      <c r="S35" s="385">
        <f t="shared" si="13"/>
        <v>0</v>
      </c>
      <c r="T35" s="385">
        <f t="shared" si="13"/>
        <v>0</v>
      </c>
      <c r="U35" s="385">
        <f t="shared" si="13"/>
        <v>0</v>
      </c>
      <c r="V35" s="385">
        <f t="shared" si="13"/>
        <v>0</v>
      </c>
    </row>
    <row r="36" spans="1:24" x14ac:dyDescent="0.3">
      <c r="A36" s="183">
        <f t="shared" ref="A36:A45" si="14">(B36/B35)-1</f>
        <v>0.26394232877056933</v>
      </c>
      <c r="B36" s="385" cm="1">
        <f t="array" ref="B36:B45">TRANSPOSE('Pro Forma'!N167:W167)</f>
        <v>351713.44</v>
      </c>
      <c r="C36" s="275">
        <f t="shared" ref="C36:C45" si="15">C35+1</f>
        <v>2021</v>
      </c>
      <c r="D36" s="385">
        <f t="shared" si="12"/>
        <v>0</v>
      </c>
      <c r="E36" s="385">
        <f t="shared" si="13"/>
        <v>0</v>
      </c>
      <c r="F36" s="385">
        <f t="shared" si="13"/>
        <v>0</v>
      </c>
      <c r="G36" s="385">
        <f t="shared" si="13"/>
        <v>0</v>
      </c>
      <c r="H36" s="385">
        <f t="shared" si="13"/>
        <v>0</v>
      </c>
      <c r="I36" s="385">
        <f t="shared" si="13"/>
        <v>0</v>
      </c>
      <c r="J36" s="385">
        <f t="shared" si="13"/>
        <v>0</v>
      </c>
      <c r="K36" s="385">
        <f t="shared" si="13"/>
        <v>0</v>
      </c>
      <c r="L36" s="385">
        <f t="shared" si="13"/>
        <v>0</v>
      </c>
      <c r="M36" s="385">
        <f t="shared" si="13"/>
        <v>0</v>
      </c>
      <c r="N36" s="385">
        <f t="shared" si="13"/>
        <v>351713.44</v>
      </c>
      <c r="O36" s="385">
        <f t="shared" si="13"/>
        <v>0</v>
      </c>
      <c r="P36" s="385">
        <f t="shared" si="13"/>
        <v>0</v>
      </c>
      <c r="Q36" s="385">
        <f t="shared" si="13"/>
        <v>0</v>
      </c>
      <c r="R36" s="385">
        <f t="shared" si="13"/>
        <v>0</v>
      </c>
      <c r="S36" s="385">
        <f t="shared" si="13"/>
        <v>0</v>
      </c>
      <c r="T36" s="385">
        <f t="shared" si="13"/>
        <v>0</v>
      </c>
      <c r="U36" s="385">
        <f t="shared" si="13"/>
        <v>0</v>
      </c>
      <c r="V36" s="385">
        <f t="shared" si="13"/>
        <v>0</v>
      </c>
    </row>
    <row r="37" spans="1:24" x14ac:dyDescent="0.3">
      <c r="A37" s="183">
        <f t="shared" si="14"/>
        <v>0.20999999999999996</v>
      </c>
      <c r="B37" s="385">
        <v>425573.26240000001</v>
      </c>
      <c r="C37" s="275">
        <f t="shared" si="15"/>
        <v>2022</v>
      </c>
      <c r="D37" s="385">
        <f t="shared" si="12"/>
        <v>0</v>
      </c>
      <c r="E37" s="385">
        <f t="shared" si="13"/>
        <v>0</v>
      </c>
      <c r="F37" s="385">
        <f t="shared" si="13"/>
        <v>0</v>
      </c>
      <c r="G37" s="385">
        <f t="shared" si="13"/>
        <v>0</v>
      </c>
      <c r="H37" s="385">
        <f t="shared" si="13"/>
        <v>0</v>
      </c>
      <c r="I37" s="385">
        <f t="shared" si="13"/>
        <v>0</v>
      </c>
      <c r="J37" s="385">
        <f t="shared" si="13"/>
        <v>0</v>
      </c>
      <c r="K37" s="385">
        <f t="shared" si="13"/>
        <v>0</v>
      </c>
      <c r="L37" s="385">
        <f t="shared" si="13"/>
        <v>0</v>
      </c>
      <c r="M37" s="385">
        <f t="shared" si="13"/>
        <v>0</v>
      </c>
      <c r="N37" s="385">
        <f t="shared" si="13"/>
        <v>0</v>
      </c>
      <c r="O37" s="385">
        <f t="shared" si="13"/>
        <v>425573.26240000001</v>
      </c>
      <c r="P37" s="385">
        <f t="shared" si="13"/>
        <v>0</v>
      </c>
      <c r="Q37" s="385">
        <f t="shared" si="13"/>
        <v>0</v>
      </c>
      <c r="R37" s="385">
        <f t="shared" si="13"/>
        <v>0</v>
      </c>
      <c r="S37" s="385">
        <f t="shared" si="13"/>
        <v>0</v>
      </c>
      <c r="T37" s="385">
        <f t="shared" si="13"/>
        <v>0</v>
      </c>
      <c r="U37" s="385">
        <f t="shared" si="13"/>
        <v>0</v>
      </c>
      <c r="V37" s="385">
        <f t="shared" si="13"/>
        <v>0</v>
      </c>
    </row>
    <row r="38" spans="1:24" x14ac:dyDescent="0.3">
      <c r="A38" s="183">
        <f t="shared" si="14"/>
        <v>0.19500000000000006</v>
      </c>
      <c r="B38" s="385">
        <v>508560.04856800003</v>
      </c>
      <c r="C38" s="275">
        <f t="shared" si="15"/>
        <v>2023</v>
      </c>
      <c r="D38" s="385">
        <f t="shared" si="12"/>
        <v>0</v>
      </c>
      <c r="E38" s="385">
        <f t="shared" si="13"/>
        <v>0</v>
      </c>
      <c r="F38" s="385">
        <f t="shared" si="13"/>
        <v>0</v>
      </c>
      <c r="G38" s="385">
        <f t="shared" si="13"/>
        <v>0</v>
      </c>
      <c r="H38" s="385">
        <f t="shared" si="13"/>
        <v>0</v>
      </c>
      <c r="I38" s="385">
        <f t="shared" si="13"/>
        <v>0</v>
      </c>
      <c r="J38" s="385">
        <f t="shared" si="13"/>
        <v>0</v>
      </c>
      <c r="K38" s="385">
        <f t="shared" si="13"/>
        <v>0</v>
      </c>
      <c r="L38" s="385">
        <f t="shared" si="13"/>
        <v>0</v>
      </c>
      <c r="M38" s="385">
        <f t="shared" si="13"/>
        <v>0</v>
      </c>
      <c r="N38" s="385">
        <f t="shared" si="13"/>
        <v>0</v>
      </c>
      <c r="O38" s="385">
        <f t="shared" si="13"/>
        <v>0</v>
      </c>
      <c r="P38" s="385">
        <f t="shared" si="13"/>
        <v>508560.04856800003</v>
      </c>
      <c r="Q38" s="385">
        <f t="shared" si="13"/>
        <v>0</v>
      </c>
      <c r="R38" s="385">
        <f t="shared" si="13"/>
        <v>0</v>
      </c>
      <c r="S38" s="385">
        <f t="shared" si="13"/>
        <v>0</v>
      </c>
      <c r="T38" s="385">
        <f t="shared" si="13"/>
        <v>0</v>
      </c>
      <c r="U38" s="385">
        <f t="shared" si="13"/>
        <v>0</v>
      </c>
      <c r="V38" s="385">
        <f t="shared" si="13"/>
        <v>0</v>
      </c>
    </row>
    <row r="39" spans="1:24" x14ac:dyDescent="0.3">
      <c r="A39" s="183">
        <f t="shared" si="14"/>
        <v>0.18500000000000005</v>
      </c>
      <c r="B39" s="385">
        <v>602643.65755308</v>
      </c>
      <c r="C39" s="275">
        <f t="shared" si="15"/>
        <v>2024</v>
      </c>
      <c r="D39" s="385">
        <f t="shared" si="12"/>
        <v>0</v>
      </c>
      <c r="E39" s="385">
        <f t="shared" si="13"/>
        <v>0</v>
      </c>
      <c r="F39" s="385">
        <f t="shared" si="13"/>
        <v>0</v>
      </c>
      <c r="G39" s="385">
        <f t="shared" si="13"/>
        <v>0</v>
      </c>
      <c r="H39" s="385">
        <f t="shared" si="13"/>
        <v>0</v>
      </c>
      <c r="I39" s="385">
        <f t="shared" si="13"/>
        <v>0</v>
      </c>
      <c r="J39" s="385">
        <f t="shared" si="13"/>
        <v>0</v>
      </c>
      <c r="K39" s="385">
        <f t="shared" si="13"/>
        <v>0</v>
      </c>
      <c r="L39" s="385">
        <f t="shared" si="13"/>
        <v>0</v>
      </c>
      <c r="M39" s="385">
        <f t="shared" si="13"/>
        <v>0</v>
      </c>
      <c r="N39" s="385">
        <f t="shared" si="13"/>
        <v>0</v>
      </c>
      <c r="O39" s="385">
        <f t="shared" si="13"/>
        <v>0</v>
      </c>
      <c r="P39" s="385">
        <f t="shared" si="13"/>
        <v>0</v>
      </c>
      <c r="Q39" s="385">
        <f t="shared" si="13"/>
        <v>602643.65755308</v>
      </c>
      <c r="R39" s="385">
        <f t="shared" si="13"/>
        <v>0</v>
      </c>
      <c r="S39" s="385">
        <f t="shared" si="13"/>
        <v>0</v>
      </c>
      <c r="T39" s="385">
        <f t="shared" si="13"/>
        <v>0</v>
      </c>
      <c r="U39" s="385">
        <f t="shared" si="13"/>
        <v>0</v>
      </c>
      <c r="V39" s="385">
        <f t="shared" si="13"/>
        <v>0</v>
      </c>
    </row>
    <row r="40" spans="1:24" x14ac:dyDescent="0.3">
      <c r="A40" s="183">
        <f t="shared" si="14"/>
        <v>0.17749999999999999</v>
      </c>
      <c r="B40" s="385">
        <v>709612.90676875168</v>
      </c>
      <c r="C40" s="275">
        <f t="shared" si="15"/>
        <v>2025</v>
      </c>
      <c r="D40" s="385">
        <f t="shared" si="12"/>
        <v>0</v>
      </c>
      <c r="E40" s="385">
        <f t="shared" si="13"/>
        <v>0</v>
      </c>
      <c r="F40" s="385">
        <f t="shared" si="13"/>
        <v>0</v>
      </c>
      <c r="G40" s="385">
        <f t="shared" si="13"/>
        <v>0</v>
      </c>
      <c r="H40" s="385">
        <f t="shared" si="13"/>
        <v>0</v>
      </c>
      <c r="I40" s="385">
        <f t="shared" si="13"/>
        <v>0</v>
      </c>
      <c r="J40" s="385">
        <f t="shared" si="13"/>
        <v>0</v>
      </c>
      <c r="K40" s="385">
        <f t="shared" si="13"/>
        <v>0</v>
      </c>
      <c r="L40" s="385">
        <f t="shared" si="13"/>
        <v>0</v>
      </c>
      <c r="M40" s="385">
        <f t="shared" si="13"/>
        <v>0</v>
      </c>
      <c r="N40" s="385">
        <f t="shared" si="13"/>
        <v>0</v>
      </c>
      <c r="O40" s="385">
        <f t="shared" si="13"/>
        <v>0</v>
      </c>
      <c r="P40" s="385">
        <f t="shared" si="13"/>
        <v>0</v>
      </c>
      <c r="Q40" s="385">
        <f t="shared" si="13"/>
        <v>0</v>
      </c>
      <c r="R40" s="385">
        <f t="shared" si="13"/>
        <v>709612.90676875168</v>
      </c>
      <c r="S40" s="385">
        <f t="shared" si="13"/>
        <v>0</v>
      </c>
      <c r="T40" s="385">
        <f t="shared" si="13"/>
        <v>0</v>
      </c>
      <c r="U40" s="385">
        <f t="shared" si="13"/>
        <v>0</v>
      </c>
      <c r="V40" s="385">
        <f t="shared" si="13"/>
        <v>0</v>
      </c>
    </row>
    <row r="41" spans="1:24" x14ac:dyDescent="0.3">
      <c r="A41" s="183">
        <f t="shared" si="14"/>
        <v>0.17149999999999999</v>
      </c>
      <c r="B41" s="385">
        <v>831311.5202795926</v>
      </c>
      <c r="C41" s="275">
        <f t="shared" si="15"/>
        <v>2026</v>
      </c>
      <c r="D41" s="385">
        <f t="shared" si="12"/>
        <v>0</v>
      </c>
      <c r="E41" s="385">
        <f t="shared" si="13"/>
        <v>0</v>
      </c>
      <c r="F41" s="385">
        <f t="shared" si="13"/>
        <v>0</v>
      </c>
      <c r="G41" s="385">
        <f t="shared" si="13"/>
        <v>0</v>
      </c>
      <c r="H41" s="385">
        <f t="shared" si="13"/>
        <v>0</v>
      </c>
      <c r="I41" s="385">
        <f t="shared" si="13"/>
        <v>0</v>
      </c>
      <c r="J41" s="385">
        <f t="shared" si="13"/>
        <v>0</v>
      </c>
      <c r="K41" s="385">
        <f t="shared" si="13"/>
        <v>0</v>
      </c>
      <c r="L41" s="385">
        <f t="shared" si="13"/>
        <v>0</v>
      </c>
      <c r="M41" s="385">
        <f t="shared" si="13"/>
        <v>0</v>
      </c>
      <c r="N41" s="385">
        <f t="shared" si="13"/>
        <v>0</v>
      </c>
      <c r="O41" s="385">
        <f t="shared" si="13"/>
        <v>0</v>
      </c>
      <c r="P41" s="385">
        <f t="shared" si="13"/>
        <v>0</v>
      </c>
      <c r="Q41" s="385">
        <f t="shared" si="13"/>
        <v>0</v>
      </c>
      <c r="R41" s="385">
        <f t="shared" si="13"/>
        <v>0</v>
      </c>
      <c r="S41" s="385">
        <f t="shared" si="13"/>
        <v>831311.5202795926</v>
      </c>
      <c r="T41" s="385">
        <f t="shared" si="13"/>
        <v>0</v>
      </c>
      <c r="U41" s="385">
        <f t="shared" si="13"/>
        <v>0</v>
      </c>
      <c r="V41" s="385">
        <f t="shared" si="13"/>
        <v>0</v>
      </c>
    </row>
    <row r="42" spans="1:24" x14ac:dyDescent="0.3">
      <c r="A42" s="183">
        <f t="shared" si="14"/>
        <v>0.16650000000000009</v>
      </c>
      <c r="B42" s="385">
        <v>969724.8884061448</v>
      </c>
      <c r="C42" s="275">
        <f t="shared" si="15"/>
        <v>2027</v>
      </c>
      <c r="D42" s="385">
        <f t="shared" si="12"/>
        <v>0</v>
      </c>
      <c r="E42" s="385">
        <f t="shared" ref="E42:V45" si="16">IF((E$1=$C42+1),$B42,0)</f>
        <v>0</v>
      </c>
      <c r="F42" s="385">
        <f t="shared" si="16"/>
        <v>0</v>
      </c>
      <c r="G42" s="385">
        <f t="shared" si="16"/>
        <v>0</v>
      </c>
      <c r="H42" s="385">
        <f t="shared" si="16"/>
        <v>0</v>
      </c>
      <c r="I42" s="385">
        <f t="shared" si="16"/>
        <v>0</v>
      </c>
      <c r="J42" s="385">
        <f t="shared" si="16"/>
        <v>0</v>
      </c>
      <c r="K42" s="385">
        <f t="shared" si="16"/>
        <v>0</v>
      </c>
      <c r="L42" s="385">
        <f t="shared" si="16"/>
        <v>0</v>
      </c>
      <c r="M42" s="385">
        <f t="shared" si="16"/>
        <v>0</v>
      </c>
      <c r="N42" s="385">
        <f t="shared" si="16"/>
        <v>0</v>
      </c>
      <c r="O42" s="385">
        <f t="shared" si="16"/>
        <v>0</v>
      </c>
      <c r="P42" s="385">
        <f t="shared" si="16"/>
        <v>0</v>
      </c>
      <c r="Q42" s="385">
        <f t="shared" si="16"/>
        <v>0</v>
      </c>
      <c r="R42" s="385">
        <f t="shared" si="16"/>
        <v>0</v>
      </c>
      <c r="S42" s="385">
        <f t="shared" si="16"/>
        <v>0</v>
      </c>
      <c r="T42" s="385">
        <f t="shared" si="16"/>
        <v>969724.8884061448</v>
      </c>
      <c r="U42" s="385">
        <f t="shared" si="16"/>
        <v>0</v>
      </c>
      <c r="V42" s="385">
        <f t="shared" si="16"/>
        <v>0</v>
      </c>
    </row>
    <row r="43" spans="1:24" x14ac:dyDescent="0.3">
      <c r="A43" s="183">
        <f t="shared" si="14"/>
        <v>0.16221428571428564</v>
      </c>
      <c r="B43" s="385">
        <v>1127028.1185183129</v>
      </c>
      <c r="C43" s="275">
        <f t="shared" si="15"/>
        <v>2028</v>
      </c>
      <c r="D43" s="385">
        <f t="shared" si="12"/>
        <v>0</v>
      </c>
      <c r="E43" s="385">
        <f t="shared" si="16"/>
        <v>0</v>
      </c>
      <c r="F43" s="385">
        <f t="shared" si="16"/>
        <v>0</v>
      </c>
      <c r="G43" s="385">
        <f t="shared" si="16"/>
        <v>0</v>
      </c>
      <c r="H43" s="385">
        <f t="shared" si="16"/>
        <v>0</v>
      </c>
      <c r="I43" s="385">
        <f t="shared" si="16"/>
        <v>0</v>
      </c>
      <c r="J43" s="385">
        <f t="shared" si="16"/>
        <v>0</v>
      </c>
      <c r="K43" s="385">
        <f t="shared" si="16"/>
        <v>0</v>
      </c>
      <c r="L43" s="385">
        <f t="shared" si="16"/>
        <v>0</v>
      </c>
      <c r="M43" s="385">
        <f t="shared" si="16"/>
        <v>0</v>
      </c>
      <c r="N43" s="385">
        <f t="shared" si="16"/>
        <v>0</v>
      </c>
      <c r="O43" s="385">
        <f t="shared" si="16"/>
        <v>0</v>
      </c>
      <c r="P43" s="385">
        <f t="shared" si="16"/>
        <v>0</v>
      </c>
      <c r="Q43" s="385">
        <f t="shared" si="16"/>
        <v>0</v>
      </c>
      <c r="R43" s="385">
        <f t="shared" si="16"/>
        <v>0</v>
      </c>
      <c r="S43" s="385">
        <f t="shared" si="16"/>
        <v>0</v>
      </c>
      <c r="T43" s="385">
        <f t="shared" si="16"/>
        <v>0</v>
      </c>
      <c r="U43" s="385">
        <f t="shared" si="16"/>
        <v>1127028.1185183129</v>
      </c>
      <c r="V43" s="385">
        <f t="shared" si="16"/>
        <v>0</v>
      </c>
    </row>
    <row r="44" spans="1:24" x14ac:dyDescent="0.3">
      <c r="A44" s="183">
        <f t="shared" si="14"/>
        <v>0.15846428571428572</v>
      </c>
      <c r="B44" s="385">
        <v>1305621.8242992328</v>
      </c>
      <c r="C44" s="275">
        <f t="shared" si="15"/>
        <v>2029</v>
      </c>
      <c r="D44" s="385">
        <f t="shared" si="12"/>
        <v>0</v>
      </c>
      <c r="E44" s="385">
        <f t="shared" si="16"/>
        <v>0</v>
      </c>
      <c r="F44" s="385">
        <f t="shared" si="16"/>
        <v>0</v>
      </c>
      <c r="G44" s="385">
        <f t="shared" si="16"/>
        <v>0</v>
      </c>
      <c r="H44" s="385">
        <f t="shared" si="16"/>
        <v>0</v>
      </c>
      <c r="I44" s="385">
        <f t="shared" si="16"/>
        <v>0</v>
      </c>
      <c r="J44" s="385">
        <f t="shared" si="16"/>
        <v>0</v>
      </c>
      <c r="K44" s="385">
        <f t="shared" si="16"/>
        <v>0</v>
      </c>
      <c r="L44" s="385">
        <f t="shared" si="16"/>
        <v>0</v>
      </c>
      <c r="M44" s="385">
        <f t="shared" si="16"/>
        <v>0</v>
      </c>
      <c r="N44" s="385">
        <f t="shared" si="16"/>
        <v>0</v>
      </c>
      <c r="O44" s="385">
        <f t="shared" si="16"/>
        <v>0</v>
      </c>
      <c r="P44" s="385">
        <f t="shared" si="16"/>
        <v>0</v>
      </c>
      <c r="Q44" s="385">
        <f t="shared" si="16"/>
        <v>0</v>
      </c>
      <c r="R44" s="385">
        <f t="shared" si="16"/>
        <v>0</v>
      </c>
      <c r="S44" s="385">
        <f t="shared" si="16"/>
        <v>0</v>
      </c>
      <c r="T44" s="385">
        <f t="shared" si="16"/>
        <v>0</v>
      </c>
      <c r="U44" s="385">
        <f t="shared" si="16"/>
        <v>0</v>
      </c>
      <c r="V44" s="385">
        <f t="shared" si="16"/>
        <v>1305621.8242992328</v>
      </c>
    </row>
    <row r="45" spans="1:24" x14ac:dyDescent="0.3">
      <c r="A45" s="183">
        <f t="shared" si="14"/>
        <v>0.15513095238095231</v>
      </c>
      <c r="B45" s="385">
        <v>1508164.1813521292</v>
      </c>
      <c r="C45" s="275">
        <f t="shared" si="15"/>
        <v>2030</v>
      </c>
      <c r="D45" s="385">
        <f t="shared" si="12"/>
        <v>0</v>
      </c>
      <c r="E45" s="385">
        <f t="shared" si="16"/>
        <v>0</v>
      </c>
      <c r="F45" s="385">
        <f t="shared" si="16"/>
        <v>0</v>
      </c>
      <c r="G45" s="385">
        <f t="shared" si="16"/>
        <v>0</v>
      </c>
      <c r="H45" s="385">
        <f t="shared" si="16"/>
        <v>0</v>
      </c>
      <c r="I45" s="385">
        <f t="shared" si="16"/>
        <v>0</v>
      </c>
      <c r="J45" s="385">
        <f t="shared" si="16"/>
        <v>0</v>
      </c>
      <c r="K45" s="385">
        <f t="shared" si="16"/>
        <v>0</v>
      </c>
      <c r="L45" s="385">
        <f t="shared" si="16"/>
        <v>0</v>
      </c>
      <c r="M45" s="385">
        <f t="shared" si="16"/>
        <v>0</v>
      </c>
      <c r="N45" s="385">
        <f t="shared" si="16"/>
        <v>0</v>
      </c>
      <c r="O45" s="385">
        <f t="shared" si="16"/>
        <v>0</v>
      </c>
      <c r="P45" s="385">
        <f t="shared" si="16"/>
        <v>0</v>
      </c>
      <c r="Q45" s="385">
        <f t="shared" si="16"/>
        <v>0</v>
      </c>
      <c r="R45" s="385">
        <f t="shared" si="16"/>
        <v>0</v>
      </c>
      <c r="S45" s="385">
        <f t="shared" si="16"/>
        <v>0</v>
      </c>
      <c r="T45" s="385">
        <f t="shared" si="16"/>
        <v>0</v>
      </c>
      <c r="U45" s="385">
        <f t="shared" si="16"/>
        <v>0</v>
      </c>
      <c r="V45" s="385">
        <f t="shared" si="16"/>
        <v>0</v>
      </c>
    </row>
    <row r="46" spans="1:24" x14ac:dyDescent="0.3">
      <c r="C46" s="275" t="s">
        <v>204</v>
      </c>
      <c r="D46" s="386">
        <f>SUM(D27:D45)</f>
        <v>0</v>
      </c>
      <c r="E46" s="386">
        <f t="shared" ref="E46:V46" si="17">SUM(E27:E45)</f>
        <v>40473.355878400005</v>
      </c>
      <c r="F46" s="386">
        <f t="shared" si="17"/>
        <v>50591.694848000006</v>
      </c>
      <c r="G46" s="386">
        <f t="shared" si="17"/>
        <v>63239.61856000001</v>
      </c>
      <c r="H46" s="386">
        <f t="shared" si="17"/>
        <v>79049.523200000011</v>
      </c>
      <c r="I46" s="386">
        <f t="shared" si="17"/>
        <v>98811.90400000001</v>
      </c>
      <c r="J46" s="386">
        <f t="shared" si="17"/>
        <v>123514.88</v>
      </c>
      <c r="K46" s="386">
        <f t="shared" si="17"/>
        <v>154393.60000000001</v>
      </c>
      <c r="L46" s="386">
        <f t="shared" si="17"/>
        <v>192992</v>
      </c>
      <c r="M46" s="386">
        <f t="shared" si="17"/>
        <v>278267</v>
      </c>
      <c r="N46" s="386">
        <f t="shared" si="17"/>
        <v>351713.44</v>
      </c>
      <c r="O46" s="386">
        <f t="shared" si="17"/>
        <v>425573.26240000001</v>
      </c>
      <c r="P46" s="386">
        <f t="shared" si="17"/>
        <v>508560.04856800003</v>
      </c>
      <c r="Q46" s="386">
        <f t="shared" si="17"/>
        <v>602643.65755308</v>
      </c>
      <c r="R46" s="386">
        <f t="shared" si="17"/>
        <v>709612.90676875168</v>
      </c>
      <c r="S46" s="386">
        <f t="shared" si="17"/>
        <v>831311.5202795926</v>
      </c>
      <c r="T46" s="386">
        <f t="shared" si="17"/>
        <v>969724.8884061448</v>
      </c>
      <c r="U46" s="386">
        <f t="shared" si="17"/>
        <v>1127028.1185183129</v>
      </c>
      <c r="V46" s="386">
        <f t="shared" si="17"/>
        <v>1305621.8242992328</v>
      </c>
    </row>
    <row r="48" spans="1:24" x14ac:dyDescent="0.3">
      <c r="B48" s="709" t="s">
        <v>208</v>
      </c>
      <c r="C48" s="709"/>
      <c r="D48" s="397"/>
      <c r="E48" s="397"/>
      <c r="F48" s="397"/>
      <c r="G48" s="397"/>
    </row>
    <row r="49" spans="2:22" x14ac:dyDescent="0.3">
      <c r="B49" s="709"/>
      <c r="C49" s="709"/>
      <c r="D49" s="386">
        <f t="shared" ref="D49:G49" si="18">(D46+D23)</f>
        <v>0</v>
      </c>
      <c r="E49" s="386">
        <f t="shared" si="18"/>
        <v>40473.355878400005</v>
      </c>
      <c r="F49" s="386">
        <f t="shared" si="18"/>
        <v>59027.855769600006</v>
      </c>
      <c r="G49" s="386">
        <f t="shared" si="18"/>
        <v>82220.980633600004</v>
      </c>
      <c r="H49" s="386">
        <f t="shared" ref="H49:V49" si="19">(H46+H23)</f>
        <v>111212.38671360002</v>
      </c>
      <c r="I49" s="386">
        <f t="shared" si="19"/>
        <v>147451.64431360003</v>
      </c>
      <c r="J49" s="386">
        <f t="shared" si="19"/>
        <v>184314.55539200001</v>
      </c>
      <c r="K49" s="386">
        <f t="shared" si="19"/>
        <v>230393.19424000001</v>
      </c>
      <c r="L49" s="386">
        <f t="shared" si="19"/>
        <v>287991.49280000001</v>
      </c>
      <c r="M49" s="386">
        <f t="shared" si="19"/>
        <v>397016.36600000004</v>
      </c>
      <c r="N49" s="386">
        <f t="shared" si="19"/>
        <v>513486.96</v>
      </c>
      <c r="O49" s="386">
        <f t="shared" si="19"/>
        <v>652915.65865</v>
      </c>
      <c r="P49" s="386">
        <f t="shared" si="19"/>
        <v>808982.93443585047</v>
      </c>
      <c r="Q49" s="386">
        <f t="shared" si="19"/>
        <v>992620.94248294679</v>
      </c>
      <c r="R49" s="386">
        <f t="shared" si="19"/>
        <v>1194606.0817174586</v>
      </c>
      <c r="S49" s="386">
        <f t="shared" si="19"/>
        <v>1417245.7347542001</v>
      </c>
      <c r="T49" s="386">
        <f t="shared" si="19"/>
        <v>1681429.2860937696</v>
      </c>
      <c r="U49" s="386">
        <f t="shared" si="19"/>
        <v>1984259.2027136181</v>
      </c>
      <c r="V49" s="386">
        <f t="shared" si="19"/>
        <v>2329564.8990576784</v>
      </c>
    </row>
    <row r="50" spans="2:22" x14ac:dyDescent="0.3">
      <c r="F50" s="183">
        <f>(F49/E49)-1</f>
        <v>0.45843739636876135</v>
      </c>
      <c r="G50" s="183">
        <f t="shared" ref="G50:V50" si="20">(G49/F49)-1</f>
        <v>0.39291830207298006</v>
      </c>
      <c r="H50" s="183">
        <f t="shared" si="20"/>
        <v>0.35260350650880623</v>
      </c>
      <c r="I50" s="183">
        <f t="shared" si="20"/>
        <v>0.3258563067558764</v>
      </c>
      <c r="J50" s="183">
        <f t="shared" si="20"/>
        <v>0.24999999999999978</v>
      </c>
      <c r="K50" s="183">
        <f t="shared" si="20"/>
        <v>0.25</v>
      </c>
      <c r="L50" s="183">
        <f t="shared" si="20"/>
        <v>0.25</v>
      </c>
      <c r="M50" s="183">
        <f t="shared" si="20"/>
        <v>0.37856977003037362</v>
      </c>
      <c r="N50" s="183">
        <f t="shared" si="20"/>
        <v>0.29336471736281</v>
      </c>
      <c r="O50" s="183">
        <f t="shared" si="20"/>
        <v>0.27153308557241651</v>
      </c>
      <c r="P50" s="183">
        <f t="shared" si="20"/>
        <v>0.23903129557122704</v>
      </c>
      <c r="Q50" s="183">
        <f t="shared" si="20"/>
        <v>0.22699861793148646</v>
      </c>
      <c r="R50" s="183">
        <f t="shared" si="20"/>
        <v>0.20348667914386853</v>
      </c>
      <c r="S50" s="183">
        <f t="shared" si="20"/>
        <v>0.18637076810847764</v>
      </c>
      <c r="T50" s="183">
        <f t="shared" si="20"/>
        <v>0.18640631251247908</v>
      </c>
      <c r="U50" s="183">
        <f t="shared" si="20"/>
        <v>0.1801026775995862</v>
      </c>
      <c r="V50" s="183">
        <f t="shared" si="20"/>
        <v>0.17402247441857899</v>
      </c>
    </row>
  </sheetData>
  <mergeCells count="1">
    <mergeCell ref="B48:C49"/>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D1D1F-991A-46ED-8A51-0305C36A6C5A}">
  <dimension ref="A1:X57"/>
  <sheetViews>
    <sheetView showGridLines="0" zoomScale="70" zoomScaleNormal="70" workbookViewId="0">
      <pane ySplit="1" topLeftCell="A2" activePane="bottomLeft" state="frozen"/>
      <selection pane="bottomLeft" activeCell="A17" sqref="A17"/>
    </sheetView>
  </sheetViews>
  <sheetFormatPr defaultRowHeight="15.6" x14ac:dyDescent="0.3"/>
  <cols>
    <col min="1" max="1" width="11.77734375" style="104" customWidth="1"/>
    <col min="2" max="2" width="13.77734375" style="104" bestFit="1" customWidth="1"/>
    <col min="3" max="8" width="11.77734375" style="104" customWidth="1"/>
    <col min="9" max="13" width="14.33203125" style="104" bestFit="1" customWidth="1"/>
    <col min="14" max="15" width="14.44140625" style="104" bestFit="1" customWidth="1"/>
    <col min="16" max="22" width="16.21875" style="104" bestFit="1" customWidth="1"/>
    <col min="23" max="25" width="11.77734375" style="104" customWidth="1"/>
    <col min="26" max="16384" width="8.88671875" style="104"/>
  </cols>
  <sheetData>
    <row r="1" spans="1:24" x14ac:dyDescent="0.3">
      <c r="D1" s="275">
        <v>2012</v>
      </c>
      <c r="E1" s="275">
        <v>2013</v>
      </c>
      <c r="F1" s="275">
        <v>2014</v>
      </c>
      <c r="G1" s="275">
        <v>2015</v>
      </c>
      <c r="H1" s="275">
        <v>2016</v>
      </c>
      <c r="I1" s="275">
        <v>2017</v>
      </c>
      <c r="J1" s="275">
        <v>2018</v>
      </c>
      <c r="K1" s="275">
        <v>2019</v>
      </c>
      <c r="L1" s="275">
        <v>2020</v>
      </c>
      <c r="M1" s="275">
        <v>2021</v>
      </c>
      <c r="N1" s="275">
        <v>2022</v>
      </c>
      <c r="O1" s="275">
        <v>2023</v>
      </c>
      <c r="P1" s="275">
        <v>2024</v>
      </c>
      <c r="Q1" s="275">
        <v>2025</v>
      </c>
      <c r="R1" s="275">
        <v>2026</v>
      </c>
      <c r="S1" s="275">
        <v>2027</v>
      </c>
      <c r="T1" s="275">
        <v>2028</v>
      </c>
      <c r="U1" s="275">
        <v>2029</v>
      </c>
      <c r="V1" s="275">
        <v>2030</v>
      </c>
    </row>
    <row r="2" spans="1:24" x14ac:dyDescent="0.3">
      <c r="B2" s="275" t="s">
        <v>207</v>
      </c>
    </row>
    <row r="3" spans="1:24" x14ac:dyDescent="0.3">
      <c r="F3" s="385"/>
      <c r="X3" s="275" t="s">
        <v>205</v>
      </c>
    </row>
    <row r="4" spans="1:24" x14ac:dyDescent="0.3">
      <c r="B4" s="394">
        <f t="shared" ref="B4:B9" si="0">B5/(1+A5)</f>
        <v>33744.643686400006</v>
      </c>
      <c r="C4" s="275">
        <f t="shared" ref="C4:C6" si="1">C5-1</f>
        <v>2012</v>
      </c>
      <c r="D4" s="399" t="str">
        <f>IFERROR(DDB($B4,0,$X$4,(D$1-$C4-1),3)*(D$1&gt;=($C4)+2)*(D$1&lt;$C4+$X$4+2),"-")</f>
        <v>-</v>
      </c>
      <c r="E4" s="399" t="str">
        <f t="shared" ref="E4:V18" si="2">IFERROR(DDB($B4,0,$X$4,(E$1-$C4-1),3)*(E$1&gt;=($C4)+2)*(E$1&lt;$C4+$X$4+2),"-")</f>
        <v>-</v>
      </c>
      <c r="F4" s="399">
        <f t="shared" si="2"/>
        <v>25308.482764800006</v>
      </c>
      <c r="G4" s="399">
        <f t="shared" si="2"/>
        <v>6327.1206912000016</v>
      </c>
      <c r="H4" s="399">
        <f t="shared" si="2"/>
        <v>1581.7801728000004</v>
      </c>
      <c r="I4" s="399">
        <f t="shared" si="2"/>
        <v>395.4450432000001</v>
      </c>
      <c r="J4" s="399" t="str">
        <f t="shared" si="2"/>
        <v>-</v>
      </c>
      <c r="K4" s="399" t="str">
        <f t="shared" si="2"/>
        <v>-</v>
      </c>
      <c r="L4" s="399" t="str">
        <f t="shared" si="2"/>
        <v>-</v>
      </c>
      <c r="M4" s="399" t="str">
        <f t="shared" si="2"/>
        <v>-</v>
      </c>
      <c r="N4" s="399" t="str">
        <f t="shared" si="2"/>
        <v>-</v>
      </c>
      <c r="O4" s="399" t="str">
        <f t="shared" si="2"/>
        <v>-</v>
      </c>
      <c r="P4" s="399" t="str">
        <f t="shared" si="2"/>
        <v>-</v>
      </c>
      <c r="Q4" s="399" t="str">
        <f t="shared" si="2"/>
        <v>-</v>
      </c>
      <c r="R4" s="399" t="str">
        <f t="shared" si="2"/>
        <v>-</v>
      </c>
      <c r="S4" s="399" t="str">
        <f t="shared" si="2"/>
        <v>-</v>
      </c>
      <c r="T4" s="399" t="str">
        <f t="shared" si="2"/>
        <v>-</v>
      </c>
      <c r="U4" s="399" t="str">
        <f t="shared" si="2"/>
        <v>-</v>
      </c>
      <c r="V4" s="399" t="str">
        <f t="shared" si="2"/>
        <v>-</v>
      </c>
      <c r="W4" s="385"/>
      <c r="X4" s="275">
        <v>4</v>
      </c>
    </row>
    <row r="5" spans="1:24" x14ac:dyDescent="0.3">
      <c r="A5" s="398">
        <v>0.25</v>
      </c>
      <c r="B5" s="394">
        <f t="shared" si="0"/>
        <v>42180.804608000006</v>
      </c>
      <c r="C5" s="275">
        <f t="shared" si="1"/>
        <v>2013</v>
      </c>
      <c r="D5" s="399" t="str">
        <f t="shared" ref="D5:S22" si="3">IFERROR(DDB($B5,0,$X$4,(D$1-$C5-1),3)*(D$1&gt;=($C5)+2)*(D$1&lt;$C5+$X$4+2),"-")</f>
        <v>-</v>
      </c>
      <c r="E5" s="399" t="str">
        <f t="shared" si="2"/>
        <v>-</v>
      </c>
      <c r="F5" s="399" t="str">
        <f t="shared" si="2"/>
        <v>-</v>
      </c>
      <c r="G5" s="399">
        <f t="shared" si="2"/>
        <v>31635.603456000004</v>
      </c>
      <c r="H5" s="399">
        <f t="shared" si="2"/>
        <v>7908.9008640000011</v>
      </c>
      <c r="I5" s="399">
        <f t="shared" si="2"/>
        <v>1977.2252160000003</v>
      </c>
      <c r="J5" s="399">
        <f t="shared" si="2"/>
        <v>494.30630400000007</v>
      </c>
      <c r="K5" s="399" t="str">
        <f t="shared" si="2"/>
        <v>-</v>
      </c>
      <c r="L5" s="399" t="str">
        <f t="shared" si="2"/>
        <v>-</v>
      </c>
      <c r="M5" s="399" t="str">
        <f t="shared" si="2"/>
        <v>-</v>
      </c>
      <c r="N5" s="399" t="str">
        <f t="shared" si="2"/>
        <v>-</v>
      </c>
      <c r="O5" s="399" t="str">
        <f t="shared" si="2"/>
        <v>-</v>
      </c>
      <c r="P5" s="399" t="str">
        <f t="shared" si="2"/>
        <v>-</v>
      </c>
      <c r="Q5" s="399" t="str">
        <f t="shared" si="2"/>
        <v>-</v>
      </c>
      <c r="R5" s="399" t="str">
        <f t="shared" si="2"/>
        <v>-</v>
      </c>
      <c r="S5" s="399" t="str">
        <f t="shared" si="2"/>
        <v>-</v>
      </c>
      <c r="T5" s="399" t="str">
        <f t="shared" si="2"/>
        <v>-</v>
      </c>
      <c r="U5" s="399" t="str">
        <f t="shared" si="2"/>
        <v>-</v>
      </c>
      <c r="V5" s="399" t="str">
        <f t="shared" si="2"/>
        <v>-</v>
      </c>
      <c r="X5" s="275"/>
    </row>
    <row r="6" spans="1:24" x14ac:dyDescent="0.3">
      <c r="A6" s="398">
        <v>0.25</v>
      </c>
      <c r="B6" s="394">
        <f t="shared" si="0"/>
        <v>52726.005760000007</v>
      </c>
      <c r="C6" s="275">
        <f t="shared" si="1"/>
        <v>2014</v>
      </c>
      <c r="D6" s="399" t="str">
        <f t="shared" si="3"/>
        <v>-</v>
      </c>
      <c r="E6" s="399" t="str">
        <f t="shared" si="2"/>
        <v>-</v>
      </c>
      <c r="F6" s="399" t="str">
        <f t="shared" si="2"/>
        <v>-</v>
      </c>
      <c r="G6" s="399" t="str">
        <f t="shared" si="2"/>
        <v>-</v>
      </c>
      <c r="H6" s="399">
        <f t="shared" si="2"/>
        <v>39544.504320000007</v>
      </c>
      <c r="I6" s="399">
        <f t="shared" si="2"/>
        <v>9886.1260800000018</v>
      </c>
      <c r="J6" s="399">
        <f t="shared" si="2"/>
        <v>2471.5315200000005</v>
      </c>
      <c r="K6" s="399">
        <f t="shared" si="2"/>
        <v>617.88288000000011</v>
      </c>
      <c r="L6" s="399" t="str">
        <f t="shared" si="2"/>
        <v>-</v>
      </c>
      <c r="M6" s="399" t="str">
        <f t="shared" si="2"/>
        <v>-</v>
      </c>
      <c r="N6" s="399" t="str">
        <f t="shared" si="2"/>
        <v>-</v>
      </c>
      <c r="O6" s="399" t="str">
        <f t="shared" si="2"/>
        <v>-</v>
      </c>
      <c r="P6" s="399" t="str">
        <f t="shared" si="2"/>
        <v>-</v>
      </c>
      <c r="Q6" s="399" t="str">
        <f t="shared" si="2"/>
        <v>-</v>
      </c>
      <c r="R6" s="399" t="str">
        <f t="shared" si="2"/>
        <v>-</v>
      </c>
      <c r="S6" s="399" t="str">
        <f t="shared" si="2"/>
        <v>-</v>
      </c>
      <c r="T6" s="399" t="str">
        <f t="shared" si="2"/>
        <v>-</v>
      </c>
      <c r="U6" s="399" t="str">
        <f t="shared" si="2"/>
        <v>-</v>
      </c>
      <c r="V6" s="399" t="str">
        <f t="shared" si="2"/>
        <v>-</v>
      </c>
      <c r="X6" s="275"/>
    </row>
    <row r="7" spans="1:24" x14ac:dyDescent="0.3">
      <c r="A7" s="398">
        <v>0.25</v>
      </c>
      <c r="B7" s="394">
        <f t="shared" si="0"/>
        <v>65907.507200000007</v>
      </c>
      <c r="C7" s="275">
        <f>C8-1</f>
        <v>2015</v>
      </c>
      <c r="D7" s="399" t="str">
        <f t="shared" si="3"/>
        <v>-</v>
      </c>
      <c r="E7" s="399" t="str">
        <f t="shared" si="2"/>
        <v>-</v>
      </c>
      <c r="F7" s="399" t="str">
        <f t="shared" si="2"/>
        <v>-</v>
      </c>
      <c r="G7" s="399" t="str">
        <f t="shared" si="2"/>
        <v>-</v>
      </c>
      <c r="H7" s="399" t="str">
        <f t="shared" si="2"/>
        <v>-</v>
      </c>
      <c r="I7" s="399">
        <f t="shared" si="2"/>
        <v>49430.630400000009</v>
      </c>
      <c r="J7" s="399">
        <f t="shared" si="2"/>
        <v>12357.657600000002</v>
      </c>
      <c r="K7" s="399">
        <f t="shared" si="2"/>
        <v>3089.4144000000006</v>
      </c>
      <c r="L7" s="399">
        <f t="shared" si="2"/>
        <v>772.35360000000014</v>
      </c>
      <c r="M7" s="399" t="str">
        <f t="shared" si="2"/>
        <v>-</v>
      </c>
      <c r="N7" s="399" t="str">
        <f t="shared" si="2"/>
        <v>-</v>
      </c>
      <c r="O7" s="399" t="str">
        <f t="shared" si="2"/>
        <v>-</v>
      </c>
      <c r="P7" s="399" t="str">
        <f t="shared" si="2"/>
        <v>-</v>
      </c>
      <c r="Q7" s="399" t="str">
        <f t="shared" si="2"/>
        <v>-</v>
      </c>
      <c r="R7" s="399" t="str">
        <f t="shared" si="2"/>
        <v>-</v>
      </c>
      <c r="S7" s="399" t="str">
        <f t="shared" si="2"/>
        <v>-</v>
      </c>
      <c r="T7" s="399" t="str">
        <f t="shared" si="2"/>
        <v>-</v>
      </c>
      <c r="U7" s="399" t="str">
        <f t="shared" si="2"/>
        <v>-</v>
      </c>
      <c r="V7" s="399" t="str">
        <f t="shared" si="2"/>
        <v>-</v>
      </c>
      <c r="X7" s="275"/>
    </row>
    <row r="8" spans="1:24" x14ac:dyDescent="0.3">
      <c r="A8" s="398">
        <v>0.25</v>
      </c>
      <c r="B8" s="394">
        <f t="shared" si="0"/>
        <v>82384.384000000005</v>
      </c>
      <c r="C8" s="275">
        <v>2016</v>
      </c>
      <c r="D8" s="399" t="str">
        <f t="shared" si="3"/>
        <v>-</v>
      </c>
      <c r="E8" s="399" t="str">
        <f t="shared" si="2"/>
        <v>-</v>
      </c>
      <c r="F8" s="399" t="str">
        <f t="shared" si="2"/>
        <v>-</v>
      </c>
      <c r="G8" s="399" t="str">
        <f t="shared" si="2"/>
        <v>-</v>
      </c>
      <c r="H8" s="399" t="str">
        <f t="shared" si="2"/>
        <v>-</v>
      </c>
      <c r="I8" s="399" t="str">
        <f t="shared" si="2"/>
        <v>-</v>
      </c>
      <c r="J8" s="399">
        <f t="shared" si="2"/>
        <v>61788.288</v>
      </c>
      <c r="K8" s="399">
        <f t="shared" si="2"/>
        <v>15447.072</v>
      </c>
      <c r="L8" s="399">
        <f t="shared" si="2"/>
        <v>3861.768</v>
      </c>
      <c r="M8" s="399">
        <f t="shared" si="2"/>
        <v>965.44200000000001</v>
      </c>
      <c r="N8" s="399" t="str">
        <f t="shared" si="2"/>
        <v>-</v>
      </c>
      <c r="O8" s="399" t="str">
        <f t="shared" si="2"/>
        <v>-</v>
      </c>
      <c r="P8" s="399" t="str">
        <f t="shared" si="2"/>
        <v>-</v>
      </c>
      <c r="Q8" s="399" t="str">
        <f t="shared" si="2"/>
        <v>-</v>
      </c>
      <c r="R8" s="399" t="str">
        <f t="shared" si="2"/>
        <v>-</v>
      </c>
      <c r="S8" s="399" t="str">
        <f t="shared" si="2"/>
        <v>-</v>
      </c>
      <c r="T8" s="399" t="str">
        <f t="shared" si="2"/>
        <v>-</v>
      </c>
      <c r="U8" s="399" t="str">
        <f t="shared" si="2"/>
        <v>-</v>
      </c>
      <c r="V8" s="399" t="str">
        <f t="shared" si="2"/>
        <v>-</v>
      </c>
    </row>
    <row r="9" spans="1:24" x14ac:dyDescent="0.3">
      <c r="A9" s="398">
        <v>0.25</v>
      </c>
      <c r="B9" s="394">
        <f t="shared" si="0"/>
        <v>102980.48000000001</v>
      </c>
      <c r="C9" s="275">
        <f>C8+1</f>
        <v>2017</v>
      </c>
      <c r="D9" s="399" t="str">
        <f t="shared" si="3"/>
        <v>-</v>
      </c>
      <c r="E9" s="399" t="str">
        <f t="shared" si="2"/>
        <v>-</v>
      </c>
      <c r="F9" s="399" t="str">
        <f t="shared" si="2"/>
        <v>-</v>
      </c>
      <c r="G9" s="399" t="str">
        <f t="shared" si="2"/>
        <v>-</v>
      </c>
      <c r="H9" s="399" t="str">
        <f t="shared" si="2"/>
        <v>-</v>
      </c>
      <c r="I9" s="399" t="str">
        <f t="shared" si="2"/>
        <v>-</v>
      </c>
      <c r="J9" s="399" t="str">
        <f t="shared" si="2"/>
        <v>-</v>
      </c>
      <c r="K9" s="399">
        <f t="shared" si="2"/>
        <v>77235.360000000015</v>
      </c>
      <c r="L9" s="399">
        <f t="shared" si="2"/>
        <v>19308.840000000004</v>
      </c>
      <c r="M9" s="399">
        <f t="shared" si="2"/>
        <v>4827.2100000000009</v>
      </c>
      <c r="N9" s="399">
        <f t="shared" si="2"/>
        <v>1206.8025000000002</v>
      </c>
      <c r="O9" s="399" t="str">
        <f t="shared" si="2"/>
        <v>-</v>
      </c>
      <c r="P9" s="399" t="str">
        <f t="shared" si="2"/>
        <v>-</v>
      </c>
      <c r="Q9" s="399" t="str">
        <f t="shared" si="2"/>
        <v>-</v>
      </c>
      <c r="R9" s="399" t="str">
        <f t="shared" si="2"/>
        <v>-</v>
      </c>
      <c r="S9" s="399" t="str">
        <f t="shared" si="2"/>
        <v>-</v>
      </c>
      <c r="T9" s="399" t="str">
        <f t="shared" si="2"/>
        <v>-</v>
      </c>
      <c r="U9" s="399" t="str">
        <f t="shared" si="2"/>
        <v>-</v>
      </c>
      <c r="V9" s="399" t="str">
        <f t="shared" si="2"/>
        <v>-</v>
      </c>
      <c r="X9" s="275"/>
    </row>
    <row r="10" spans="1:24" x14ac:dyDescent="0.3">
      <c r="A10" s="398">
        <v>0.25</v>
      </c>
      <c r="B10" s="394">
        <f>B11/(1+A11)</f>
        <v>128725.6</v>
      </c>
      <c r="C10" s="275">
        <f t="shared" ref="C10:C11" si="4">C9+1</f>
        <v>2018</v>
      </c>
      <c r="D10" s="399" t="str">
        <f t="shared" si="3"/>
        <v>-</v>
      </c>
      <c r="E10" s="399" t="str">
        <f t="shared" si="2"/>
        <v>-</v>
      </c>
      <c r="F10" s="399" t="str">
        <f t="shared" si="2"/>
        <v>-</v>
      </c>
      <c r="G10" s="399" t="str">
        <f t="shared" si="2"/>
        <v>-</v>
      </c>
      <c r="H10" s="399" t="str">
        <f t="shared" si="2"/>
        <v>-</v>
      </c>
      <c r="I10" s="399" t="str">
        <f t="shared" si="2"/>
        <v>-</v>
      </c>
      <c r="J10" s="399" t="str">
        <f t="shared" si="2"/>
        <v>-</v>
      </c>
      <c r="K10" s="399" t="str">
        <f t="shared" si="2"/>
        <v>-</v>
      </c>
      <c r="L10" s="399">
        <f t="shared" si="2"/>
        <v>96544.200000000012</v>
      </c>
      <c r="M10" s="399">
        <f t="shared" si="2"/>
        <v>24136.050000000003</v>
      </c>
      <c r="N10" s="399">
        <f t="shared" si="2"/>
        <v>6034.0125000000007</v>
      </c>
      <c r="O10" s="399">
        <f t="shared" si="2"/>
        <v>1508.5031250000002</v>
      </c>
      <c r="P10" s="399" t="str">
        <f t="shared" si="2"/>
        <v>-</v>
      </c>
      <c r="Q10" s="399" t="str">
        <f t="shared" si="2"/>
        <v>-</v>
      </c>
      <c r="R10" s="399" t="str">
        <f t="shared" si="2"/>
        <v>-</v>
      </c>
      <c r="S10" s="399" t="str">
        <f t="shared" si="2"/>
        <v>-</v>
      </c>
      <c r="T10" s="399" t="str">
        <f t="shared" si="2"/>
        <v>-</v>
      </c>
      <c r="U10" s="399" t="str">
        <f t="shared" si="2"/>
        <v>-</v>
      </c>
      <c r="V10" s="399" t="str">
        <f t="shared" si="2"/>
        <v>-</v>
      </c>
    </row>
    <row r="11" spans="1:24" x14ac:dyDescent="0.3">
      <c r="A11" s="398">
        <v>0.25</v>
      </c>
      <c r="B11" s="385">
        <f>'Pro Forma'!D126</f>
        <v>160907</v>
      </c>
      <c r="C11" s="275">
        <f t="shared" si="4"/>
        <v>2019</v>
      </c>
      <c r="D11" s="399" t="str">
        <f t="shared" si="3"/>
        <v>-</v>
      </c>
      <c r="E11" s="399" t="str">
        <f t="shared" si="2"/>
        <v>-</v>
      </c>
      <c r="F11" s="399" t="str">
        <f t="shared" si="2"/>
        <v>-</v>
      </c>
      <c r="G11" s="399" t="str">
        <f t="shared" si="2"/>
        <v>-</v>
      </c>
      <c r="H11" s="399" t="str">
        <f t="shared" si="2"/>
        <v>-</v>
      </c>
      <c r="I11" s="399" t="str">
        <f t="shared" si="2"/>
        <v>-</v>
      </c>
      <c r="J11" s="399" t="str">
        <f t="shared" si="2"/>
        <v>-</v>
      </c>
      <c r="K11" s="399" t="str">
        <f t="shared" si="2"/>
        <v>-</v>
      </c>
      <c r="L11" s="399" t="str">
        <f t="shared" si="2"/>
        <v>-</v>
      </c>
      <c r="M11" s="399">
        <f t="shared" si="2"/>
        <v>120680.25</v>
      </c>
      <c r="N11" s="399">
        <f t="shared" si="2"/>
        <v>30170.0625</v>
      </c>
      <c r="O11" s="399">
        <f t="shared" si="2"/>
        <v>7542.515625</v>
      </c>
      <c r="P11" s="399">
        <f t="shared" si="2"/>
        <v>1885.62890625</v>
      </c>
      <c r="Q11" s="399" t="str">
        <f t="shared" si="2"/>
        <v>-</v>
      </c>
      <c r="R11" s="399" t="str">
        <f t="shared" si="2"/>
        <v>-</v>
      </c>
      <c r="S11" s="399" t="str">
        <f t="shared" si="2"/>
        <v>-</v>
      </c>
      <c r="T11" s="399" t="str">
        <f t="shared" si="2"/>
        <v>-</v>
      </c>
      <c r="U11" s="399" t="str">
        <f t="shared" si="2"/>
        <v>-</v>
      </c>
      <c r="V11" s="399" t="str">
        <f t="shared" si="2"/>
        <v>-</v>
      </c>
    </row>
    <row r="12" spans="1:24" x14ac:dyDescent="0.3">
      <c r="A12" s="183">
        <f t="shared" ref="A12:A22" si="5">(B12/B11)-1</f>
        <v>0.5815408900793626</v>
      </c>
      <c r="B12" s="385">
        <f>'Pro Forma'!I126</f>
        <v>254481</v>
      </c>
      <c r="C12" s="275">
        <f>C11+1</f>
        <v>2020</v>
      </c>
      <c r="D12" s="399" t="str">
        <f t="shared" si="3"/>
        <v>-</v>
      </c>
      <c r="E12" s="399" t="str">
        <f t="shared" si="2"/>
        <v>-</v>
      </c>
      <c r="F12" s="399" t="str">
        <f t="shared" si="2"/>
        <v>-</v>
      </c>
      <c r="G12" s="399" t="str">
        <f t="shared" si="2"/>
        <v>-</v>
      </c>
      <c r="H12" s="399" t="str">
        <f t="shared" si="2"/>
        <v>-</v>
      </c>
      <c r="I12" s="399" t="str">
        <f t="shared" si="2"/>
        <v>-</v>
      </c>
      <c r="J12" s="399" t="str">
        <f t="shared" si="2"/>
        <v>-</v>
      </c>
      <c r="K12" s="399" t="str">
        <f t="shared" si="2"/>
        <v>-</v>
      </c>
      <c r="L12" s="399" t="str">
        <f t="shared" si="2"/>
        <v>-</v>
      </c>
      <c r="M12" s="399" t="str">
        <f t="shared" si="2"/>
        <v>-</v>
      </c>
      <c r="N12" s="399">
        <f t="shared" si="2"/>
        <v>190860.75</v>
      </c>
      <c r="O12" s="399">
        <f t="shared" si="2"/>
        <v>47715.1875</v>
      </c>
      <c r="P12" s="399">
        <f t="shared" si="2"/>
        <v>11928.796875</v>
      </c>
      <c r="Q12" s="399">
        <f t="shared" si="2"/>
        <v>2982.19921875</v>
      </c>
      <c r="R12" s="399" t="str">
        <f t="shared" si="2"/>
        <v>-</v>
      </c>
      <c r="S12" s="399" t="str">
        <f t="shared" si="2"/>
        <v>-</v>
      </c>
      <c r="T12" s="399" t="str">
        <f t="shared" si="2"/>
        <v>-</v>
      </c>
      <c r="U12" s="399" t="str">
        <f t="shared" si="2"/>
        <v>-</v>
      </c>
      <c r="V12" s="399" t="str">
        <f t="shared" si="2"/>
        <v>-</v>
      </c>
    </row>
    <row r="13" spans="1:24" x14ac:dyDescent="0.3">
      <c r="A13" s="183">
        <f t="shared" si="5"/>
        <v>0.43529766465865793</v>
      </c>
      <c r="B13" s="385" cm="1">
        <f t="array" ref="B13:B22">TRANSPOSE('Pro Forma'!N126:W126)</f>
        <v>365255.98499999993</v>
      </c>
      <c r="C13" s="275">
        <f t="shared" ref="C13:C22" si="6">C12+1</f>
        <v>2021</v>
      </c>
      <c r="D13" s="399" t="str">
        <f t="shared" si="3"/>
        <v>-</v>
      </c>
      <c r="E13" s="399" t="str">
        <f t="shared" si="2"/>
        <v>-</v>
      </c>
      <c r="F13" s="399" t="str">
        <f t="shared" si="2"/>
        <v>-</v>
      </c>
      <c r="G13" s="399" t="str">
        <f t="shared" si="2"/>
        <v>-</v>
      </c>
      <c r="H13" s="399" t="str">
        <f t="shared" si="2"/>
        <v>-</v>
      </c>
      <c r="I13" s="399" t="str">
        <f t="shared" si="2"/>
        <v>-</v>
      </c>
      <c r="J13" s="399" t="str">
        <f t="shared" si="2"/>
        <v>-</v>
      </c>
      <c r="K13" s="399" t="str">
        <f t="shared" si="2"/>
        <v>-</v>
      </c>
      <c r="L13" s="399" t="str">
        <f t="shared" si="2"/>
        <v>-</v>
      </c>
      <c r="M13" s="399" t="str">
        <f t="shared" si="2"/>
        <v>-</v>
      </c>
      <c r="N13" s="399" t="str">
        <f t="shared" si="2"/>
        <v>-</v>
      </c>
      <c r="O13" s="399">
        <f t="shared" si="2"/>
        <v>273941.98874999996</v>
      </c>
      <c r="P13" s="399">
        <f t="shared" si="2"/>
        <v>68485.49718749999</v>
      </c>
      <c r="Q13" s="399">
        <f t="shared" si="2"/>
        <v>17121.374296874998</v>
      </c>
      <c r="R13" s="399">
        <f t="shared" si="2"/>
        <v>4280.3435742187494</v>
      </c>
      <c r="S13" s="399" t="str">
        <f t="shared" si="2"/>
        <v>-</v>
      </c>
      <c r="T13" s="399" t="str">
        <f t="shared" si="2"/>
        <v>-</v>
      </c>
      <c r="U13" s="399" t="str">
        <f t="shared" si="2"/>
        <v>-</v>
      </c>
      <c r="V13" s="399" t="str">
        <f t="shared" si="2"/>
        <v>-</v>
      </c>
    </row>
    <row r="14" spans="1:24" x14ac:dyDescent="0.3">
      <c r="A14" s="183">
        <f t="shared" si="5"/>
        <v>0.15274650043421478</v>
      </c>
      <c r="B14" s="385">
        <v>421047.55847140198</v>
      </c>
      <c r="C14" s="275">
        <f t="shared" si="6"/>
        <v>2022</v>
      </c>
      <c r="D14" s="399" t="str">
        <f t="shared" si="3"/>
        <v>-</v>
      </c>
      <c r="E14" s="399" t="str">
        <f t="shared" si="2"/>
        <v>-</v>
      </c>
      <c r="F14" s="399" t="str">
        <f t="shared" si="2"/>
        <v>-</v>
      </c>
      <c r="G14" s="399" t="str">
        <f t="shared" si="2"/>
        <v>-</v>
      </c>
      <c r="H14" s="399" t="str">
        <f t="shared" si="2"/>
        <v>-</v>
      </c>
      <c r="I14" s="399" t="str">
        <f t="shared" si="2"/>
        <v>-</v>
      </c>
      <c r="J14" s="399" t="str">
        <f t="shared" si="2"/>
        <v>-</v>
      </c>
      <c r="K14" s="399" t="str">
        <f t="shared" si="2"/>
        <v>-</v>
      </c>
      <c r="L14" s="399" t="str">
        <f t="shared" si="2"/>
        <v>-</v>
      </c>
      <c r="M14" s="399" t="str">
        <f t="shared" si="2"/>
        <v>-</v>
      </c>
      <c r="N14" s="399" t="str">
        <f t="shared" si="2"/>
        <v>-</v>
      </c>
      <c r="O14" s="399" t="str">
        <f t="shared" si="2"/>
        <v>-</v>
      </c>
      <c r="P14" s="399">
        <f t="shared" si="2"/>
        <v>315785.6688535515</v>
      </c>
      <c r="Q14" s="399">
        <f t="shared" si="2"/>
        <v>78946.417213387875</v>
      </c>
      <c r="R14" s="399">
        <f t="shared" si="2"/>
        <v>19736.604303346969</v>
      </c>
      <c r="S14" s="399">
        <f t="shared" si="2"/>
        <v>4934.1510758367422</v>
      </c>
      <c r="T14" s="399" t="str">
        <f t="shared" si="2"/>
        <v>-</v>
      </c>
      <c r="U14" s="399" t="str">
        <f t="shared" si="2"/>
        <v>-</v>
      </c>
      <c r="V14" s="399" t="str">
        <f t="shared" si="2"/>
        <v>-</v>
      </c>
    </row>
    <row r="15" spans="1:24" x14ac:dyDescent="0.3">
      <c r="A15" s="183">
        <f t="shared" si="5"/>
        <v>0.23293577127659559</v>
      </c>
      <c r="B15" s="385">
        <v>519124.59624806547</v>
      </c>
      <c r="C15" s="275">
        <f t="shared" si="6"/>
        <v>2023</v>
      </c>
      <c r="D15" s="399" t="str">
        <f t="shared" si="3"/>
        <v>-</v>
      </c>
      <c r="E15" s="399" t="str">
        <f t="shared" si="2"/>
        <v>-</v>
      </c>
      <c r="F15" s="399" t="str">
        <f t="shared" si="2"/>
        <v>-</v>
      </c>
      <c r="G15" s="399" t="str">
        <f t="shared" si="2"/>
        <v>-</v>
      </c>
      <c r="H15" s="399" t="str">
        <f t="shared" si="2"/>
        <v>-</v>
      </c>
      <c r="I15" s="399" t="str">
        <f t="shared" si="2"/>
        <v>-</v>
      </c>
      <c r="J15" s="399" t="str">
        <f t="shared" si="2"/>
        <v>-</v>
      </c>
      <c r="K15" s="399" t="str">
        <f t="shared" si="2"/>
        <v>-</v>
      </c>
      <c r="L15" s="399" t="str">
        <f t="shared" si="2"/>
        <v>-</v>
      </c>
      <c r="M15" s="399" t="str">
        <f t="shared" si="2"/>
        <v>-</v>
      </c>
      <c r="N15" s="399" t="str">
        <f t="shared" si="2"/>
        <v>-</v>
      </c>
      <c r="O15" s="399" t="str">
        <f t="shared" si="2"/>
        <v>-</v>
      </c>
      <c r="P15" s="399" t="str">
        <f t="shared" si="2"/>
        <v>-</v>
      </c>
      <c r="Q15" s="399">
        <f t="shared" si="2"/>
        <v>389343.44718604907</v>
      </c>
      <c r="R15" s="399">
        <f t="shared" si="2"/>
        <v>97335.861796512268</v>
      </c>
      <c r="S15" s="399">
        <f t="shared" si="2"/>
        <v>24333.965449128067</v>
      </c>
      <c r="T15" s="399">
        <f t="shared" si="2"/>
        <v>6083.4913622820168</v>
      </c>
      <c r="U15" s="399" t="str">
        <f t="shared" si="2"/>
        <v>-</v>
      </c>
      <c r="V15" s="399" t="str">
        <f t="shared" si="2"/>
        <v>-</v>
      </c>
    </row>
    <row r="16" spans="1:24" x14ac:dyDescent="0.3">
      <c r="A16" s="183">
        <f t="shared" si="5"/>
        <v>0.22233576421052659</v>
      </c>
      <c r="B16" s="385">
        <v>634544.56007536012</v>
      </c>
      <c r="C16" s="275">
        <f t="shared" si="6"/>
        <v>2024</v>
      </c>
      <c r="D16" s="399" t="str">
        <f t="shared" si="3"/>
        <v>-</v>
      </c>
      <c r="E16" s="399" t="str">
        <f t="shared" si="2"/>
        <v>-</v>
      </c>
      <c r="F16" s="399" t="str">
        <f t="shared" si="2"/>
        <v>-</v>
      </c>
      <c r="G16" s="399" t="str">
        <f t="shared" si="2"/>
        <v>-</v>
      </c>
      <c r="H16" s="399" t="str">
        <f t="shared" si="2"/>
        <v>-</v>
      </c>
      <c r="I16" s="399" t="str">
        <f t="shared" si="2"/>
        <v>-</v>
      </c>
      <c r="J16" s="399" t="str">
        <f t="shared" si="2"/>
        <v>-</v>
      </c>
      <c r="K16" s="399" t="str">
        <f t="shared" si="2"/>
        <v>-</v>
      </c>
      <c r="L16" s="399" t="str">
        <f t="shared" si="2"/>
        <v>-</v>
      </c>
      <c r="M16" s="399" t="str">
        <f t="shared" si="2"/>
        <v>-</v>
      </c>
      <c r="N16" s="399" t="str">
        <f t="shared" si="2"/>
        <v>-</v>
      </c>
      <c r="O16" s="399" t="str">
        <f t="shared" si="2"/>
        <v>-</v>
      </c>
      <c r="P16" s="399" t="str">
        <f t="shared" si="2"/>
        <v>-</v>
      </c>
      <c r="Q16" s="399" t="str">
        <f t="shared" si="2"/>
        <v>-</v>
      </c>
      <c r="R16" s="399">
        <f t="shared" si="2"/>
        <v>475908.42005652009</v>
      </c>
      <c r="S16" s="399">
        <f t="shared" si="2"/>
        <v>118977.10501413002</v>
      </c>
      <c r="T16" s="399">
        <f t="shared" si="2"/>
        <v>29744.276253532506</v>
      </c>
      <c r="U16" s="399">
        <f t="shared" si="2"/>
        <v>7436.0690633831264</v>
      </c>
      <c r="V16" s="399" t="str">
        <f t="shared" si="2"/>
        <v>-</v>
      </c>
    </row>
    <row r="17" spans="1:24" x14ac:dyDescent="0.3">
      <c r="A17" s="183">
        <f t="shared" si="5"/>
        <v>0.21192456998177067</v>
      </c>
      <c r="B17" s="385">
        <v>769020.14310360269</v>
      </c>
      <c r="C17" s="275">
        <f t="shared" si="6"/>
        <v>2025</v>
      </c>
      <c r="D17" s="399" t="str">
        <f t="shared" si="3"/>
        <v>-</v>
      </c>
      <c r="E17" s="399" t="str">
        <f t="shared" si="2"/>
        <v>-</v>
      </c>
      <c r="F17" s="399" t="str">
        <f t="shared" si="2"/>
        <v>-</v>
      </c>
      <c r="G17" s="399" t="str">
        <f t="shared" si="2"/>
        <v>-</v>
      </c>
      <c r="H17" s="399" t="str">
        <f t="shared" si="2"/>
        <v>-</v>
      </c>
      <c r="I17" s="399" t="str">
        <f t="shared" si="2"/>
        <v>-</v>
      </c>
      <c r="J17" s="399" t="str">
        <f t="shared" si="2"/>
        <v>-</v>
      </c>
      <c r="K17" s="399" t="str">
        <f t="shared" si="2"/>
        <v>-</v>
      </c>
      <c r="L17" s="399" t="str">
        <f t="shared" si="2"/>
        <v>-</v>
      </c>
      <c r="M17" s="399" t="str">
        <f t="shared" si="2"/>
        <v>-</v>
      </c>
      <c r="N17" s="399" t="str">
        <f t="shared" si="2"/>
        <v>-</v>
      </c>
      <c r="O17" s="399" t="str">
        <f t="shared" si="2"/>
        <v>-</v>
      </c>
      <c r="P17" s="399" t="str">
        <f t="shared" si="2"/>
        <v>-</v>
      </c>
      <c r="Q17" s="399" t="str">
        <f t="shared" si="2"/>
        <v>-</v>
      </c>
      <c r="R17" s="399" t="str">
        <f t="shared" si="2"/>
        <v>-</v>
      </c>
      <c r="S17" s="399">
        <f t="shared" si="2"/>
        <v>576765.10732770199</v>
      </c>
      <c r="T17" s="399">
        <f t="shared" si="2"/>
        <v>144191.2768319255</v>
      </c>
      <c r="U17" s="399">
        <f t="shared" si="2"/>
        <v>36047.819207981374</v>
      </c>
      <c r="V17" s="399">
        <f t="shared" si="2"/>
        <v>9011.9548019953436</v>
      </c>
    </row>
    <row r="18" spans="1:24" x14ac:dyDescent="0.3">
      <c r="A18" s="183">
        <f t="shared" si="5"/>
        <v>0.20169581981804141</v>
      </c>
      <c r="B18" s="385">
        <v>924128.29132347135</v>
      </c>
      <c r="C18" s="275">
        <f t="shared" si="6"/>
        <v>2026</v>
      </c>
      <c r="D18" s="399" t="str">
        <f t="shared" si="3"/>
        <v>-</v>
      </c>
      <c r="E18" s="399" t="str">
        <f t="shared" si="2"/>
        <v>-</v>
      </c>
      <c r="F18" s="399" t="str">
        <f t="shared" si="2"/>
        <v>-</v>
      </c>
      <c r="G18" s="399" t="str">
        <f t="shared" si="2"/>
        <v>-</v>
      </c>
      <c r="H18" s="399" t="str">
        <f t="shared" ref="H18:V22" si="7">IFERROR(DDB($B18,0,$X$4,(H$1-$C18-1),3)*(H$1&gt;=($C18)+2)*(H$1&lt;$C18+$X$4+2),"-")</f>
        <v>-</v>
      </c>
      <c r="I18" s="399" t="str">
        <f t="shared" si="7"/>
        <v>-</v>
      </c>
      <c r="J18" s="399" t="str">
        <f t="shared" si="7"/>
        <v>-</v>
      </c>
      <c r="K18" s="399" t="str">
        <f t="shared" si="7"/>
        <v>-</v>
      </c>
      <c r="L18" s="399" t="str">
        <f t="shared" si="7"/>
        <v>-</v>
      </c>
      <c r="M18" s="399" t="str">
        <f t="shared" si="7"/>
        <v>-</v>
      </c>
      <c r="N18" s="399" t="str">
        <f t="shared" si="7"/>
        <v>-</v>
      </c>
      <c r="O18" s="399" t="str">
        <f t="shared" si="7"/>
        <v>-</v>
      </c>
      <c r="P18" s="399" t="str">
        <f t="shared" si="7"/>
        <v>-</v>
      </c>
      <c r="Q18" s="399" t="str">
        <f t="shared" si="7"/>
        <v>-</v>
      </c>
      <c r="R18" s="399" t="str">
        <f t="shared" si="7"/>
        <v>-</v>
      </c>
      <c r="S18" s="399" t="str">
        <f t="shared" si="7"/>
        <v>-</v>
      </c>
      <c r="T18" s="399">
        <f t="shared" si="7"/>
        <v>693096.21849260351</v>
      </c>
      <c r="U18" s="399">
        <f t="shared" si="7"/>
        <v>173274.05462315088</v>
      </c>
      <c r="V18" s="399">
        <f t="shared" si="7"/>
        <v>43318.513655787719</v>
      </c>
    </row>
    <row r="19" spans="1:24" x14ac:dyDescent="0.3">
      <c r="A19" s="183">
        <f t="shared" si="5"/>
        <v>0.1916433601461125</v>
      </c>
      <c r="B19" s="385">
        <v>1101231.3422787869</v>
      </c>
      <c r="C19" s="275">
        <f t="shared" si="6"/>
        <v>2027</v>
      </c>
      <c r="D19" s="399" t="str">
        <f t="shared" si="3"/>
        <v>-</v>
      </c>
      <c r="E19" s="399" t="str">
        <f t="shared" si="3"/>
        <v>-</v>
      </c>
      <c r="F19" s="399" t="str">
        <f t="shared" si="3"/>
        <v>-</v>
      </c>
      <c r="G19" s="399" t="str">
        <f t="shared" si="3"/>
        <v>-</v>
      </c>
      <c r="H19" s="399" t="str">
        <f t="shared" si="3"/>
        <v>-</v>
      </c>
      <c r="I19" s="399" t="str">
        <f t="shared" si="3"/>
        <v>-</v>
      </c>
      <c r="J19" s="399" t="str">
        <f t="shared" si="3"/>
        <v>-</v>
      </c>
      <c r="K19" s="399" t="str">
        <f t="shared" si="3"/>
        <v>-</v>
      </c>
      <c r="L19" s="399" t="str">
        <f t="shared" si="3"/>
        <v>-</v>
      </c>
      <c r="M19" s="399" t="str">
        <f t="shared" si="3"/>
        <v>-</v>
      </c>
      <c r="N19" s="399" t="str">
        <f t="shared" si="3"/>
        <v>-</v>
      </c>
      <c r="O19" s="399" t="str">
        <f t="shared" si="3"/>
        <v>-</v>
      </c>
      <c r="P19" s="399" t="str">
        <f t="shared" si="3"/>
        <v>-</v>
      </c>
      <c r="Q19" s="399" t="str">
        <f t="shared" si="3"/>
        <v>-</v>
      </c>
      <c r="R19" s="399" t="str">
        <f t="shared" si="3"/>
        <v>-</v>
      </c>
      <c r="S19" s="399" t="str">
        <f t="shared" si="3"/>
        <v>-</v>
      </c>
      <c r="T19" s="399" t="str">
        <f t="shared" si="7"/>
        <v>-</v>
      </c>
      <c r="U19" s="399">
        <f t="shared" si="7"/>
        <v>825923.5067090902</v>
      </c>
      <c r="V19" s="399">
        <f t="shared" si="7"/>
        <v>206480.87667727255</v>
      </c>
    </row>
    <row r="20" spans="1:24" x14ac:dyDescent="0.3">
      <c r="A20" s="183">
        <f t="shared" si="5"/>
        <v>0.18176124522113568</v>
      </c>
      <c r="B20" s="385">
        <v>1301392.5223279218</v>
      </c>
      <c r="C20" s="275">
        <f t="shared" si="6"/>
        <v>2028</v>
      </c>
      <c r="D20" s="399" t="str">
        <f t="shared" si="3"/>
        <v>-</v>
      </c>
      <c r="E20" s="399" t="str">
        <f t="shared" si="3"/>
        <v>-</v>
      </c>
      <c r="F20" s="399" t="str">
        <f t="shared" si="3"/>
        <v>-</v>
      </c>
      <c r="G20" s="399" t="str">
        <f t="shared" si="3"/>
        <v>-</v>
      </c>
      <c r="H20" s="399" t="str">
        <f t="shared" si="3"/>
        <v>-</v>
      </c>
      <c r="I20" s="399" t="str">
        <f t="shared" si="3"/>
        <v>-</v>
      </c>
      <c r="J20" s="399" t="str">
        <f t="shared" si="3"/>
        <v>-</v>
      </c>
      <c r="K20" s="399" t="str">
        <f t="shared" si="3"/>
        <v>-</v>
      </c>
      <c r="L20" s="399" t="str">
        <f t="shared" si="3"/>
        <v>-</v>
      </c>
      <c r="M20" s="399" t="str">
        <f t="shared" si="3"/>
        <v>-</v>
      </c>
      <c r="N20" s="399" t="str">
        <f t="shared" si="3"/>
        <v>-</v>
      </c>
      <c r="O20" s="399" t="str">
        <f t="shared" si="3"/>
        <v>-</v>
      </c>
      <c r="P20" s="399" t="str">
        <f t="shared" si="3"/>
        <v>-</v>
      </c>
      <c r="Q20" s="399" t="str">
        <f t="shared" si="3"/>
        <v>-</v>
      </c>
      <c r="R20" s="399" t="str">
        <f t="shared" si="3"/>
        <v>-</v>
      </c>
      <c r="S20" s="399" t="str">
        <f t="shared" si="3"/>
        <v>-</v>
      </c>
      <c r="T20" s="399" t="str">
        <f t="shared" si="7"/>
        <v>-</v>
      </c>
      <c r="U20" s="399" t="str">
        <f t="shared" si="7"/>
        <v>-</v>
      </c>
      <c r="V20" s="399">
        <f t="shared" si="7"/>
        <v>976044.39174594136</v>
      </c>
    </row>
    <row r="21" spans="1:24" x14ac:dyDescent="0.3">
      <c r="A21" s="183">
        <f t="shared" si="5"/>
        <v>0.17204373001879292</v>
      </c>
      <c r="B21" s="385">
        <v>1525288.9460877827</v>
      </c>
      <c r="C21" s="275">
        <f t="shared" si="6"/>
        <v>2029</v>
      </c>
      <c r="D21" s="399" t="str">
        <f t="shared" si="3"/>
        <v>-</v>
      </c>
      <c r="E21" s="399" t="str">
        <f t="shared" si="3"/>
        <v>-</v>
      </c>
      <c r="F21" s="399" t="str">
        <f t="shared" si="3"/>
        <v>-</v>
      </c>
      <c r="G21" s="399" t="str">
        <f t="shared" si="3"/>
        <v>-</v>
      </c>
      <c r="H21" s="399" t="str">
        <f t="shared" si="3"/>
        <v>-</v>
      </c>
      <c r="I21" s="399" t="str">
        <f t="shared" si="3"/>
        <v>-</v>
      </c>
      <c r="J21" s="399" t="str">
        <f t="shared" si="3"/>
        <v>-</v>
      </c>
      <c r="K21" s="399" t="str">
        <f t="shared" si="3"/>
        <v>-</v>
      </c>
      <c r="L21" s="399" t="str">
        <f t="shared" si="3"/>
        <v>-</v>
      </c>
      <c r="M21" s="399" t="str">
        <f t="shared" si="3"/>
        <v>-</v>
      </c>
      <c r="N21" s="399" t="str">
        <f t="shared" si="3"/>
        <v>-</v>
      </c>
      <c r="O21" s="399" t="str">
        <f t="shared" si="3"/>
        <v>-</v>
      </c>
      <c r="P21" s="399" t="str">
        <f t="shared" si="3"/>
        <v>-</v>
      </c>
      <c r="Q21" s="399" t="str">
        <f t="shared" si="3"/>
        <v>-</v>
      </c>
      <c r="R21" s="399" t="str">
        <f t="shared" si="3"/>
        <v>-</v>
      </c>
      <c r="S21" s="399" t="str">
        <f t="shared" si="3"/>
        <v>-</v>
      </c>
      <c r="T21" s="399" t="str">
        <f t="shared" si="7"/>
        <v>-</v>
      </c>
      <c r="U21" s="399" t="str">
        <f t="shared" si="7"/>
        <v>-</v>
      </c>
      <c r="V21" s="399" t="str">
        <f t="shared" si="7"/>
        <v>-</v>
      </c>
    </row>
    <row r="22" spans="1:24" x14ac:dyDescent="0.3">
      <c r="A22" s="183">
        <f t="shared" si="5"/>
        <v>0.16248526337998648</v>
      </c>
      <c r="B22" s="385">
        <v>1773125.9222234383</v>
      </c>
      <c r="C22" s="275">
        <f t="shared" si="6"/>
        <v>2030</v>
      </c>
      <c r="D22" s="399" t="str">
        <f t="shared" si="3"/>
        <v>-</v>
      </c>
      <c r="E22" s="399" t="str">
        <f t="shared" si="3"/>
        <v>-</v>
      </c>
      <c r="F22" s="399" t="str">
        <f t="shared" si="3"/>
        <v>-</v>
      </c>
      <c r="G22" s="399" t="str">
        <f t="shared" si="3"/>
        <v>-</v>
      </c>
      <c r="H22" s="399" t="str">
        <f t="shared" si="3"/>
        <v>-</v>
      </c>
      <c r="I22" s="399" t="str">
        <f t="shared" si="3"/>
        <v>-</v>
      </c>
      <c r="J22" s="399" t="str">
        <f t="shared" si="3"/>
        <v>-</v>
      </c>
      <c r="K22" s="399" t="str">
        <f t="shared" si="3"/>
        <v>-</v>
      </c>
      <c r="L22" s="399" t="str">
        <f t="shared" si="3"/>
        <v>-</v>
      </c>
      <c r="M22" s="399" t="str">
        <f t="shared" si="3"/>
        <v>-</v>
      </c>
      <c r="N22" s="399" t="str">
        <f t="shared" si="3"/>
        <v>-</v>
      </c>
      <c r="O22" s="399" t="str">
        <f t="shared" si="3"/>
        <v>-</v>
      </c>
      <c r="P22" s="399" t="str">
        <f t="shared" si="3"/>
        <v>-</v>
      </c>
      <c r="Q22" s="399" t="str">
        <f t="shared" si="3"/>
        <v>-</v>
      </c>
      <c r="R22" s="399" t="str">
        <f t="shared" si="3"/>
        <v>-</v>
      </c>
      <c r="S22" s="399" t="str">
        <f t="shared" si="3"/>
        <v>-</v>
      </c>
      <c r="T22" s="399" t="str">
        <f t="shared" si="7"/>
        <v>-</v>
      </c>
      <c r="U22" s="399" t="str">
        <f t="shared" si="7"/>
        <v>-</v>
      </c>
      <c r="V22" s="399" t="str">
        <f t="shared" si="7"/>
        <v>-</v>
      </c>
    </row>
    <row r="23" spans="1:24" x14ac:dyDescent="0.3">
      <c r="C23" s="275" t="s">
        <v>204</v>
      </c>
      <c r="D23" s="386">
        <f>SUM(D4:D22)</f>
        <v>0</v>
      </c>
      <c r="E23" s="386">
        <f t="shared" ref="E23:V23" si="8">SUM(E4:E22)</f>
        <v>0</v>
      </c>
      <c r="F23" s="386">
        <f t="shared" si="8"/>
        <v>25308.482764800006</v>
      </c>
      <c r="G23" s="386">
        <f t="shared" si="8"/>
        <v>37962.724147200002</v>
      </c>
      <c r="H23" s="386">
        <f t="shared" si="8"/>
        <v>49035.185356800008</v>
      </c>
      <c r="I23" s="386">
        <f t="shared" si="8"/>
        <v>61689.426739200011</v>
      </c>
      <c r="J23" s="386">
        <f t="shared" si="8"/>
        <v>77111.783424000008</v>
      </c>
      <c r="K23" s="386">
        <f t="shared" si="8"/>
        <v>96389.729280000014</v>
      </c>
      <c r="L23" s="386">
        <f t="shared" si="8"/>
        <v>120487.16160000002</v>
      </c>
      <c r="M23" s="386">
        <f t="shared" si="8"/>
        <v>150608.95199999999</v>
      </c>
      <c r="N23" s="386">
        <f t="shared" si="8"/>
        <v>228271.6275</v>
      </c>
      <c r="O23" s="386">
        <f t="shared" si="8"/>
        <v>330708.19499999995</v>
      </c>
      <c r="P23" s="386">
        <f t="shared" si="8"/>
        <v>398085.5918223015</v>
      </c>
      <c r="Q23" s="386">
        <f t="shared" si="8"/>
        <v>488393.43791506195</v>
      </c>
      <c r="R23" s="386">
        <f t="shared" si="8"/>
        <v>597261.22973059805</v>
      </c>
      <c r="S23" s="386">
        <f t="shared" si="8"/>
        <v>725010.3288667968</v>
      </c>
      <c r="T23" s="386">
        <f t="shared" si="8"/>
        <v>873115.26294034347</v>
      </c>
      <c r="U23" s="386">
        <f t="shared" si="8"/>
        <v>1042681.4496036055</v>
      </c>
      <c r="V23" s="386">
        <f t="shared" si="8"/>
        <v>1234855.736880997</v>
      </c>
    </row>
    <row r="24" spans="1:24" x14ac:dyDescent="0.3">
      <c r="G24" s="183">
        <f>(G23/F23)-1</f>
        <v>0.49999999999999978</v>
      </c>
      <c r="H24" s="183">
        <f t="shared" ref="H24:V24" si="9">(H23/G23)-1</f>
        <v>0.29166666666666674</v>
      </c>
      <c r="I24" s="183">
        <f t="shared" si="9"/>
        <v>0.25806451612903225</v>
      </c>
      <c r="J24" s="183">
        <f t="shared" si="9"/>
        <v>0.25</v>
      </c>
      <c r="K24" s="183">
        <f t="shared" si="9"/>
        <v>0.25</v>
      </c>
      <c r="L24" s="183">
        <f t="shared" si="9"/>
        <v>0.25</v>
      </c>
      <c r="M24" s="183">
        <f t="shared" si="9"/>
        <v>0.24999999999999978</v>
      </c>
      <c r="N24" s="183">
        <f t="shared" si="9"/>
        <v>0.51565776448666889</v>
      </c>
      <c r="O24" s="183">
        <f t="shared" si="9"/>
        <v>0.44874857476538543</v>
      </c>
      <c r="P24" s="183">
        <f t="shared" si="9"/>
        <v>0.2037367015422813</v>
      </c>
      <c r="Q24" s="183">
        <f t="shared" si="9"/>
        <v>0.22685534957284337</v>
      </c>
      <c r="R24" s="183">
        <f t="shared" si="9"/>
        <v>0.22291002164216156</v>
      </c>
      <c r="S24" s="183">
        <f t="shared" si="9"/>
        <v>0.21389149801975527</v>
      </c>
      <c r="T24" s="183">
        <f t="shared" si="9"/>
        <v>0.20427975737261161</v>
      </c>
      <c r="U24" s="183">
        <f t="shared" si="9"/>
        <v>0.19420824931203606</v>
      </c>
      <c r="V24" s="183">
        <f t="shared" si="9"/>
        <v>0.184307764706517</v>
      </c>
    </row>
    <row r="25" spans="1:24" x14ac:dyDescent="0.3">
      <c r="B25" s="275" t="s">
        <v>206</v>
      </c>
    </row>
    <row r="26" spans="1:24" x14ac:dyDescent="0.3">
      <c r="K26" s="275"/>
      <c r="L26" s="275"/>
      <c r="M26" s="275"/>
      <c r="N26" s="275"/>
      <c r="O26" s="275"/>
      <c r="P26" s="275"/>
      <c r="Q26" s="275"/>
      <c r="R26" s="275"/>
      <c r="S26" s="275"/>
      <c r="T26" s="275"/>
      <c r="U26" s="275"/>
      <c r="V26" s="275"/>
      <c r="X26" s="275"/>
    </row>
    <row r="27" spans="1:24" x14ac:dyDescent="0.3">
      <c r="B27" s="394">
        <f t="shared" ref="B27:B32" si="10">B28/(1+A28)</f>
        <v>40473.355878400005</v>
      </c>
      <c r="C27" s="275">
        <f t="shared" ref="C27:C32" si="11">C28-1</f>
        <v>2012</v>
      </c>
      <c r="D27" s="385">
        <f t="shared" ref="D27:S42" si="12">IF((D$1=$C27+1),$B27,0)</f>
        <v>0</v>
      </c>
      <c r="E27" s="385">
        <f t="shared" si="12"/>
        <v>40473.355878400005</v>
      </c>
      <c r="F27" s="385">
        <f t="shared" si="12"/>
        <v>0</v>
      </c>
      <c r="G27" s="385">
        <f t="shared" si="12"/>
        <v>0</v>
      </c>
      <c r="H27" s="385">
        <f t="shared" si="12"/>
        <v>0</v>
      </c>
      <c r="I27" s="385">
        <f t="shared" si="12"/>
        <v>0</v>
      </c>
      <c r="J27" s="385">
        <f t="shared" si="12"/>
        <v>0</v>
      </c>
      <c r="K27" s="385">
        <f t="shared" si="12"/>
        <v>0</v>
      </c>
      <c r="L27" s="385">
        <f t="shared" si="12"/>
        <v>0</v>
      </c>
      <c r="M27" s="385">
        <f t="shared" si="12"/>
        <v>0</v>
      </c>
      <c r="N27" s="385">
        <f t="shared" si="12"/>
        <v>0</v>
      </c>
      <c r="O27" s="385">
        <f t="shared" si="12"/>
        <v>0</v>
      </c>
      <c r="P27" s="385">
        <f t="shared" si="12"/>
        <v>0</v>
      </c>
      <c r="Q27" s="385">
        <f t="shared" si="12"/>
        <v>0</v>
      </c>
      <c r="R27" s="385">
        <f t="shared" si="12"/>
        <v>0</v>
      </c>
      <c r="S27" s="385">
        <f t="shared" si="12"/>
        <v>0</v>
      </c>
      <c r="T27" s="385">
        <f t="shared" ref="T27:V41" si="13">IF((T$1=$C27+1),$B27,0)</f>
        <v>0</v>
      </c>
      <c r="U27" s="385">
        <f t="shared" si="13"/>
        <v>0</v>
      </c>
      <c r="V27" s="385">
        <f t="shared" si="13"/>
        <v>0</v>
      </c>
      <c r="X27" s="275"/>
    </row>
    <row r="28" spans="1:24" x14ac:dyDescent="0.3">
      <c r="A28" s="398">
        <v>0.25</v>
      </c>
      <c r="B28" s="394">
        <f t="shared" si="10"/>
        <v>50591.694848000006</v>
      </c>
      <c r="C28" s="275">
        <f t="shared" si="11"/>
        <v>2013</v>
      </c>
      <c r="D28" s="385">
        <f t="shared" si="12"/>
        <v>0</v>
      </c>
      <c r="E28" s="385">
        <f t="shared" si="12"/>
        <v>0</v>
      </c>
      <c r="F28" s="385">
        <f t="shared" si="12"/>
        <v>50591.694848000006</v>
      </c>
      <c r="G28" s="385">
        <f t="shared" si="12"/>
        <v>0</v>
      </c>
      <c r="H28" s="385">
        <f t="shared" si="12"/>
        <v>0</v>
      </c>
      <c r="I28" s="385">
        <f t="shared" si="12"/>
        <v>0</v>
      </c>
      <c r="J28" s="385">
        <f t="shared" si="12"/>
        <v>0</v>
      </c>
      <c r="K28" s="385">
        <f t="shared" si="12"/>
        <v>0</v>
      </c>
      <c r="L28" s="385">
        <f t="shared" si="12"/>
        <v>0</v>
      </c>
      <c r="M28" s="385">
        <f t="shared" si="12"/>
        <v>0</v>
      </c>
      <c r="N28" s="385">
        <f t="shared" si="12"/>
        <v>0</v>
      </c>
      <c r="O28" s="385">
        <f t="shared" si="12"/>
        <v>0</v>
      </c>
      <c r="P28" s="385">
        <f t="shared" si="12"/>
        <v>0</v>
      </c>
      <c r="Q28" s="385">
        <f t="shared" si="12"/>
        <v>0</v>
      </c>
      <c r="R28" s="385">
        <f t="shared" si="12"/>
        <v>0</v>
      </c>
      <c r="S28" s="385">
        <f t="shared" si="12"/>
        <v>0</v>
      </c>
      <c r="T28" s="385">
        <f t="shared" si="13"/>
        <v>0</v>
      </c>
      <c r="U28" s="385">
        <f t="shared" si="13"/>
        <v>0</v>
      </c>
      <c r="V28" s="385">
        <f t="shared" si="13"/>
        <v>0</v>
      </c>
      <c r="X28" s="275"/>
    </row>
    <row r="29" spans="1:24" x14ac:dyDescent="0.3">
      <c r="A29" s="398">
        <v>0.25</v>
      </c>
      <c r="B29" s="394">
        <f t="shared" si="10"/>
        <v>63239.61856000001</v>
      </c>
      <c r="C29" s="275">
        <f t="shared" si="11"/>
        <v>2014</v>
      </c>
      <c r="D29" s="385">
        <f t="shared" si="12"/>
        <v>0</v>
      </c>
      <c r="E29" s="385">
        <f t="shared" si="12"/>
        <v>0</v>
      </c>
      <c r="F29" s="385">
        <f t="shared" si="12"/>
        <v>0</v>
      </c>
      <c r="G29" s="385">
        <f t="shared" si="12"/>
        <v>63239.61856000001</v>
      </c>
      <c r="H29" s="385">
        <f t="shared" si="12"/>
        <v>0</v>
      </c>
      <c r="I29" s="385">
        <f t="shared" si="12"/>
        <v>0</v>
      </c>
      <c r="J29" s="385">
        <f t="shared" si="12"/>
        <v>0</v>
      </c>
      <c r="K29" s="385">
        <f t="shared" si="12"/>
        <v>0</v>
      </c>
      <c r="L29" s="385">
        <f t="shared" si="12"/>
        <v>0</v>
      </c>
      <c r="M29" s="385">
        <f t="shared" si="12"/>
        <v>0</v>
      </c>
      <c r="N29" s="385">
        <f t="shared" si="12"/>
        <v>0</v>
      </c>
      <c r="O29" s="385">
        <f t="shared" si="12"/>
        <v>0</v>
      </c>
      <c r="P29" s="385">
        <f t="shared" si="12"/>
        <v>0</v>
      </c>
      <c r="Q29" s="385">
        <f t="shared" si="12"/>
        <v>0</v>
      </c>
      <c r="R29" s="385">
        <f t="shared" si="12"/>
        <v>0</v>
      </c>
      <c r="S29" s="385">
        <f t="shared" si="12"/>
        <v>0</v>
      </c>
      <c r="T29" s="385">
        <f t="shared" si="13"/>
        <v>0</v>
      </c>
      <c r="U29" s="385">
        <f t="shared" si="13"/>
        <v>0</v>
      </c>
      <c r="V29" s="385">
        <f t="shared" si="13"/>
        <v>0</v>
      </c>
      <c r="X29" s="275"/>
    </row>
    <row r="30" spans="1:24" x14ac:dyDescent="0.3">
      <c r="A30" s="398">
        <v>0.25</v>
      </c>
      <c r="B30" s="394">
        <f t="shared" si="10"/>
        <v>79049.523200000011</v>
      </c>
      <c r="C30" s="275">
        <f t="shared" si="11"/>
        <v>2015</v>
      </c>
      <c r="D30" s="385">
        <f t="shared" si="12"/>
        <v>0</v>
      </c>
      <c r="E30" s="385">
        <f t="shared" si="12"/>
        <v>0</v>
      </c>
      <c r="F30" s="385">
        <f t="shared" si="12"/>
        <v>0</v>
      </c>
      <c r="G30" s="385">
        <f t="shared" si="12"/>
        <v>0</v>
      </c>
      <c r="H30" s="385">
        <f t="shared" si="12"/>
        <v>79049.523200000011</v>
      </c>
      <c r="I30" s="385">
        <f t="shared" si="12"/>
        <v>0</v>
      </c>
      <c r="J30" s="385">
        <f t="shared" si="12"/>
        <v>0</v>
      </c>
      <c r="K30" s="385">
        <f t="shared" si="12"/>
        <v>0</v>
      </c>
      <c r="L30" s="385">
        <f t="shared" si="12"/>
        <v>0</v>
      </c>
      <c r="M30" s="385">
        <f t="shared" si="12"/>
        <v>0</v>
      </c>
      <c r="N30" s="385">
        <f t="shared" si="12"/>
        <v>0</v>
      </c>
      <c r="O30" s="385">
        <f t="shared" si="12"/>
        <v>0</v>
      </c>
      <c r="P30" s="385">
        <f t="shared" si="12"/>
        <v>0</v>
      </c>
      <c r="Q30" s="385">
        <f t="shared" si="12"/>
        <v>0</v>
      </c>
      <c r="R30" s="385">
        <f t="shared" si="12"/>
        <v>0</v>
      </c>
      <c r="S30" s="385">
        <f t="shared" si="12"/>
        <v>0</v>
      </c>
      <c r="T30" s="385">
        <f t="shared" si="13"/>
        <v>0</v>
      </c>
      <c r="U30" s="385">
        <f t="shared" si="13"/>
        <v>0</v>
      </c>
      <c r="V30" s="385">
        <f t="shared" si="13"/>
        <v>0</v>
      </c>
      <c r="X30" s="275"/>
    </row>
    <row r="31" spans="1:24" x14ac:dyDescent="0.3">
      <c r="A31" s="398">
        <v>0.25</v>
      </c>
      <c r="B31" s="394">
        <f t="shared" si="10"/>
        <v>98811.90400000001</v>
      </c>
      <c r="C31" s="275">
        <f t="shared" si="11"/>
        <v>2016</v>
      </c>
      <c r="D31" s="385">
        <f t="shared" si="12"/>
        <v>0</v>
      </c>
      <c r="E31" s="385">
        <f t="shared" si="12"/>
        <v>0</v>
      </c>
      <c r="F31" s="385">
        <f t="shared" si="12"/>
        <v>0</v>
      </c>
      <c r="G31" s="385">
        <f t="shared" si="12"/>
        <v>0</v>
      </c>
      <c r="H31" s="385">
        <f t="shared" si="12"/>
        <v>0</v>
      </c>
      <c r="I31" s="385">
        <f t="shared" si="12"/>
        <v>98811.90400000001</v>
      </c>
      <c r="J31" s="385">
        <f t="shared" si="12"/>
        <v>0</v>
      </c>
      <c r="K31" s="385">
        <f t="shared" si="12"/>
        <v>0</v>
      </c>
      <c r="L31" s="385">
        <f t="shared" si="12"/>
        <v>0</v>
      </c>
      <c r="M31" s="385">
        <f t="shared" si="12"/>
        <v>0</v>
      </c>
      <c r="N31" s="385">
        <f t="shared" si="12"/>
        <v>0</v>
      </c>
      <c r="O31" s="385">
        <f t="shared" si="12"/>
        <v>0</v>
      </c>
      <c r="P31" s="385">
        <f t="shared" si="12"/>
        <v>0</v>
      </c>
      <c r="Q31" s="385">
        <f t="shared" si="12"/>
        <v>0</v>
      </c>
      <c r="R31" s="385">
        <f t="shared" si="12"/>
        <v>0</v>
      </c>
      <c r="S31" s="385">
        <f t="shared" si="12"/>
        <v>0</v>
      </c>
      <c r="T31" s="385">
        <f t="shared" si="13"/>
        <v>0</v>
      </c>
      <c r="U31" s="385">
        <f t="shared" si="13"/>
        <v>0</v>
      </c>
      <c r="V31" s="385">
        <f t="shared" si="13"/>
        <v>0</v>
      </c>
      <c r="X31" s="275"/>
    </row>
    <row r="32" spans="1:24" x14ac:dyDescent="0.3">
      <c r="A32" s="398">
        <v>0.25</v>
      </c>
      <c r="B32" s="394">
        <f t="shared" si="10"/>
        <v>123514.88</v>
      </c>
      <c r="C32" s="275">
        <f t="shared" si="11"/>
        <v>2017</v>
      </c>
      <c r="D32" s="385">
        <f t="shared" si="12"/>
        <v>0</v>
      </c>
      <c r="E32" s="385">
        <f t="shared" si="12"/>
        <v>0</v>
      </c>
      <c r="F32" s="385">
        <f t="shared" si="12"/>
        <v>0</v>
      </c>
      <c r="G32" s="385">
        <f t="shared" si="12"/>
        <v>0</v>
      </c>
      <c r="H32" s="385">
        <f t="shared" si="12"/>
        <v>0</v>
      </c>
      <c r="I32" s="385">
        <f t="shared" si="12"/>
        <v>0</v>
      </c>
      <c r="J32" s="385">
        <f t="shared" si="12"/>
        <v>123514.88</v>
      </c>
      <c r="K32" s="385">
        <f t="shared" si="12"/>
        <v>0</v>
      </c>
      <c r="L32" s="385">
        <f t="shared" si="12"/>
        <v>0</v>
      </c>
      <c r="M32" s="385">
        <f t="shared" si="12"/>
        <v>0</v>
      </c>
      <c r="N32" s="385">
        <f t="shared" si="12"/>
        <v>0</v>
      </c>
      <c r="O32" s="385">
        <f t="shared" si="12"/>
        <v>0</v>
      </c>
      <c r="P32" s="385">
        <f t="shared" si="12"/>
        <v>0</v>
      </c>
      <c r="Q32" s="385">
        <f t="shared" si="12"/>
        <v>0</v>
      </c>
      <c r="R32" s="385">
        <f t="shared" si="12"/>
        <v>0</v>
      </c>
      <c r="S32" s="385">
        <f t="shared" si="12"/>
        <v>0</v>
      </c>
      <c r="T32" s="385">
        <f t="shared" si="13"/>
        <v>0</v>
      </c>
      <c r="U32" s="385">
        <f t="shared" si="13"/>
        <v>0</v>
      </c>
      <c r="V32" s="385">
        <f t="shared" si="13"/>
        <v>0</v>
      </c>
      <c r="X32" s="275"/>
    </row>
    <row r="33" spans="1:24" x14ac:dyDescent="0.3">
      <c r="A33" s="398">
        <v>0.25</v>
      </c>
      <c r="B33" s="394">
        <f>B34/(1+A34)</f>
        <v>154393.60000000001</v>
      </c>
      <c r="C33" s="275">
        <f>C34-1</f>
        <v>2018</v>
      </c>
      <c r="D33" s="385">
        <f t="shared" si="12"/>
        <v>0</v>
      </c>
      <c r="E33" s="385">
        <f t="shared" si="12"/>
        <v>0</v>
      </c>
      <c r="F33" s="385">
        <f t="shared" si="12"/>
        <v>0</v>
      </c>
      <c r="G33" s="385">
        <f t="shared" si="12"/>
        <v>0</v>
      </c>
      <c r="H33" s="385">
        <f t="shared" si="12"/>
        <v>0</v>
      </c>
      <c r="I33" s="385">
        <f t="shared" si="12"/>
        <v>0</v>
      </c>
      <c r="J33" s="385">
        <f t="shared" si="12"/>
        <v>0</v>
      </c>
      <c r="K33" s="385">
        <f t="shared" si="12"/>
        <v>154393.60000000001</v>
      </c>
      <c r="L33" s="385">
        <f t="shared" si="12"/>
        <v>0</v>
      </c>
      <c r="M33" s="385">
        <f t="shared" si="12"/>
        <v>0</v>
      </c>
      <c r="N33" s="385">
        <f t="shared" si="12"/>
        <v>0</v>
      </c>
      <c r="O33" s="385">
        <f t="shared" si="12"/>
        <v>0</v>
      </c>
      <c r="P33" s="385">
        <f t="shared" si="12"/>
        <v>0</v>
      </c>
      <c r="Q33" s="385">
        <f t="shared" si="12"/>
        <v>0</v>
      </c>
      <c r="R33" s="385">
        <f t="shared" si="12"/>
        <v>0</v>
      </c>
      <c r="S33" s="385">
        <f t="shared" si="12"/>
        <v>0</v>
      </c>
      <c r="T33" s="385">
        <f t="shared" si="13"/>
        <v>0</v>
      </c>
      <c r="U33" s="385">
        <f t="shared" si="13"/>
        <v>0</v>
      </c>
      <c r="V33" s="385">
        <f t="shared" si="13"/>
        <v>0</v>
      </c>
      <c r="X33" s="275"/>
    </row>
    <row r="34" spans="1:24" x14ac:dyDescent="0.3">
      <c r="A34" s="398">
        <v>0.25</v>
      </c>
      <c r="B34" s="385">
        <f>'Pro Forma'!D167</f>
        <v>192992</v>
      </c>
      <c r="C34" s="275">
        <v>2019</v>
      </c>
      <c r="D34" s="385">
        <f t="shared" si="12"/>
        <v>0</v>
      </c>
      <c r="E34" s="385">
        <f t="shared" si="12"/>
        <v>0</v>
      </c>
      <c r="F34" s="385">
        <f t="shared" si="12"/>
        <v>0</v>
      </c>
      <c r="G34" s="385">
        <f t="shared" si="12"/>
        <v>0</v>
      </c>
      <c r="H34" s="385">
        <f t="shared" si="12"/>
        <v>0</v>
      </c>
      <c r="I34" s="385">
        <f t="shared" si="12"/>
        <v>0</v>
      </c>
      <c r="J34" s="385">
        <f t="shared" si="12"/>
        <v>0</v>
      </c>
      <c r="K34" s="385">
        <f t="shared" si="12"/>
        <v>0</v>
      </c>
      <c r="L34" s="385">
        <f t="shared" si="12"/>
        <v>192992</v>
      </c>
      <c r="M34" s="385">
        <f t="shared" si="12"/>
        <v>0</v>
      </c>
      <c r="N34" s="385">
        <f t="shared" si="12"/>
        <v>0</v>
      </c>
      <c r="O34" s="385">
        <f t="shared" si="12"/>
        <v>0</v>
      </c>
      <c r="P34" s="385">
        <f t="shared" si="12"/>
        <v>0</v>
      </c>
      <c r="Q34" s="385">
        <f t="shared" si="12"/>
        <v>0</v>
      </c>
      <c r="R34" s="385">
        <f t="shared" si="12"/>
        <v>0</v>
      </c>
      <c r="S34" s="385">
        <f t="shared" si="12"/>
        <v>0</v>
      </c>
      <c r="T34" s="385">
        <f t="shared" si="13"/>
        <v>0</v>
      </c>
      <c r="U34" s="385">
        <f t="shared" si="13"/>
        <v>0</v>
      </c>
      <c r="V34" s="385">
        <f t="shared" si="13"/>
        <v>0</v>
      </c>
      <c r="X34" s="275"/>
    </row>
    <row r="35" spans="1:24" x14ac:dyDescent="0.3">
      <c r="A35" s="183">
        <f>(B35/B34)-1</f>
        <v>0.44185769358315374</v>
      </c>
      <c r="B35" s="385">
        <f>'Pro Forma'!I167</f>
        <v>278267</v>
      </c>
      <c r="C35" s="275">
        <f>C34+1</f>
        <v>2020</v>
      </c>
      <c r="D35" s="385">
        <f t="shared" si="12"/>
        <v>0</v>
      </c>
      <c r="E35" s="385">
        <f t="shared" si="12"/>
        <v>0</v>
      </c>
      <c r="F35" s="385">
        <f t="shared" si="12"/>
        <v>0</v>
      </c>
      <c r="G35" s="385">
        <f t="shared" si="12"/>
        <v>0</v>
      </c>
      <c r="H35" s="385">
        <f t="shared" si="12"/>
        <v>0</v>
      </c>
      <c r="I35" s="385">
        <f t="shared" si="12"/>
        <v>0</v>
      </c>
      <c r="J35" s="385">
        <f t="shared" si="12"/>
        <v>0</v>
      </c>
      <c r="K35" s="385">
        <f t="shared" si="12"/>
        <v>0</v>
      </c>
      <c r="L35" s="385">
        <f t="shared" si="12"/>
        <v>0</v>
      </c>
      <c r="M35" s="385">
        <f t="shared" si="12"/>
        <v>278267</v>
      </c>
      <c r="N35" s="385">
        <f t="shared" si="12"/>
        <v>0</v>
      </c>
      <c r="O35" s="385">
        <f t="shared" si="12"/>
        <v>0</v>
      </c>
      <c r="P35" s="385">
        <f t="shared" si="12"/>
        <v>0</v>
      </c>
      <c r="Q35" s="385">
        <f t="shared" si="12"/>
        <v>0</v>
      </c>
      <c r="R35" s="385">
        <f t="shared" si="12"/>
        <v>0</v>
      </c>
      <c r="S35" s="385">
        <f t="shared" si="12"/>
        <v>0</v>
      </c>
      <c r="T35" s="385">
        <f t="shared" si="13"/>
        <v>0</v>
      </c>
      <c r="U35" s="385">
        <f t="shared" si="13"/>
        <v>0</v>
      </c>
      <c r="V35" s="385">
        <f t="shared" si="13"/>
        <v>0</v>
      </c>
    </row>
    <row r="36" spans="1:24" x14ac:dyDescent="0.3">
      <c r="A36" s="183">
        <f t="shared" ref="A36:A45" si="14">(B36/B35)-1</f>
        <v>0.26394232877056933</v>
      </c>
      <c r="B36" s="385" cm="1">
        <f t="array" ref="B36:B45">TRANSPOSE('Pro Forma'!N167:W167)</f>
        <v>351713.44</v>
      </c>
      <c r="C36" s="275">
        <f t="shared" ref="C36:C45" si="15">C35+1</f>
        <v>2021</v>
      </c>
      <c r="D36" s="385">
        <f t="shared" si="12"/>
        <v>0</v>
      </c>
      <c r="E36" s="385">
        <f t="shared" si="12"/>
        <v>0</v>
      </c>
      <c r="F36" s="385">
        <f t="shared" si="12"/>
        <v>0</v>
      </c>
      <c r="G36" s="385">
        <f t="shared" si="12"/>
        <v>0</v>
      </c>
      <c r="H36" s="385">
        <f t="shared" si="12"/>
        <v>0</v>
      </c>
      <c r="I36" s="385">
        <f t="shared" si="12"/>
        <v>0</v>
      </c>
      <c r="J36" s="385">
        <f t="shared" si="12"/>
        <v>0</v>
      </c>
      <c r="K36" s="385">
        <f t="shared" si="12"/>
        <v>0</v>
      </c>
      <c r="L36" s="385">
        <f t="shared" si="12"/>
        <v>0</v>
      </c>
      <c r="M36" s="385">
        <f t="shared" si="12"/>
        <v>0</v>
      </c>
      <c r="N36" s="385">
        <f t="shared" si="12"/>
        <v>351713.44</v>
      </c>
      <c r="O36" s="385">
        <f t="shared" si="12"/>
        <v>0</v>
      </c>
      <c r="P36" s="385">
        <f t="shared" si="12"/>
        <v>0</v>
      </c>
      <c r="Q36" s="385">
        <f t="shared" si="12"/>
        <v>0</v>
      </c>
      <c r="R36" s="385">
        <f t="shared" si="12"/>
        <v>0</v>
      </c>
      <c r="S36" s="385">
        <f t="shared" si="12"/>
        <v>0</v>
      </c>
      <c r="T36" s="385">
        <f t="shared" si="13"/>
        <v>0</v>
      </c>
      <c r="U36" s="385">
        <f t="shared" si="13"/>
        <v>0</v>
      </c>
      <c r="V36" s="385">
        <f t="shared" si="13"/>
        <v>0</v>
      </c>
    </row>
    <row r="37" spans="1:24" x14ac:dyDescent="0.3">
      <c r="A37" s="183">
        <f t="shared" si="14"/>
        <v>0.20999999999999996</v>
      </c>
      <c r="B37" s="385">
        <v>425573.26240000001</v>
      </c>
      <c r="C37" s="275">
        <f t="shared" si="15"/>
        <v>2022</v>
      </c>
      <c r="D37" s="385">
        <f t="shared" si="12"/>
        <v>0</v>
      </c>
      <c r="E37" s="385">
        <f t="shared" si="12"/>
        <v>0</v>
      </c>
      <c r="F37" s="385">
        <f t="shared" si="12"/>
        <v>0</v>
      </c>
      <c r="G37" s="385">
        <f t="shared" si="12"/>
        <v>0</v>
      </c>
      <c r="H37" s="385">
        <f t="shared" si="12"/>
        <v>0</v>
      </c>
      <c r="I37" s="385">
        <f t="shared" si="12"/>
        <v>0</v>
      </c>
      <c r="J37" s="385">
        <f t="shared" si="12"/>
        <v>0</v>
      </c>
      <c r="K37" s="385">
        <f t="shared" si="12"/>
        <v>0</v>
      </c>
      <c r="L37" s="385">
        <f t="shared" si="12"/>
        <v>0</v>
      </c>
      <c r="M37" s="385">
        <f t="shared" si="12"/>
        <v>0</v>
      </c>
      <c r="N37" s="385">
        <f t="shared" si="12"/>
        <v>0</v>
      </c>
      <c r="O37" s="385">
        <f t="shared" si="12"/>
        <v>425573.26240000001</v>
      </c>
      <c r="P37" s="385">
        <f t="shared" si="12"/>
        <v>0</v>
      </c>
      <c r="Q37" s="385">
        <f t="shared" si="12"/>
        <v>0</v>
      </c>
      <c r="R37" s="385">
        <f t="shared" si="12"/>
        <v>0</v>
      </c>
      <c r="S37" s="385">
        <f t="shared" si="12"/>
        <v>0</v>
      </c>
      <c r="T37" s="385">
        <f t="shared" si="13"/>
        <v>0</v>
      </c>
      <c r="U37" s="385">
        <f t="shared" si="13"/>
        <v>0</v>
      </c>
      <c r="V37" s="385">
        <f t="shared" si="13"/>
        <v>0</v>
      </c>
    </row>
    <row r="38" spans="1:24" x14ac:dyDescent="0.3">
      <c r="A38" s="183">
        <f t="shared" si="14"/>
        <v>0.19500000000000006</v>
      </c>
      <c r="B38" s="385">
        <v>508560.04856800003</v>
      </c>
      <c r="C38" s="275">
        <f t="shared" si="15"/>
        <v>2023</v>
      </c>
      <c r="D38" s="385">
        <f t="shared" si="12"/>
        <v>0</v>
      </c>
      <c r="E38" s="385">
        <f t="shared" si="12"/>
        <v>0</v>
      </c>
      <c r="F38" s="385">
        <f t="shared" si="12"/>
        <v>0</v>
      </c>
      <c r="G38" s="385">
        <f t="shared" si="12"/>
        <v>0</v>
      </c>
      <c r="H38" s="385">
        <f t="shared" si="12"/>
        <v>0</v>
      </c>
      <c r="I38" s="385">
        <f t="shared" si="12"/>
        <v>0</v>
      </c>
      <c r="J38" s="385">
        <f t="shared" si="12"/>
        <v>0</v>
      </c>
      <c r="K38" s="385">
        <f t="shared" si="12"/>
        <v>0</v>
      </c>
      <c r="L38" s="385">
        <f t="shared" si="12"/>
        <v>0</v>
      </c>
      <c r="M38" s="385">
        <f t="shared" si="12"/>
        <v>0</v>
      </c>
      <c r="N38" s="385">
        <f t="shared" si="12"/>
        <v>0</v>
      </c>
      <c r="O38" s="385">
        <f t="shared" si="12"/>
        <v>0</v>
      </c>
      <c r="P38" s="385">
        <f t="shared" si="12"/>
        <v>508560.04856800003</v>
      </c>
      <c r="Q38" s="385">
        <f t="shared" si="12"/>
        <v>0</v>
      </c>
      <c r="R38" s="385">
        <f t="shared" si="12"/>
        <v>0</v>
      </c>
      <c r="S38" s="385">
        <f t="shared" si="12"/>
        <v>0</v>
      </c>
      <c r="T38" s="385">
        <f t="shared" si="13"/>
        <v>0</v>
      </c>
      <c r="U38" s="385">
        <f t="shared" si="13"/>
        <v>0</v>
      </c>
      <c r="V38" s="385">
        <f t="shared" si="13"/>
        <v>0</v>
      </c>
    </row>
    <row r="39" spans="1:24" x14ac:dyDescent="0.3">
      <c r="A39" s="183">
        <f t="shared" si="14"/>
        <v>0.18500000000000005</v>
      </c>
      <c r="B39" s="385">
        <v>602643.65755308</v>
      </c>
      <c r="C39" s="275">
        <f t="shared" si="15"/>
        <v>2024</v>
      </c>
      <c r="D39" s="385">
        <f t="shared" si="12"/>
        <v>0</v>
      </c>
      <c r="E39" s="385">
        <f t="shared" si="12"/>
        <v>0</v>
      </c>
      <c r="F39" s="385">
        <f t="shared" si="12"/>
        <v>0</v>
      </c>
      <c r="G39" s="385">
        <f t="shared" si="12"/>
        <v>0</v>
      </c>
      <c r="H39" s="385">
        <f t="shared" si="12"/>
        <v>0</v>
      </c>
      <c r="I39" s="385">
        <f t="shared" si="12"/>
        <v>0</v>
      </c>
      <c r="J39" s="385">
        <f t="shared" si="12"/>
        <v>0</v>
      </c>
      <c r="K39" s="385">
        <f t="shared" si="12"/>
        <v>0</v>
      </c>
      <c r="L39" s="385">
        <f t="shared" si="12"/>
        <v>0</v>
      </c>
      <c r="M39" s="385">
        <f t="shared" si="12"/>
        <v>0</v>
      </c>
      <c r="N39" s="385">
        <f t="shared" si="12"/>
        <v>0</v>
      </c>
      <c r="O39" s="385">
        <f t="shared" si="12"/>
        <v>0</v>
      </c>
      <c r="P39" s="385">
        <f t="shared" si="12"/>
        <v>0</v>
      </c>
      <c r="Q39" s="385">
        <f t="shared" si="12"/>
        <v>602643.65755308</v>
      </c>
      <c r="R39" s="385">
        <f t="shared" si="12"/>
        <v>0</v>
      </c>
      <c r="S39" s="385">
        <f t="shared" si="12"/>
        <v>0</v>
      </c>
      <c r="T39" s="385">
        <f t="shared" si="13"/>
        <v>0</v>
      </c>
      <c r="U39" s="385">
        <f t="shared" si="13"/>
        <v>0</v>
      </c>
      <c r="V39" s="385">
        <f t="shared" si="13"/>
        <v>0</v>
      </c>
    </row>
    <row r="40" spans="1:24" x14ac:dyDescent="0.3">
      <c r="A40" s="183">
        <f t="shared" si="14"/>
        <v>0.17749999999999999</v>
      </c>
      <c r="B40" s="385">
        <v>709612.90676875168</v>
      </c>
      <c r="C40" s="275">
        <f t="shared" si="15"/>
        <v>2025</v>
      </c>
      <c r="D40" s="385">
        <f t="shared" si="12"/>
        <v>0</v>
      </c>
      <c r="E40" s="385">
        <f t="shared" si="12"/>
        <v>0</v>
      </c>
      <c r="F40" s="385">
        <f t="shared" si="12"/>
        <v>0</v>
      </c>
      <c r="G40" s="385">
        <f t="shared" si="12"/>
        <v>0</v>
      </c>
      <c r="H40" s="385">
        <f t="shared" si="12"/>
        <v>0</v>
      </c>
      <c r="I40" s="385">
        <f t="shared" si="12"/>
        <v>0</v>
      </c>
      <c r="J40" s="385">
        <f t="shared" si="12"/>
        <v>0</v>
      </c>
      <c r="K40" s="385">
        <f t="shared" si="12"/>
        <v>0</v>
      </c>
      <c r="L40" s="385">
        <f t="shared" si="12"/>
        <v>0</v>
      </c>
      <c r="M40" s="385">
        <f t="shared" si="12"/>
        <v>0</v>
      </c>
      <c r="N40" s="385">
        <f t="shared" si="12"/>
        <v>0</v>
      </c>
      <c r="O40" s="385">
        <f t="shared" si="12"/>
        <v>0</v>
      </c>
      <c r="P40" s="385">
        <f t="shared" si="12"/>
        <v>0</v>
      </c>
      <c r="Q40" s="385">
        <f t="shared" si="12"/>
        <v>0</v>
      </c>
      <c r="R40" s="385">
        <f t="shared" si="12"/>
        <v>709612.90676875168</v>
      </c>
      <c r="S40" s="385">
        <f t="shared" si="12"/>
        <v>0</v>
      </c>
      <c r="T40" s="385">
        <f t="shared" si="13"/>
        <v>0</v>
      </c>
      <c r="U40" s="385">
        <f t="shared" si="13"/>
        <v>0</v>
      </c>
      <c r="V40" s="385">
        <f t="shared" si="13"/>
        <v>0</v>
      </c>
    </row>
    <row r="41" spans="1:24" x14ac:dyDescent="0.3">
      <c r="A41" s="183">
        <f t="shared" si="14"/>
        <v>0.17149999999999999</v>
      </c>
      <c r="B41" s="385">
        <v>831311.5202795926</v>
      </c>
      <c r="C41" s="275">
        <f t="shared" si="15"/>
        <v>2026</v>
      </c>
      <c r="D41" s="385">
        <f t="shared" si="12"/>
        <v>0</v>
      </c>
      <c r="E41" s="385">
        <f t="shared" si="12"/>
        <v>0</v>
      </c>
      <c r="F41" s="385">
        <f t="shared" si="12"/>
        <v>0</v>
      </c>
      <c r="G41" s="385">
        <f t="shared" si="12"/>
        <v>0</v>
      </c>
      <c r="H41" s="385">
        <f t="shared" si="12"/>
        <v>0</v>
      </c>
      <c r="I41" s="385">
        <f t="shared" si="12"/>
        <v>0</v>
      </c>
      <c r="J41" s="385">
        <f t="shared" si="12"/>
        <v>0</v>
      </c>
      <c r="K41" s="385">
        <f t="shared" si="12"/>
        <v>0</v>
      </c>
      <c r="L41" s="385">
        <f t="shared" si="12"/>
        <v>0</v>
      </c>
      <c r="M41" s="385">
        <f t="shared" si="12"/>
        <v>0</v>
      </c>
      <c r="N41" s="385">
        <f t="shared" si="12"/>
        <v>0</v>
      </c>
      <c r="O41" s="385">
        <f t="shared" si="12"/>
        <v>0</v>
      </c>
      <c r="P41" s="385">
        <f t="shared" si="12"/>
        <v>0</v>
      </c>
      <c r="Q41" s="385">
        <f t="shared" si="12"/>
        <v>0</v>
      </c>
      <c r="R41" s="385">
        <f t="shared" si="12"/>
        <v>0</v>
      </c>
      <c r="S41" s="385">
        <f t="shared" si="12"/>
        <v>831311.5202795926</v>
      </c>
      <c r="T41" s="385">
        <f t="shared" si="13"/>
        <v>0</v>
      </c>
      <c r="U41" s="385">
        <f t="shared" si="13"/>
        <v>0</v>
      </c>
      <c r="V41" s="385">
        <f t="shared" si="13"/>
        <v>0</v>
      </c>
    </row>
    <row r="42" spans="1:24" x14ac:dyDescent="0.3">
      <c r="A42" s="183">
        <f t="shared" si="14"/>
        <v>0.16650000000000009</v>
      </c>
      <c r="B42" s="385">
        <v>969724.8884061448</v>
      </c>
      <c r="C42" s="275">
        <f t="shared" si="15"/>
        <v>2027</v>
      </c>
      <c r="D42" s="385">
        <f t="shared" si="12"/>
        <v>0</v>
      </c>
      <c r="E42" s="385">
        <f t="shared" si="12"/>
        <v>0</v>
      </c>
      <c r="F42" s="385">
        <f t="shared" si="12"/>
        <v>0</v>
      </c>
      <c r="G42" s="385">
        <f t="shared" si="12"/>
        <v>0</v>
      </c>
      <c r="H42" s="385">
        <f t="shared" si="12"/>
        <v>0</v>
      </c>
      <c r="I42" s="385">
        <f t="shared" si="12"/>
        <v>0</v>
      </c>
      <c r="J42" s="385">
        <f t="shared" si="12"/>
        <v>0</v>
      </c>
      <c r="K42" s="385">
        <f t="shared" si="12"/>
        <v>0</v>
      </c>
      <c r="L42" s="385">
        <f t="shared" si="12"/>
        <v>0</v>
      </c>
      <c r="M42" s="385">
        <f t="shared" si="12"/>
        <v>0</v>
      </c>
      <c r="N42" s="385">
        <f t="shared" si="12"/>
        <v>0</v>
      </c>
      <c r="O42" s="385">
        <f t="shared" si="12"/>
        <v>0</v>
      </c>
      <c r="P42" s="385">
        <f t="shared" si="12"/>
        <v>0</v>
      </c>
      <c r="Q42" s="385">
        <f t="shared" si="12"/>
        <v>0</v>
      </c>
      <c r="R42" s="385">
        <f t="shared" si="12"/>
        <v>0</v>
      </c>
      <c r="S42" s="385">
        <f t="shared" ref="S42:V45" si="16">IF((S$1=$C42+1),$B42,0)</f>
        <v>0</v>
      </c>
      <c r="T42" s="385">
        <f t="shared" si="16"/>
        <v>969724.8884061448</v>
      </c>
      <c r="U42" s="385">
        <f t="shared" si="16"/>
        <v>0</v>
      </c>
      <c r="V42" s="385">
        <f t="shared" si="16"/>
        <v>0</v>
      </c>
    </row>
    <row r="43" spans="1:24" x14ac:dyDescent="0.3">
      <c r="A43" s="183">
        <f t="shared" si="14"/>
        <v>0.16221428571428564</v>
      </c>
      <c r="B43" s="385">
        <v>1127028.1185183129</v>
      </c>
      <c r="C43" s="275">
        <f t="shared" si="15"/>
        <v>2028</v>
      </c>
      <c r="D43" s="385">
        <f t="shared" ref="D43:S45" si="17">IF((D$1=$C43+1),$B43,0)</f>
        <v>0</v>
      </c>
      <c r="E43" s="385">
        <f t="shared" si="17"/>
        <v>0</v>
      </c>
      <c r="F43" s="385">
        <f t="shared" si="17"/>
        <v>0</v>
      </c>
      <c r="G43" s="385">
        <f t="shared" si="17"/>
        <v>0</v>
      </c>
      <c r="H43" s="385">
        <f t="shared" si="17"/>
        <v>0</v>
      </c>
      <c r="I43" s="385">
        <f t="shared" si="17"/>
        <v>0</v>
      </c>
      <c r="J43" s="385">
        <f t="shared" si="17"/>
        <v>0</v>
      </c>
      <c r="K43" s="385">
        <f t="shared" si="17"/>
        <v>0</v>
      </c>
      <c r="L43" s="385">
        <f t="shared" si="17"/>
        <v>0</v>
      </c>
      <c r="M43" s="385">
        <f t="shared" si="17"/>
        <v>0</v>
      </c>
      <c r="N43" s="385">
        <f t="shared" si="17"/>
        <v>0</v>
      </c>
      <c r="O43" s="385">
        <f t="shared" si="17"/>
        <v>0</v>
      </c>
      <c r="P43" s="385">
        <f t="shared" si="17"/>
        <v>0</v>
      </c>
      <c r="Q43" s="385">
        <f t="shared" si="17"/>
        <v>0</v>
      </c>
      <c r="R43" s="385">
        <f t="shared" si="17"/>
        <v>0</v>
      </c>
      <c r="S43" s="385">
        <f t="shared" si="17"/>
        <v>0</v>
      </c>
      <c r="T43" s="385">
        <f t="shared" si="16"/>
        <v>0</v>
      </c>
      <c r="U43" s="385">
        <f t="shared" si="16"/>
        <v>1127028.1185183129</v>
      </c>
      <c r="V43" s="385">
        <f t="shared" si="16"/>
        <v>0</v>
      </c>
    </row>
    <row r="44" spans="1:24" x14ac:dyDescent="0.3">
      <c r="A44" s="183">
        <f t="shared" si="14"/>
        <v>0.15846428571428572</v>
      </c>
      <c r="B44" s="385">
        <v>1305621.8242992328</v>
      </c>
      <c r="C44" s="275">
        <f t="shared" si="15"/>
        <v>2029</v>
      </c>
      <c r="D44" s="385">
        <f t="shared" si="17"/>
        <v>0</v>
      </c>
      <c r="E44" s="385">
        <f t="shared" si="17"/>
        <v>0</v>
      </c>
      <c r="F44" s="385">
        <f t="shared" si="17"/>
        <v>0</v>
      </c>
      <c r="G44" s="385">
        <f t="shared" si="17"/>
        <v>0</v>
      </c>
      <c r="H44" s="385">
        <f t="shared" si="17"/>
        <v>0</v>
      </c>
      <c r="I44" s="385">
        <f t="shared" si="17"/>
        <v>0</v>
      </c>
      <c r="J44" s="385">
        <f t="shared" si="17"/>
        <v>0</v>
      </c>
      <c r="K44" s="385">
        <f t="shared" si="17"/>
        <v>0</v>
      </c>
      <c r="L44" s="385">
        <f t="shared" si="17"/>
        <v>0</v>
      </c>
      <c r="M44" s="385">
        <f t="shared" si="17"/>
        <v>0</v>
      </c>
      <c r="N44" s="385">
        <f t="shared" si="17"/>
        <v>0</v>
      </c>
      <c r="O44" s="385">
        <f t="shared" si="17"/>
        <v>0</v>
      </c>
      <c r="P44" s="385">
        <f t="shared" si="17"/>
        <v>0</v>
      </c>
      <c r="Q44" s="385">
        <f t="shared" si="17"/>
        <v>0</v>
      </c>
      <c r="R44" s="385">
        <f t="shared" si="17"/>
        <v>0</v>
      </c>
      <c r="S44" s="385">
        <f t="shared" si="17"/>
        <v>0</v>
      </c>
      <c r="T44" s="385">
        <f t="shared" si="16"/>
        <v>0</v>
      </c>
      <c r="U44" s="385">
        <f t="shared" si="16"/>
        <v>0</v>
      </c>
      <c r="V44" s="385">
        <f t="shared" si="16"/>
        <v>1305621.8242992328</v>
      </c>
    </row>
    <row r="45" spans="1:24" x14ac:dyDescent="0.3">
      <c r="A45" s="183">
        <f t="shared" si="14"/>
        <v>0.15513095238095231</v>
      </c>
      <c r="B45" s="385">
        <v>1508164.1813521292</v>
      </c>
      <c r="C45" s="275">
        <f t="shared" si="15"/>
        <v>2030</v>
      </c>
      <c r="D45" s="385">
        <f t="shared" si="17"/>
        <v>0</v>
      </c>
      <c r="E45" s="385">
        <f t="shared" si="17"/>
        <v>0</v>
      </c>
      <c r="F45" s="385">
        <f t="shared" si="17"/>
        <v>0</v>
      </c>
      <c r="G45" s="385">
        <f t="shared" si="17"/>
        <v>0</v>
      </c>
      <c r="H45" s="385">
        <f t="shared" si="17"/>
        <v>0</v>
      </c>
      <c r="I45" s="385">
        <f t="shared" si="17"/>
        <v>0</v>
      </c>
      <c r="J45" s="385">
        <f t="shared" si="17"/>
        <v>0</v>
      </c>
      <c r="K45" s="385">
        <f t="shared" si="17"/>
        <v>0</v>
      </c>
      <c r="L45" s="385">
        <f t="shared" si="17"/>
        <v>0</v>
      </c>
      <c r="M45" s="385">
        <f t="shared" si="17"/>
        <v>0</v>
      </c>
      <c r="N45" s="385">
        <f t="shared" si="17"/>
        <v>0</v>
      </c>
      <c r="O45" s="385">
        <f t="shared" si="17"/>
        <v>0</v>
      </c>
      <c r="P45" s="385">
        <f t="shared" si="17"/>
        <v>0</v>
      </c>
      <c r="Q45" s="385">
        <f t="shared" si="17"/>
        <v>0</v>
      </c>
      <c r="R45" s="385">
        <f t="shared" si="17"/>
        <v>0</v>
      </c>
      <c r="S45" s="385">
        <f t="shared" si="17"/>
        <v>0</v>
      </c>
      <c r="T45" s="385">
        <f t="shared" si="16"/>
        <v>0</v>
      </c>
      <c r="U45" s="385">
        <f t="shared" si="16"/>
        <v>0</v>
      </c>
      <c r="V45" s="385">
        <f t="shared" si="16"/>
        <v>0</v>
      </c>
    </row>
    <row r="46" spans="1:24" x14ac:dyDescent="0.3">
      <c r="C46" s="275" t="s">
        <v>204</v>
      </c>
      <c r="D46" s="386">
        <f>SUM(D27:D45)</f>
        <v>0</v>
      </c>
      <c r="E46" s="386">
        <f t="shared" ref="E46:V46" si="18">SUM(E27:E45)</f>
        <v>40473.355878400005</v>
      </c>
      <c r="F46" s="386">
        <f t="shared" si="18"/>
        <v>50591.694848000006</v>
      </c>
      <c r="G46" s="386">
        <f t="shared" si="18"/>
        <v>63239.61856000001</v>
      </c>
      <c r="H46" s="386">
        <f t="shared" si="18"/>
        <v>79049.523200000011</v>
      </c>
      <c r="I46" s="386">
        <f t="shared" si="18"/>
        <v>98811.90400000001</v>
      </c>
      <c r="J46" s="386">
        <f t="shared" si="18"/>
        <v>123514.88</v>
      </c>
      <c r="K46" s="386">
        <f t="shared" si="18"/>
        <v>154393.60000000001</v>
      </c>
      <c r="L46" s="386">
        <f t="shared" si="18"/>
        <v>192992</v>
      </c>
      <c r="M46" s="386">
        <f t="shared" si="18"/>
        <v>278267</v>
      </c>
      <c r="N46" s="386">
        <f t="shared" si="18"/>
        <v>351713.44</v>
      </c>
      <c r="O46" s="386">
        <f t="shared" si="18"/>
        <v>425573.26240000001</v>
      </c>
      <c r="P46" s="386">
        <f t="shared" si="18"/>
        <v>508560.04856800003</v>
      </c>
      <c r="Q46" s="386">
        <f t="shared" si="18"/>
        <v>602643.65755308</v>
      </c>
      <c r="R46" s="386">
        <f t="shared" si="18"/>
        <v>709612.90676875168</v>
      </c>
      <c r="S46" s="386">
        <f t="shared" si="18"/>
        <v>831311.5202795926</v>
      </c>
      <c r="T46" s="386">
        <f t="shared" si="18"/>
        <v>969724.8884061448</v>
      </c>
      <c r="U46" s="386">
        <f t="shared" si="18"/>
        <v>1127028.1185183129</v>
      </c>
      <c r="V46" s="386">
        <f t="shared" si="18"/>
        <v>1305621.8242992328</v>
      </c>
    </row>
    <row r="48" spans="1:24" x14ac:dyDescent="0.3">
      <c r="B48" s="709" t="s">
        <v>208</v>
      </c>
      <c r="C48" s="709"/>
      <c r="D48" s="397"/>
      <c r="E48" s="397"/>
      <c r="F48" s="397"/>
      <c r="G48" s="397"/>
    </row>
    <row r="49" spans="2:24" x14ac:dyDescent="0.3">
      <c r="B49" s="709"/>
      <c r="C49" s="709"/>
      <c r="D49" s="386">
        <f t="shared" ref="D49:G49" si="19">(D46+D23)</f>
        <v>0</v>
      </c>
      <c r="E49" s="386">
        <f t="shared" si="19"/>
        <v>40473.355878400005</v>
      </c>
      <c r="F49" s="386">
        <f t="shared" si="19"/>
        <v>75900.177612800006</v>
      </c>
      <c r="G49" s="386">
        <f t="shared" si="19"/>
        <v>101202.3427072</v>
      </c>
      <c r="H49" s="386">
        <f t="shared" ref="H49:V49" si="20">(H46+H23)</f>
        <v>128084.70855680002</v>
      </c>
      <c r="I49" s="386">
        <f t="shared" si="20"/>
        <v>160501.33073920003</v>
      </c>
      <c r="J49" s="386">
        <f t="shared" si="20"/>
        <v>200626.66342400003</v>
      </c>
      <c r="K49" s="386">
        <f t="shared" si="20"/>
        <v>250783.32928000001</v>
      </c>
      <c r="L49" s="386">
        <f t="shared" si="20"/>
        <v>313479.16159999999</v>
      </c>
      <c r="M49" s="386">
        <f t="shared" si="20"/>
        <v>428875.95199999999</v>
      </c>
      <c r="N49" s="386">
        <f>(N46+N23)</f>
        <v>579985.0675</v>
      </c>
      <c r="O49" s="386">
        <f t="shared" si="20"/>
        <v>756281.45739999996</v>
      </c>
      <c r="P49" s="386">
        <f t="shared" si="20"/>
        <v>906645.64039030159</v>
      </c>
      <c r="Q49" s="386">
        <f t="shared" si="20"/>
        <v>1091037.0954681421</v>
      </c>
      <c r="R49" s="386">
        <f t="shared" si="20"/>
        <v>1306874.1364993497</v>
      </c>
      <c r="S49" s="386">
        <f t="shared" si="20"/>
        <v>1556321.8491463894</v>
      </c>
      <c r="T49" s="386">
        <f t="shared" si="20"/>
        <v>1842840.1513464884</v>
      </c>
      <c r="U49" s="386">
        <f t="shared" si="20"/>
        <v>2169709.5681219185</v>
      </c>
      <c r="V49" s="386">
        <f t="shared" si="20"/>
        <v>2540477.5611802298</v>
      </c>
    </row>
    <row r="50" spans="2:24" ht="15.6" customHeight="1" x14ac:dyDescent="0.3">
      <c r="C50" s="441"/>
      <c r="F50" s="183">
        <f>(F49/E49)-1</f>
        <v>0.87531218910628406</v>
      </c>
      <c r="G50" s="183">
        <f t="shared" ref="G50:V50" si="21">(G49/F49)-1</f>
        <v>0.33336107885646071</v>
      </c>
      <c r="H50" s="183">
        <f t="shared" si="21"/>
        <v>0.26562987704125041</v>
      </c>
      <c r="I50" s="183">
        <f t="shared" si="21"/>
        <v>0.25308737122218328</v>
      </c>
      <c r="J50" s="183">
        <f t="shared" si="21"/>
        <v>0.25</v>
      </c>
      <c r="K50" s="183">
        <f t="shared" si="21"/>
        <v>0.24999999999999978</v>
      </c>
      <c r="L50" s="183">
        <f t="shared" si="21"/>
        <v>0.25</v>
      </c>
      <c r="M50" s="183">
        <f t="shared" si="21"/>
        <v>0.36811630416201813</v>
      </c>
      <c r="N50" s="183">
        <f t="shared" si="21"/>
        <v>0.35233758105420665</v>
      </c>
      <c r="O50" s="183">
        <f t="shared" si="21"/>
        <v>0.30396711877413973</v>
      </c>
      <c r="P50" s="183">
        <f t="shared" si="21"/>
        <v>0.19882040147755919</v>
      </c>
      <c r="Q50" s="183">
        <f t="shared" si="21"/>
        <v>0.20337764487397947</v>
      </c>
      <c r="R50" s="183">
        <f t="shared" si="21"/>
        <v>0.19782740836927859</v>
      </c>
      <c r="S50" s="183">
        <f t="shared" si="21"/>
        <v>0.19087355521107896</v>
      </c>
      <c r="T50" s="183">
        <f t="shared" si="21"/>
        <v>0.1840996464563216</v>
      </c>
      <c r="U50" s="183">
        <f t="shared" si="21"/>
        <v>0.17737263676211956</v>
      </c>
      <c r="V50" s="183">
        <f t="shared" si="21"/>
        <v>0.17088369729559916</v>
      </c>
    </row>
    <row r="51" spans="2:24" ht="15.6" customHeight="1" x14ac:dyDescent="0.3">
      <c r="B51" s="709" t="s">
        <v>227</v>
      </c>
      <c r="C51" s="709"/>
      <c r="F51" s="183"/>
      <c r="G51" s="183"/>
      <c r="H51" s="183"/>
      <c r="I51" s="183"/>
      <c r="J51" s="183"/>
      <c r="K51" s="183"/>
      <c r="L51" s="183"/>
      <c r="M51" s="183"/>
      <c r="N51" s="183"/>
      <c r="O51" s="183"/>
      <c r="P51" s="183"/>
      <c r="Q51" s="183"/>
      <c r="R51" s="183"/>
      <c r="S51" s="183"/>
      <c r="T51" s="183"/>
      <c r="U51" s="183"/>
      <c r="V51" s="183"/>
    </row>
    <row r="52" spans="2:24" x14ac:dyDescent="0.3">
      <c r="B52" s="709"/>
      <c r="C52" s="709"/>
      <c r="D52" s="387">
        <v>0</v>
      </c>
      <c r="E52" s="387">
        <v>0</v>
      </c>
      <c r="F52" s="387">
        <v>0</v>
      </c>
      <c r="G52" s="387">
        <v>0</v>
      </c>
      <c r="H52" s="387">
        <v>0</v>
      </c>
      <c r="I52" s="387">
        <v>0</v>
      </c>
      <c r="J52" s="386">
        <f>'Pro Forma'!C25</f>
        <v>238448</v>
      </c>
      <c r="K52" s="386">
        <f>'Pro Forma'!D25</f>
        <v>272223</v>
      </c>
      <c r="L52" s="386">
        <f>'Pro Forma'!I25</f>
        <v>364179</v>
      </c>
      <c r="M52" s="440">
        <v>543178</v>
      </c>
      <c r="N52" s="440">
        <v>593512.50750000007</v>
      </c>
      <c r="O52" s="440">
        <v>802842.59158035461</v>
      </c>
      <c r="P52" s="440">
        <v>1032938.4714076549</v>
      </c>
      <c r="Q52" s="440">
        <v>1304191.0199283673</v>
      </c>
      <c r="R52" s="440">
        <v>1629354.6499883388</v>
      </c>
      <c r="S52" s="440">
        <v>2020544.5560205495</v>
      </c>
      <c r="T52" s="440">
        <v>2491130.3395080701</v>
      </c>
      <c r="U52" s="440">
        <v>3056342.7765603969</v>
      </c>
      <c r="V52" s="440">
        <v>3734020.4793261262</v>
      </c>
      <c r="W52" s="442" t="s">
        <v>232</v>
      </c>
    </row>
    <row r="54" spans="2:24" x14ac:dyDescent="0.3">
      <c r="B54" s="395" t="s">
        <v>228</v>
      </c>
      <c r="C54" s="395"/>
      <c r="E54" s="183"/>
      <c r="J54" s="386">
        <f>J52-J49</f>
        <v>37821.336575999972</v>
      </c>
      <c r="K54" s="386">
        <f t="shared" ref="K54:V54" si="22">K52-K49</f>
        <v>21439.670719999995</v>
      </c>
      <c r="L54" s="386">
        <f t="shared" si="22"/>
        <v>50699.838400000008</v>
      </c>
      <c r="M54" s="386">
        <f>M52-M49</f>
        <v>114302.04800000001</v>
      </c>
      <c r="N54" s="386">
        <f>N52-N49</f>
        <v>13527.440000000061</v>
      </c>
      <c r="O54" s="386">
        <f t="shared" si="22"/>
        <v>46561.134180354653</v>
      </c>
      <c r="P54" s="386">
        <f t="shared" si="22"/>
        <v>126292.83101735334</v>
      </c>
      <c r="Q54" s="386">
        <f t="shared" si="22"/>
        <v>213153.92446022527</v>
      </c>
      <c r="R54" s="386">
        <f t="shared" si="22"/>
        <v>322480.51348898909</v>
      </c>
      <c r="S54" s="386">
        <f t="shared" si="22"/>
        <v>464222.7068741601</v>
      </c>
      <c r="T54" s="386">
        <f t="shared" si="22"/>
        <v>648290.18816158175</v>
      </c>
      <c r="U54" s="386">
        <f t="shared" si="22"/>
        <v>886633.20843847841</v>
      </c>
      <c r="V54" s="386">
        <f t="shared" si="22"/>
        <v>1193542.9181458964</v>
      </c>
    </row>
    <row r="55" spans="2:24" x14ac:dyDescent="0.3">
      <c r="B55" s="174" t="s">
        <v>229</v>
      </c>
      <c r="C55" s="174"/>
      <c r="J55" s="183">
        <f>J54/J52</f>
        <v>0.15861461021270873</v>
      </c>
      <c r="K55" s="183">
        <f t="shared" ref="K55:M55" si="23">K54/K52</f>
        <v>7.8757749051329221E-2</v>
      </c>
      <c r="L55" s="183">
        <f t="shared" si="23"/>
        <v>0.13921680931629776</v>
      </c>
      <c r="M55" s="183">
        <f t="shared" si="23"/>
        <v>0.21043202780672268</v>
      </c>
      <c r="X55" s="174"/>
    </row>
    <row r="56" spans="2:24" x14ac:dyDescent="0.3">
      <c r="B56" s="174" t="s">
        <v>231</v>
      </c>
      <c r="C56" s="174"/>
      <c r="N56" s="183">
        <v>0.15</v>
      </c>
      <c r="O56" s="181">
        <v>0.04</v>
      </c>
      <c r="P56" s="181">
        <v>0.02</v>
      </c>
      <c r="Q56" s="181">
        <v>0.02</v>
      </c>
      <c r="R56" s="181">
        <f t="shared" ref="R56:V56" si="24">IF(Q56-0.03&gt;=0,Q56-0.04,0)</f>
        <v>0</v>
      </c>
      <c r="S56" s="181">
        <f t="shared" si="24"/>
        <v>0</v>
      </c>
      <c r="T56" s="181">
        <f t="shared" si="24"/>
        <v>0</v>
      </c>
      <c r="U56" s="181">
        <f t="shared" si="24"/>
        <v>0</v>
      </c>
      <c r="V56" s="181">
        <f t="shared" si="24"/>
        <v>0</v>
      </c>
      <c r="X56" s="183"/>
    </row>
    <row r="57" spans="2:24" x14ac:dyDescent="0.3">
      <c r="B57" s="396" t="s">
        <v>230</v>
      </c>
      <c r="C57" s="396"/>
      <c r="N57" s="387">
        <f>N52+(N52*N56)</f>
        <v>682539.38362500002</v>
      </c>
      <c r="O57" s="387">
        <f t="shared" ref="O57:V57" si="25">O52+(O52*O56)</f>
        <v>834956.29524356883</v>
      </c>
      <c r="P57" s="387">
        <f t="shared" si="25"/>
        <v>1053597.240835808</v>
      </c>
      <c r="Q57" s="387">
        <f t="shared" si="25"/>
        <v>1330274.8403269346</v>
      </c>
      <c r="R57" s="387">
        <f t="shared" si="25"/>
        <v>1629354.6499883388</v>
      </c>
      <c r="S57" s="387">
        <f t="shared" si="25"/>
        <v>2020544.5560205495</v>
      </c>
      <c r="T57" s="387">
        <f t="shared" si="25"/>
        <v>2491130.3395080701</v>
      </c>
      <c r="U57" s="387">
        <f t="shared" si="25"/>
        <v>3056342.7765603969</v>
      </c>
      <c r="V57" s="387">
        <f t="shared" si="25"/>
        <v>3734020.4793261262</v>
      </c>
    </row>
  </sheetData>
  <mergeCells count="2">
    <mergeCell ref="B48:C49"/>
    <mergeCell ref="B51:C52"/>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B986A-BA02-4A3B-AF56-D7BE23B13C99}">
  <sheetPr>
    <pageSetUpPr autoPageBreaks="0"/>
  </sheetPr>
  <dimension ref="B2:R73"/>
  <sheetViews>
    <sheetView showGridLines="0" zoomScale="95" zoomScaleNormal="95" workbookViewId="0">
      <selection activeCell="A19" sqref="A19"/>
    </sheetView>
  </sheetViews>
  <sheetFormatPr defaultRowHeight="15.6" x14ac:dyDescent="0.3"/>
  <cols>
    <col min="1" max="1" width="8.88671875" style="104"/>
    <col min="2" max="2" width="27.88671875" style="104" bestFit="1" customWidth="1"/>
    <col min="3" max="3" width="12.33203125" style="104" customWidth="1"/>
    <col min="4" max="4" width="12.6640625" style="104" customWidth="1"/>
    <col min="5" max="5" width="8.88671875" style="104"/>
    <col min="6" max="6" width="11.21875" style="104" bestFit="1" customWidth="1"/>
    <col min="7" max="7" width="13.109375" style="104" customWidth="1"/>
    <col min="8" max="8" width="13.21875" style="104" customWidth="1"/>
    <col min="9" max="9" width="8.88671875" style="104"/>
    <col min="10" max="11" width="15.33203125" style="104" customWidth="1"/>
    <col min="12" max="15" width="8.88671875" style="104"/>
    <col min="16" max="16" width="11.21875" style="104" bestFit="1" customWidth="1"/>
    <col min="17" max="17" width="8.88671875" style="104"/>
    <col min="18" max="18" width="20.88671875" style="104" bestFit="1" customWidth="1"/>
    <col min="19" max="16384" width="8.88671875" style="104"/>
  </cols>
  <sheetData>
    <row r="2" spans="2:18" ht="13.8" customHeight="1" thickBot="1" x14ac:dyDescent="0.35">
      <c r="J2" s="449" t="s">
        <v>190</v>
      </c>
      <c r="K2" s="174"/>
    </row>
    <row r="3" spans="2:18" ht="14.4" customHeight="1" thickBot="1" x14ac:dyDescent="0.35">
      <c r="B3" s="670" t="s">
        <v>129</v>
      </c>
      <c r="C3" s="692" t="s">
        <v>387</v>
      </c>
      <c r="D3" s="691" t="s">
        <v>388</v>
      </c>
      <c r="F3" s="454" t="s">
        <v>149</v>
      </c>
      <c r="G3" s="455" t="s">
        <v>188</v>
      </c>
      <c r="H3" s="456" t="s">
        <v>189</v>
      </c>
      <c r="J3" s="457" t="s">
        <v>184</v>
      </c>
      <c r="K3" s="458" t="s">
        <v>235</v>
      </c>
      <c r="M3" s="575" t="s">
        <v>237</v>
      </c>
      <c r="N3" s="576"/>
      <c r="O3" s="576"/>
      <c r="P3" s="577"/>
    </row>
    <row r="4" spans="2:18" x14ac:dyDescent="0.3">
      <c r="B4" s="678" t="s">
        <v>131</v>
      </c>
      <c r="C4" s="679">
        <f>P4</f>
        <v>1.3633333333333333</v>
      </c>
      <c r="D4" s="680">
        <v>1</v>
      </c>
      <c r="F4" s="307">
        <v>44088</v>
      </c>
      <c r="G4" s="308">
        <v>10.050000000000001</v>
      </c>
      <c r="H4" s="309">
        <v>1536.780029</v>
      </c>
      <c r="J4" s="305" t="s">
        <v>70</v>
      </c>
      <c r="K4" s="306" t="s">
        <v>70</v>
      </c>
      <c r="M4" s="312" t="s">
        <v>236</v>
      </c>
      <c r="N4" s="313"/>
      <c r="O4" s="313"/>
      <c r="P4" s="314">
        <f>P9</f>
        <v>1.3633333333333333</v>
      </c>
    </row>
    <row r="5" spans="2:18" x14ac:dyDescent="0.3">
      <c r="B5" s="316" t="s">
        <v>132</v>
      </c>
      <c r="C5" s="671">
        <v>0.03</v>
      </c>
      <c r="D5" s="681">
        <f>C5</f>
        <v>0.03</v>
      </c>
      <c r="F5" s="184">
        <v>44095</v>
      </c>
      <c r="G5" s="310">
        <v>9.91</v>
      </c>
      <c r="H5" s="185">
        <v>1474.910034</v>
      </c>
      <c r="J5" s="186">
        <f t="shared" ref="J5:J36" si="0">(G5-G4)/G4</f>
        <v>-1.3930348258706524E-2</v>
      </c>
      <c r="K5" s="187">
        <f t="shared" ref="K5:K36" si="1">(H5-H4)/H4</f>
        <v>-4.0259499624197691E-2</v>
      </c>
      <c r="M5" s="315" t="s">
        <v>238</v>
      </c>
      <c r="N5" s="450"/>
      <c r="O5" s="450"/>
      <c r="P5" s="451">
        <f>SLOPE(J5:J73,K5:K73)</f>
        <v>0.81813727404188807</v>
      </c>
    </row>
    <row r="6" spans="2:18" x14ac:dyDescent="0.3">
      <c r="B6" s="316" t="s">
        <v>133</v>
      </c>
      <c r="C6" s="672">
        <f>C5+C7</f>
        <v>0.09</v>
      </c>
      <c r="D6" s="682">
        <f>D5+D7</f>
        <v>0.09</v>
      </c>
      <c r="F6" s="184">
        <v>44102</v>
      </c>
      <c r="G6" s="310">
        <v>9.93</v>
      </c>
      <c r="H6" s="185">
        <v>1539.3000489999999</v>
      </c>
      <c r="J6" s="186">
        <f t="shared" si="0"/>
        <v>2.0181634712411276E-3</v>
      </c>
      <c r="K6" s="187">
        <f t="shared" si="1"/>
        <v>4.3656910262771964E-2</v>
      </c>
      <c r="M6" s="316" t="s">
        <v>191</v>
      </c>
      <c r="N6" s="311"/>
      <c r="O6" s="311"/>
      <c r="P6" s="453">
        <v>0.91</v>
      </c>
    </row>
    <row r="7" spans="2:18" x14ac:dyDescent="0.3">
      <c r="B7" s="316" t="s">
        <v>134</v>
      </c>
      <c r="C7" s="671">
        <v>0.06</v>
      </c>
      <c r="D7" s="681">
        <f>C7</f>
        <v>0.06</v>
      </c>
      <c r="F7" s="184">
        <v>44109</v>
      </c>
      <c r="G7" s="310">
        <v>9.85</v>
      </c>
      <c r="H7" s="185">
        <v>1637.5500489999999</v>
      </c>
      <c r="J7" s="186">
        <f t="shared" si="0"/>
        <v>-8.0563947633434108E-3</v>
      </c>
      <c r="K7" s="187">
        <f t="shared" si="1"/>
        <v>6.3827711864121436E-2</v>
      </c>
      <c r="M7" s="316" t="s">
        <v>193</v>
      </c>
      <c r="N7" s="311"/>
      <c r="O7" s="311"/>
      <c r="P7" s="453">
        <v>1.56</v>
      </c>
    </row>
    <row r="8" spans="2:18" x14ac:dyDescent="0.3">
      <c r="B8" s="316" t="s">
        <v>135</v>
      </c>
      <c r="C8" s="673">
        <f>(C5+(C4*C7))</f>
        <v>0.1118</v>
      </c>
      <c r="D8" s="683">
        <f>(D5+(D4*D7))</f>
        <v>0.09</v>
      </c>
      <c r="F8" s="184">
        <v>44116</v>
      </c>
      <c r="G8" s="310">
        <v>9.9600000000000009</v>
      </c>
      <c r="H8" s="185">
        <v>1633.8100589999999</v>
      </c>
      <c r="J8" s="186">
        <f t="shared" si="0"/>
        <v>1.1167512690355453E-2</v>
      </c>
      <c r="K8" s="187">
        <f t="shared" si="1"/>
        <v>-2.2838935532284513E-3</v>
      </c>
      <c r="M8" s="316" t="s">
        <v>192</v>
      </c>
      <c r="N8" s="311"/>
      <c r="O8" s="311"/>
      <c r="P8" s="572">
        <v>0.53900000000000003</v>
      </c>
    </row>
    <row r="9" spans="2:18" ht="16.2" thickBot="1" x14ac:dyDescent="0.35">
      <c r="B9" s="316" t="s">
        <v>136</v>
      </c>
      <c r="C9" s="674">
        <f>Cover!$L$24</f>
        <v>1831.056</v>
      </c>
      <c r="D9" s="684">
        <f>Cover!$L$24</f>
        <v>1831.056</v>
      </c>
      <c r="F9" s="184">
        <v>44123</v>
      </c>
      <c r="G9" s="310">
        <v>9.75</v>
      </c>
      <c r="H9" s="185">
        <v>1640.5</v>
      </c>
      <c r="J9" s="186">
        <f t="shared" si="0"/>
        <v>-2.1084337349397676E-2</v>
      </c>
      <c r="K9" s="187">
        <f t="shared" si="1"/>
        <v>4.0946871168701078E-3</v>
      </c>
      <c r="M9" s="317" t="s">
        <v>343</v>
      </c>
      <c r="N9" s="318"/>
      <c r="O9" s="318"/>
      <c r="P9" s="573">
        <f>AVERAGE(Q12:Q20)</f>
        <v>1.3633333333333333</v>
      </c>
    </row>
    <row r="10" spans="2:18" ht="16.2" thickBot="1" x14ac:dyDescent="0.35">
      <c r="B10" s="685"/>
      <c r="C10" s="311"/>
      <c r="D10" s="564"/>
      <c r="F10" s="184">
        <v>44130</v>
      </c>
      <c r="G10" s="310">
        <v>9.7799999999999994</v>
      </c>
      <c r="H10" s="185">
        <v>1538.4799800000001</v>
      </c>
      <c r="J10" s="186">
        <f t="shared" si="0"/>
        <v>3.0769230769230114E-3</v>
      </c>
      <c r="K10" s="187">
        <f t="shared" si="1"/>
        <v>-6.2188369399573257E-2</v>
      </c>
    </row>
    <row r="11" spans="2:18" ht="16.2" thickBot="1" x14ac:dyDescent="0.35">
      <c r="B11" s="316" t="s">
        <v>137</v>
      </c>
      <c r="C11" s="675">
        <v>0</v>
      </c>
      <c r="D11" s="686">
        <v>0</v>
      </c>
      <c r="F11" s="184">
        <v>44137</v>
      </c>
      <c r="G11" s="310">
        <v>9.77</v>
      </c>
      <c r="H11" s="185">
        <v>1648.26001</v>
      </c>
      <c r="J11" s="186">
        <f t="shared" si="0"/>
        <v>-1.0224948875255406E-3</v>
      </c>
      <c r="K11" s="187">
        <f t="shared" si="1"/>
        <v>7.1356164153660223E-2</v>
      </c>
      <c r="M11" s="565" t="s">
        <v>324</v>
      </c>
      <c r="N11" s="452"/>
      <c r="O11" s="452"/>
      <c r="P11" s="452" t="s">
        <v>325</v>
      </c>
      <c r="Q11" s="566" t="s">
        <v>284</v>
      </c>
      <c r="R11" s="567" t="s">
        <v>326</v>
      </c>
    </row>
    <row r="12" spans="2:18" x14ac:dyDescent="0.3">
      <c r="B12" s="316" t="s">
        <v>138</v>
      </c>
      <c r="C12" s="675">
        <v>0</v>
      </c>
      <c r="D12" s="686">
        <v>0</v>
      </c>
      <c r="F12" s="184">
        <v>44144</v>
      </c>
      <c r="G12" s="310">
        <v>9.75</v>
      </c>
      <c r="H12" s="185">
        <v>1744.040039</v>
      </c>
      <c r="J12" s="186">
        <f t="shared" si="0"/>
        <v>-2.047082906857684E-3</v>
      </c>
      <c r="K12" s="187">
        <f t="shared" si="1"/>
        <v>5.8109781477984179E-2</v>
      </c>
      <c r="M12" s="316" t="s">
        <v>329</v>
      </c>
      <c r="N12" s="311"/>
      <c r="O12" s="311"/>
      <c r="P12" s="563">
        <v>44508</v>
      </c>
      <c r="Q12" s="311">
        <v>1.26</v>
      </c>
      <c r="R12" s="564" t="s">
        <v>330</v>
      </c>
    </row>
    <row r="13" spans="2:18" x14ac:dyDescent="0.3">
      <c r="B13" s="316" t="s">
        <v>139</v>
      </c>
      <c r="C13" s="675">
        <f>C12</f>
        <v>0</v>
      </c>
      <c r="D13" s="686">
        <f>D12</f>
        <v>0</v>
      </c>
      <c r="F13" s="184">
        <v>44151</v>
      </c>
      <c r="G13" s="310">
        <v>9.85</v>
      </c>
      <c r="H13" s="185">
        <v>1785.339966</v>
      </c>
      <c r="J13" s="186">
        <f t="shared" si="0"/>
        <v>1.025641025641022E-2</v>
      </c>
      <c r="K13" s="187">
        <f t="shared" si="1"/>
        <v>2.3680607140006162E-2</v>
      </c>
      <c r="M13" s="316" t="s">
        <v>331</v>
      </c>
      <c r="N13" s="311"/>
      <c r="O13" s="311"/>
      <c r="P13" s="563">
        <v>44211</v>
      </c>
      <c r="Q13" s="311">
        <v>1.34</v>
      </c>
      <c r="R13" s="564" t="s">
        <v>332</v>
      </c>
    </row>
    <row r="14" spans="2:18" x14ac:dyDescent="0.3">
      <c r="B14" s="316" t="s">
        <v>140</v>
      </c>
      <c r="C14" s="675">
        <f>C13</f>
        <v>0</v>
      </c>
      <c r="D14" s="686">
        <f>D13</f>
        <v>0</v>
      </c>
      <c r="F14" s="184">
        <v>44158</v>
      </c>
      <c r="G14" s="310">
        <v>9.8699999999999992</v>
      </c>
      <c r="H14" s="185">
        <v>1855.2700199999999</v>
      </c>
      <c r="J14" s="186">
        <f t="shared" si="0"/>
        <v>2.0304568527918349E-3</v>
      </c>
      <c r="K14" s="187">
        <f t="shared" si="1"/>
        <v>3.9169040816733683E-2</v>
      </c>
      <c r="M14" s="316" t="s">
        <v>334</v>
      </c>
      <c r="N14" s="311"/>
      <c r="O14" s="311"/>
      <c r="P14" s="563">
        <v>44166</v>
      </c>
      <c r="Q14" s="311">
        <v>1.01</v>
      </c>
      <c r="R14" s="564" t="s">
        <v>335</v>
      </c>
    </row>
    <row r="15" spans="2:18" x14ac:dyDescent="0.3">
      <c r="B15" s="316" t="s">
        <v>141</v>
      </c>
      <c r="C15" s="671">
        <v>0.25</v>
      </c>
      <c r="D15" s="681">
        <v>0.25</v>
      </c>
      <c r="F15" s="184">
        <v>44165</v>
      </c>
      <c r="G15" s="310">
        <v>9.99</v>
      </c>
      <c r="H15" s="185">
        <v>1892.4499510000001</v>
      </c>
      <c r="J15" s="186">
        <f t="shared" si="0"/>
        <v>1.2158054711246303E-2</v>
      </c>
      <c r="K15" s="187">
        <f t="shared" si="1"/>
        <v>2.0040172373399386E-2</v>
      </c>
      <c r="M15" s="316" t="s">
        <v>336</v>
      </c>
      <c r="N15" s="311"/>
      <c r="O15" s="311"/>
      <c r="P15" s="563">
        <v>44165</v>
      </c>
      <c r="Q15" s="311">
        <v>0.85</v>
      </c>
      <c r="R15" s="564" t="s">
        <v>332</v>
      </c>
    </row>
    <row r="16" spans="2:18" x14ac:dyDescent="0.3">
      <c r="B16" s="316" t="s">
        <v>142</v>
      </c>
      <c r="C16" s="673">
        <f>(1-C15)</f>
        <v>0.75</v>
      </c>
      <c r="D16" s="683">
        <f>(1-D15)</f>
        <v>0.75</v>
      </c>
      <c r="F16" s="184">
        <v>44172</v>
      </c>
      <c r="G16" s="310">
        <v>10.1</v>
      </c>
      <c r="H16" s="185">
        <v>1911.6999510000001</v>
      </c>
      <c r="J16" s="186">
        <f t="shared" si="0"/>
        <v>1.1011011011010954E-2</v>
      </c>
      <c r="K16" s="187">
        <f t="shared" si="1"/>
        <v>1.0171999523595326E-2</v>
      </c>
      <c r="M16" s="316" t="s">
        <v>337</v>
      </c>
      <c r="N16" s="311"/>
      <c r="O16" s="311"/>
      <c r="P16" s="563">
        <v>44162</v>
      </c>
      <c r="Q16" s="311">
        <v>0.8</v>
      </c>
      <c r="R16" s="564" t="s">
        <v>328</v>
      </c>
    </row>
    <row r="17" spans="2:18" x14ac:dyDescent="0.3">
      <c r="B17" s="316" t="s">
        <v>143</v>
      </c>
      <c r="C17" s="675">
        <v>0</v>
      </c>
      <c r="D17" s="686">
        <v>0</v>
      </c>
      <c r="F17" s="184">
        <v>44179</v>
      </c>
      <c r="G17" s="310">
        <v>10.164999999999999</v>
      </c>
      <c r="H17" s="185">
        <v>1969.98999</v>
      </c>
      <c r="J17" s="186">
        <f t="shared" si="0"/>
        <v>6.4356435643563867E-3</v>
      </c>
      <c r="K17" s="187">
        <f t="shared" si="1"/>
        <v>3.0491207037751281E-2</v>
      </c>
      <c r="M17" s="316" t="s">
        <v>338</v>
      </c>
      <c r="N17" s="311"/>
      <c r="O17" s="311"/>
      <c r="P17" s="563">
        <v>44154</v>
      </c>
      <c r="Q17" s="311">
        <v>4.04</v>
      </c>
      <c r="R17" s="564" t="s">
        <v>327</v>
      </c>
    </row>
    <row r="18" spans="2:18" x14ac:dyDescent="0.3">
      <c r="B18" s="685"/>
      <c r="C18" s="311"/>
      <c r="D18" s="564"/>
      <c r="F18" s="184">
        <v>44186</v>
      </c>
      <c r="G18" s="310">
        <v>10.5</v>
      </c>
      <c r="H18" s="185">
        <v>2003.9499510000001</v>
      </c>
      <c r="J18" s="186">
        <f t="shared" si="0"/>
        <v>3.2956222331529846E-2</v>
      </c>
      <c r="K18" s="187">
        <f t="shared" si="1"/>
        <v>1.7238646476574238E-2</v>
      </c>
      <c r="M18" s="316" t="s">
        <v>339</v>
      </c>
      <c r="N18" s="311"/>
      <c r="O18" s="311"/>
      <c r="P18" s="563">
        <v>44137</v>
      </c>
      <c r="Q18" s="311">
        <v>0.84</v>
      </c>
      <c r="R18" s="564" t="s">
        <v>340</v>
      </c>
    </row>
    <row r="19" spans="2:18" x14ac:dyDescent="0.3">
      <c r="B19" s="685" t="s">
        <v>144</v>
      </c>
      <c r="C19" s="673">
        <f>(C9/(C9+C13))*C8</f>
        <v>0.1118</v>
      </c>
      <c r="D19" s="683">
        <f>(D9/(D9+D13))*D8</f>
        <v>0.09</v>
      </c>
      <c r="F19" s="184">
        <v>44193</v>
      </c>
      <c r="G19" s="310">
        <v>10.26</v>
      </c>
      <c r="H19" s="185">
        <v>1974.8599850000001</v>
      </c>
      <c r="J19" s="186">
        <f t="shared" si="0"/>
        <v>-2.2857142857142878E-2</v>
      </c>
      <c r="K19" s="187">
        <f t="shared" si="1"/>
        <v>-1.4516313636218154E-2</v>
      </c>
      <c r="M19" s="316" t="s">
        <v>341</v>
      </c>
      <c r="N19" s="311"/>
      <c r="O19" s="311"/>
      <c r="P19" s="563">
        <v>44137</v>
      </c>
      <c r="Q19" s="311">
        <v>0.87</v>
      </c>
      <c r="R19" s="564" t="s">
        <v>330</v>
      </c>
    </row>
    <row r="20" spans="2:18" x14ac:dyDescent="0.3">
      <c r="B20" s="685" t="s">
        <v>145</v>
      </c>
      <c r="C20" s="673">
        <f>(C13/(C13+C9))*C17</f>
        <v>0</v>
      </c>
      <c r="D20" s="683">
        <f>(D13/(D13+D9))*D17</f>
        <v>0</v>
      </c>
      <c r="F20" s="184">
        <v>44200</v>
      </c>
      <c r="G20" s="310">
        <v>10.382999999999999</v>
      </c>
      <c r="H20" s="185">
        <v>2091.6599120000001</v>
      </c>
      <c r="J20" s="186">
        <f t="shared" si="0"/>
        <v>1.1988304093567187E-2</v>
      </c>
      <c r="K20" s="187">
        <f t="shared" si="1"/>
        <v>5.9143396436785886E-2</v>
      </c>
      <c r="M20" s="316" t="s">
        <v>342</v>
      </c>
      <c r="N20" s="311"/>
      <c r="O20" s="311"/>
      <c r="P20" s="563">
        <v>44116</v>
      </c>
      <c r="Q20" s="311">
        <v>1.26</v>
      </c>
      <c r="R20" s="564" t="s">
        <v>330</v>
      </c>
    </row>
    <row r="21" spans="2:18" ht="16.2" thickBot="1" x14ac:dyDescent="0.35">
      <c r="B21" s="685" t="s">
        <v>322</v>
      </c>
      <c r="C21" s="676">
        <v>7.4999999999999997E-3</v>
      </c>
      <c r="D21" s="561">
        <f>C21-0.0025</f>
        <v>4.9999999999999992E-3</v>
      </c>
      <c r="F21" s="184">
        <v>44207</v>
      </c>
      <c r="G21" s="310">
        <v>10.5</v>
      </c>
      <c r="H21" s="185">
        <v>2123.1999510000001</v>
      </c>
      <c r="J21" s="186">
        <f t="shared" si="0"/>
        <v>1.1268419531927275E-2</v>
      </c>
      <c r="K21" s="187">
        <f t="shared" si="1"/>
        <v>1.5078951802371196E-2</v>
      </c>
      <c r="M21" s="568" t="s">
        <v>333</v>
      </c>
      <c r="N21" s="569"/>
      <c r="O21" s="569"/>
      <c r="P21" s="570">
        <v>44088</v>
      </c>
      <c r="Q21" s="574" t="s">
        <v>70</v>
      </c>
      <c r="R21" s="571" t="s">
        <v>328</v>
      </c>
    </row>
    <row r="22" spans="2:18" x14ac:dyDescent="0.3">
      <c r="B22" s="685" t="s">
        <v>146</v>
      </c>
      <c r="C22" s="673">
        <f>(C19+C20+C21)</f>
        <v>0.11929999999999999</v>
      </c>
      <c r="D22" s="683">
        <f>(D19+D20+D21)</f>
        <v>9.5000000000000001E-2</v>
      </c>
      <c r="F22" s="184">
        <v>44214</v>
      </c>
      <c r="G22" s="310">
        <v>10.55</v>
      </c>
      <c r="H22" s="185">
        <v>2168.76001</v>
      </c>
      <c r="J22" s="186">
        <f t="shared" si="0"/>
        <v>4.76190476190483E-3</v>
      </c>
      <c r="K22" s="187">
        <f t="shared" si="1"/>
        <v>2.1458204621068167E-2</v>
      </c>
    </row>
    <row r="23" spans="2:18" x14ac:dyDescent="0.3">
      <c r="B23" s="685" t="s">
        <v>147</v>
      </c>
      <c r="C23" s="677">
        <v>5.6000000000000001E-2</v>
      </c>
      <c r="D23" s="687">
        <v>5.6000000000000001E-2</v>
      </c>
      <c r="F23" s="184">
        <v>44221</v>
      </c>
      <c r="G23" s="310">
        <v>10.3</v>
      </c>
      <c r="H23" s="185">
        <v>2073.639893</v>
      </c>
      <c r="J23" s="186">
        <f t="shared" si="0"/>
        <v>-2.3696682464454975E-2</v>
      </c>
      <c r="K23" s="187">
        <f t="shared" si="1"/>
        <v>-4.3859217507427176E-2</v>
      </c>
    </row>
    <row r="24" spans="2:18" ht="16.2" thickBot="1" x14ac:dyDescent="0.35">
      <c r="B24" s="688" t="s">
        <v>148</v>
      </c>
      <c r="C24" s="689">
        <f>C22</f>
        <v>0.11929999999999999</v>
      </c>
      <c r="D24" s="690">
        <f>D22</f>
        <v>9.5000000000000001E-2</v>
      </c>
      <c r="F24" s="184">
        <v>44228</v>
      </c>
      <c r="G24" s="310">
        <v>10.62</v>
      </c>
      <c r="H24" s="185">
        <v>2233.330078</v>
      </c>
      <c r="J24" s="186">
        <f t="shared" si="0"/>
        <v>3.1067961165048397E-2</v>
      </c>
      <c r="K24" s="187">
        <f t="shared" si="1"/>
        <v>7.7009603036220106E-2</v>
      </c>
    </row>
    <row r="25" spans="2:18" x14ac:dyDescent="0.3">
      <c r="F25" s="184">
        <v>44235</v>
      </c>
      <c r="G25" s="310">
        <v>11.03</v>
      </c>
      <c r="H25" s="185">
        <v>2289.360107</v>
      </c>
      <c r="J25" s="186">
        <f t="shared" si="0"/>
        <v>3.8606403013182689E-2</v>
      </c>
      <c r="K25" s="187">
        <f t="shared" si="1"/>
        <v>2.5088109255294779E-2</v>
      </c>
    </row>
    <row r="26" spans="2:18" ht="16.2" thickBot="1" x14ac:dyDescent="0.35">
      <c r="F26" s="184">
        <v>44242</v>
      </c>
      <c r="G26" s="310">
        <v>11.06</v>
      </c>
      <c r="H26" s="185">
        <v>2266.6899410000001</v>
      </c>
      <c r="J26" s="186">
        <f t="shared" si="0"/>
        <v>2.7198549410699128E-3</v>
      </c>
      <c r="K26" s="187">
        <f t="shared" si="1"/>
        <v>-9.9024028289315703E-3</v>
      </c>
    </row>
    <row r="27" spans="2:18" ht="16.2" thickBot="1" x14ac:dyDescent="0.35">
      <c r="B27" s="319" t="s">
        <v>130</v>
      </c>
      <c r="C27" s="669"/>
      <c r="D27" s="320">
        <v>0.02</v>
      </c>
      <c r="F27" s="184">
        <v>44249</v>
      </c>
      <c r="G27" s="310">
        <v>10.69</v>
      </c>
      <c r="H27" s="185">
        <v>2201.0500489999999</v>
      </c>
      <c r="J27" s="186">
        <f t="shared" si="0"/>
        <v>-3.3453887884267716E-2</v>
      </c>
      <c r="K27" s="187">
        <f t="shared" si="1"/>
        <v>-2.8958478534140256E-2</v>
      </c>
    </row>
    <row r="28" spans="2:18" x14ac:dyDescent="0.3">
      <c r="F28" s="184">
        <v>44256</v>
      </c>
      <c r="G28" s="310">
        <v>9.98</v>
      </c>
      <c r="H28" s="185">
        <v>2192.209961</v>
      </c>
      <c r="J28" s="186">
        <f t="shared" si="0"/>
        <v>-6.6417212347988697E-2</v>
      </c>
      <c r="K28" s="187">
        <f t="shared" si="1"/>
        <v>-4.01630485595556E-3</v>
      </c>
    </row>
    <row r="29" spans="2:18" x14ac:dyDescent="0.3">
      <c r="F29" s="184">
        <v>44263</v>
      </c>
      <c r="G29" s="310">
        <v>9.9499999999999993</v>
      </c>
      <c r="H29" s="185">
        <v>2352.790039</v>
      </c>
      <c r="J29" s="186">
        <f t="shared" si="0"/>
        <v>-3.0060120240482098E-3</v>
      </c>
      <c r="K29" s="187">
        <f t="shared" si="1"/>
        <v>7.325031856289424E-2</v>
      </c>
    </row>
    <row r="30" spans="2:18" x14ac:dyDescent="0.3">
      <c r="F30" s="184">
        <v>44270</v>
      </c>
      <c r="G30" s="310">
        <v>9.8800000000000008</v>
      </c>
      <c r="H30" s="185">
        <v>2287.5500489999999</v>
      </c>
      <c r="J30" s="186">
        <f t="shared" si="0"/>
        <v>-7.0351758793968351E-3</v>
      </c>
      <c r="K30" s="187">
        <f t="shared" si="1"/>
        <v>-2.7728776864309069E-2</v>
      </c>
    </row>
    <row r="31" spans="2:18" x14ac:dyDescent="0.3">
      <c r="F31" s="184">
        <v>44277</v>
      </c>
      <c r="G31" s="310">
        <v>9.91</v>
      </c>
      <c r="H31" s="185">
        <v>2221.4799800000001</v>
      </c>
      <c r="J31" s="186">
        <f t="shared" si="0"/>
        <v>3.0364372469634977E-3</v>
      </c>
      <c r="K31" s="187">
        <f t="shared" si="1"/>
        <v>-2.8882458343974741E-2</v>
      </c>
    </row>
    <row r="32" spans="2:18" x14ac:dyDescent="0.3">
      <c r="F32" s="184">
        <v>44284</v>
      </c>
      <c r="G32" s="310">
        <v>9.9</v>
      </c>
      <c r="H32" s="185">
        <v>2253.8999020000001</v>
      </c>
      <c r="J32" s="186">
        <f t="shared" si="0"/>
        <v>-1.0090817356205638E-3</v>
      </c>
      <c r="K32" s="187">
        <f t="shared" si="1"/>
        <v>1.4593839373695388E-2</v>
      </c>
    </row>
    <row r="33" spans="6:11" x14ac:dyDescent="0.3">
      <c r="F33" s="184">
        <v>44291</v>
      </c>
      <c r="G33" s="310">
        <v>9.9700000000000006</v>
      </c>
      <c r="H33" s="185">
        <v>2243.469971</v>
      </c>
      <c r="J33" s="186">
        <f t="shared" si="0"/>
        <v>7.0707070707070989E-3</v>
      </c>
      <c r="K33" s="187">
        <f t="shared" si="1"/>
        <v>-4.6275040833646227E-3</v>
      </c>
    </row>
    <row r="34" spans="6:11" x14ac:dyDescent="0.3">
      <c r="F34" s="184">
        <v>44298</v>
      </c>
      <c r="G34" s="310">
        <v>9.8800000000000008</v>
      </c>
      <c r="H34" s="185">
        <v>2262.669922</v>
      </c>
      <c r="J34" s="186">
        <f t="shared" si="0"/>
        <v>-9.0270812437311786E-3</v>
      </c>
      <c r="K34" s="187">
        <f t="shared" si="1"/>
        <v>8.5581493169894791E-3</v>
      </c>
    </row>
    <row r="35" spans="6:11" x14ac:dyDescent="0.3">
      <c r="F35" s="184">
        <v>44305</v>
      </c>
      <c r="G35" s="310">
        <v>9.9600000000000009</v>
      </c>
      <c r="H35" s="185">
        <v>2271.860107</v>
      </c>
      <c r="J35" s="186">
        <f t="shared" si="0"/>
        <v>8.097165991902841E-3</v>
      </c>
      <c r="K35" s="187">
        <f t="shared" si="1"/>
        <v>4.0616551758802799E-3</v>
      </c>
    </row>
    <row r="36" spans="6:11" x14ac:dyDescent="0.3">
      <c r="F36" s="184">
        <v>44312</v>
      </c>
      <c r="G36" s="310">
        <v>9.94</v>
      </c>
      <c r="H36" s="185">
        <v>2266.4499510000001</v>
      </c>
      <c r="J36" s="186">
        <f t="shared" si="0"/>
        <v>-2.0080321285141918E-3</v>
      </c>
      <c r="K36" s="187">
        <f t="shared" si="1"/>
        <v>-2.3813772614476899E-3</v>
      </c>
    </row>
    <row r="37" spans="6:11" x14ac:dyDescent="0.3">
      <c r="F37" s="184">
        <v>44319</v>
      </c>
      <c r="G37" s="310">
        <v>9.99</v>
      </c>
      <c r="H37" s="185">
        <v>2271.6298830000001</v>
      </c>
      <c r="J37" s="186">
        <f t="shared" ref="J37:J73" si="2">(G37-G36)/G36</f>
        <v>5.0301810865191867E-3</v>
      </c>
      <c r="K37" s="187">
        <f t="shared" ref="K37:K73" si="3">(H37-H36)/H36</f>
        <v>2.2854826323054364E-3</v>
      </c>
    </row>
    <row r="38" spans="6:11" x14ac:dyDescent="0.3">
      <c r="F38" s="184">
        <v>44326</v>
      </c>
      <c r="G38" s="310">
        <v>9.9</v>
      </c>
      <c r="H38" s="185">
        <v>2224.6298830000001</v>
      </c>
      <c r="J38" s="186">
        <f t="shared" si="2"/>
        <v>-9.0090090090089951E-3</v>
      </c>
      <c r="K38" s="187">
        <f t="shared" si="3"/>
        <v>-2.0689990192385578E-2</v>
      </c>
    </row>
    <row r="39" spans="6:11" x14ac:dyDescent="0.3">
      <c r="F39" s="184">
        <v>44333</v>
      </c>
      <c r="G39" s="310">
        <v>9.9</v>
      </c>
      <c r="H39" s="185">
        <v>2215.2700199999999</v>
      </c>
      <c r="J39" s="186">
        <f t="shared" si="2"/>
        <v>0</v>
      </c>
      <c r="K39" s="187">
        <f t="shared" si="3"/>
        <v>-4.2073798754235885E-3</v>
      </c>
    </row>
    <row r="40" spans="6:11" x14ac:dyDescent="0.3">
      <c r="F40" s="184">
        <v>44340</v>
      </c>
      <c r="G40" s="310">
        <v>9.9</v>
      </c>
      <c r="H40" s="185">
        <v>2268.969971</v>
      </c>
      <c r="J40" s="186">
        <f t="shared" si="2"/>
        <v>0</v>
      </c>
      <c r="K40" s="187">
        <f t="shared" si="3"/>
        <v>2.4240815121941685E-2</v>
      </c>
    </row>
    <row r="41" spans="6:11" x14ac:dyDescent="0.3">
      <c r="F41" s="184">
        <v>44347</v>
      </c>
      <c r="G41" s="310">
        <v>9.94</v>
      </c>
      <c r="H41" s="185">
        <v>2286.4099120000001</v>
      </c>
      <c r="J41" s="186">
        <f t="shared" si="2"/>
        <v>4.0404040404039545E-3</v>
      </c>
      <c r="K41" s="187">
        <f t="shared" si="3"/>
        <v>7.6862810979881806E-3</v>
      </c>
    </row>
    <row r="42" spans="6:11" x14ac:dyDescent="0.3">
      <c r="F42" s="184">
        <v>44354</v>
      </c>
      <c r="G42" s="310">
        <v>9.98</v>
      </c>
      <c r="H42" s="185">
        <v>2335.8100589999999</v>
      </c>
      <c r="J42" s="186">
        <f t="shared" si="2"/>
        <v>4.0241448692153849E-3</v>
      </c>
      <c r="K42" s="187">
        <f t="shared" si="3"/>
        <v>2.1605988821482958E-2</v>
      </c>
    </row>
    <row r="43" spans="6:11" x14ac:dyDescent="0.3">
      <c r="F43" s="184">
        <v>44361</v>
      </c>
      <c r="G43" s="310">
        <v>9.9600000000000009</v>
      </c>
      <c r="H43" s="185">
        <v>2237.75</v>
      </c>
      <c r="J43" s="186">
        <f t="shared" si="2"/>
        <v>-2.0040080160320215E-3</v>
      </c>
      <c r="K43" s="187">
        <f t="shared" si="3"/>
        <v>-4.1981178487595472E-2</v>
      </c>
    </row>
    <row r="44" spans="6:11" x14ac:dyDescent="0.3">
      <c r="F44" s="184">
        <v>44368</v>
      </c>
      <c r="G44" s="310">
        <v>9.9499999999999993</v>
      </c>
      <c r="H44" s="185">
        <v>2334.3999020000001</v>
      </c>
      <c r="J44" s="186">
        <f t="shared" si="2"/>
        <v>-1.004016064257185E-3</v>
      </c>
      <c r="K44" s="187">
        <f t="shared" si="3"/>
        <v>4.3190661155178244E-2</v>
      </c>
    </row>
    <row r="45" spans="6:11" x14ac:dyDescent="0.3">
      <c r="F45" s="184">
        <v>44375</v>
      </c>
      <c r="G45" s="310">
        <v>9.98</v>
      </c>
      <c r="H45" s="185">
        <v>2305.76001</v>
      </c>
      <c r="J45" s="186">
        <f t="shared" si="2"/>
        <v>3.0150753768845365E-3</v>
      </c>
      <c r="K45" s="187">
        <f t="shared" si="3"/>
        <v>-1.2268631426630408E-2</v>
      </c>
    </row>
    <row r="46" spans="6:11" x14ac:dyDescent="0.3">
      <c r="F46" s="184">
        <v>44382</v>
      </c>
      <c r="G46" s="310">
        <v>9.98</v>
      </c>
      <c r="H46" s="185">
        <v>2280</v>
      </c>
      <c r="J46" s="186">
        <f t="shared" si="2"/>
        <v>0</v>
      </c>
      <c r="K46" s="187">
        <f t="shared" si="3"/>
        <v>-1.1172025661074747E-2</v>
      </c>
    </row>
    <row r="47" spans="6:11" x14ac:dyDescent="0.3">
      <c r="F47" s="184">
        <v>44389</v>
      </c>
      <c r="G47" s="310">
        <v>9.1300000000000008</v>
      </c>
      <c r="H47" s="185">
        <v>2163.23999</v>
      </c>
      <c r="J47" s="186">
        <f t="shared" si="2"/>
        <v>-8.5170340681362686E-2</v>
      </c>
      <c r="K47" s="187">
        <f t="shared" si="3"/>
        <v>-5.1210530701754374E-2</v>
      </c>
    </row>
    <row r="48" spans="6:11" x14ac:dyDescent="0.3">
      <c r="F48" s="184">
        <v>44396</v>
      </c>
      <c r="G48" s="310">
        <v>10.925000000000001</v>
      </c>
      <c r="H48" s="185">
        <v>2209.6499020000001</v>
      </c>
      <c r="J48" s="186">
        <f t="shared" si="2"/>
        <v>0.19660460021905801</v>
      </c>
      <c r="K48" s="187">
        <f t="shared" si="3"/>
        <v>2.1453889635241107E-2</v>
      </c>
    </row>
    <row r="49" spans="6:11" x14ac:dyDescent="0.3">
      <c r="F49" s="184">
        <v>44403</v>
      </c>
      <c r="G49" s="310">
        <v>14.07</v>
      </c>
      <c r="H49" s="185">
        <v>2226.25</v>
      </c>
      <c r="J49" s="186">
        <f t="shared" si="2"/>
        <v>0.28787185354691069</v>
      </c>
      <c r="K49" s="187">
        <f t="shared" si="3"/>
        <v>7.5125466640551496E-3</v>
      </c>
    </row>
    <row r="50" spans="6:11" x14ac:dyDescent="0.3">
      <c r="F50" s="184">
        <v>44410</v>
      </c>
      <c r="G50" s="310">
        <v>12.77</v>
      </c>
      <c r="H50" s="185">
        <v>2247.76001</v>
      </c>
      <c r="J50" s="186">
        <f t="shared" si="2"/>
        <v>-9.2395167022032737E-2</v>
      </c>
      <c r="K50" s="187">
        <f t="shared" si="3"/>
        <v>9.661992139247599E-3</v>
      </c>
    </row>
    <row r="51" spans="6:11" x14ac:dyDescent="0.3">
      <c r="F51" s="184">
        <v>44417</v>
      </c>
      <c r="G51" s="310">
        <v>10.029999999999999</v>
      </c>
      <c r="H51" s="185">
        <v>2223.110107</v>
      </c>
      <c r="J51" s="186">
        <f t="shared" si="2"/>
        <v>-0.21456538762725139</v>
      </c>
      <c r="K51" s="187">
        <f t="shared" si="3"/>
        <v>-1.0966430086101583E-2</v>
      </c>
    </row>
    <row r="52" spans="6:11" x14ac:dyDescent="0.3">
      <c r="F52" s="184">
        <v>44424</v>
      </c>
      <c r="G52" s="310">
        <v>8.15</v>
      </c>
      <c r="H52" s="185">
        <v>2167.6000979999999</v>
      </c>
      <c r="J52" s="186">
        <f t="shared" si="2"/>
        <v>-0.18743768693918236</v>
      </c>
      <c r="K52" s="187">
        <f t="shared" si="3"/>
        <v>-2.4969527521472457E-2</v>
      </c>
    </row>
    <row r="53" spans="6:11" x14ac:dyDescent="0.3">
      <c r="F53" s="184">
        <v>44431</v>
      </c>
      <c r="G53" s="310">
        <v>7.37</v>
      </c>
      <c r="H53" s="185">
        <v>2277.1499020000001</v>
      </c>
      <c r="J53" s="186">
        <f t="shared" si="2"/>
        <v>-9.5705521472392668E-2</v>
      </c>
      <c r="K53" s="187">
        <f t="shared" si="3"/>
        <v>5.0539674777224625E-2</v>
      </c>
    </row>
    <row r="54" spans="6:11" x14ac:dyDescent="0.3">
      <c r="F54" s="184">
        <v>44438</v>
      </c>
      <c r="G54" s="310">
        <v>9.2100000000000009</v>
      </c>
      <c r="H54" s="185">
        <v>2292.0500489999999</v>
      </c>
      <c r="J54" s="186">
        <f t="shared" si="2"/>
        <v>0.24966078697421989</v>
      </c>
      <c r="K54" s="187">
        <f t="shared" si="3"/>
        <v>6.5433316387793223E-3</v>
      </c>
    </row>
    <row r="55" spans="6:11" x14ac:dyDescent="0.3">
      <c r="F55" s="184">
        <v>44445</v>
      </c>
      <c r="G55" s="310">
        <v>8.61</v>
      </c>
      <c r="H55" s="185">
        <v>2227.5500489999999</v>
      </c>
      <c r="J55" s="186">
        <f t="shared" si="2"/>
        <v>-6.5146579804560414E-2</v>
      </c>
      <c r="K55" s="187">
        <f t="shared" si="3"/>
        <v>-2.8140746764295461E-2</v>
      </c>
    </row>
    <row r="56" spans="6:11" x14ac:dyDescent="0.3">
      <c r="F56" s="184">
        <v>44452</v>
      </c>
      <c r="G56" s="310">
        <v>8.5500000000000007</v>
      </c>
      <c r="H56" s="185">
        <v>2236.8701169999999</v>
      </c>
      <c r="J56" s="186">
        <f t="shared" si="2"/>
        <v>-6.9686411149824301E-3</v>
      </c>
      <c r="K56" s="187">
        <f t="shared" si="3"/>
        <v>4.1839993692550214E-3</v>
      </c>
    </row>
    <row r="57" spans="6:11" x14ac:dyDescent="0.3">
      <c r="F57" s="184">
        <v>44459</v>
      </c>
      <c r="G57" s="310">
        <v>8.16</v>
      </c>
      <c r="H57" s="185">
        <v>2248.070068</v>
      </c>
      <c r="J57" s="186">
        <f t="shared" si="2"/>
        <v>-4.5614035087719364E-2</v>
      </c>
      <c r="K57" s="187">
        <f t="shared" si="3"/>
        <v>5.0069742158391287E-3</v>
      </c>
    </row>
    <row r="58" spans="6:11" x14ac:dyDescent="0.3">
      <c r="F58" s="184">
        <v>44466</v>
      </c>
      <c r="G58" s="310">
        <v>7.92</v>
      </c>
      <c r="H58" s="185">
        <v>2241.6298830000001</v>
      </c>
      <c r="J58" s="186">
        <f t="shared" si="2"/>
        <v>-2.9411764705882377E-2</v>
      </c>
      <c r="K58" s="187">
        <f t="shared" si="3"/>
        <v>-2.864761686778496E-3</v>
      </c>
    </row>
    <row r="59" spans="6:11" x14ac:dyDescent="0.3">
      <c r="F59" s="184">
        <v>44473</v>
      </c>
      <c r="G59" s="310">
        <v>6.96</v>
      </c>
      <c r="H59" s="185">
        <v>2233.0900879999999</v>
      </c>
      <c r="J59" s="186">
        <f t="shared" si="2"/>
        <v>-0.12121212121212122</v>
      </c>
      <c r="K59" s="187">
        <f t="shared" si="3"/>
        <v>-3.8096364902894808E-3</v>
      </c>
    </row>
    <row r="60" spans="6:11" x14ac:dyDescent="0.3">
      <c r="F60" s="184">
        <v>44480</v>
      </c>
      <c r="G60" s="310">
        <v>7.08</v>
      </c>
      <c r="H60" s="185">
        <v>2265.6499020000001</v>
      </c>
      <c r="J60" s="186">
        <f t="shared" si="2"/>
        <v>1.7241379310344845E-2</v>
      </c>
      <c r="K60" s="187">
        <f t="shared" si="3"/>
        <v>1.4580609253055888E-2</v>
      </c>
    </row>
    <row r="61" spans="6:11" x14ac:dyDescent="0.3">
      <c r="F61" s="184">
        <v>44487</v>
      </c>
      <c r="G61" s="310">
        <v>7</v>
      </c>
      <c r="H61" s="185">
        <v>2291.2700199999999</v>
      </c>
      <c r="J61" s="186">
        <f t="shared" si="2"/>
        <v>-1.1299435028248598E-2</v>
      </c>
      <c r="K61" s="187">
        <f t="shared" si="3"/>
        <v>1.1308065724269088E-2</v>
      </c>
    </row>
    <row r="62" spans="6:11" x14ac:dyDescent="0.3">
      <c r="F62" s="184">
        <v>44494</v>
      </c>
      <c r="G62" s="310">
        <v>6.99</v>
      </c>
      <c r="H62" s="185">
        <v>2297.1899410000001</v>
      </c>
      <c r="J62" s="186">
        <f t="shared" si="2"/>
        <v>-1.4285714285713982E-3</v>
      </c>
      <c r="K62" s="187">
        <f t="shared" si="3"/>
        <v>2.5836854444593826E-3</v>
      </c>
    </row>
    <row r="63" spans="6:11" x14ac:dyDescent="0.3">
      <c r="F63" s="184">
        <v>44501</v>
      </c>
      <c r="G63" s="310">
        <v>7.91</v>
      </c>
      <c r="H63" s="185">
        <v>2437.080078</v>
      </c>
      <c r="J63" s="186">
        <f t="shared" si="2"/>
        <v>0.13161659513590843</v>
      </c>
      <c r="K63" s="187">
        <f t="shared" si="3"/>
        <v>6.0896199527629681E-2</v>
      </c>
    </row>
    <row r="64" spans="6:11" x14ac:dyDescent="0.3">
      <c r="F64" s="184">
        <v>44508</v>
      </c>
      <c r="G64" s="310">
        <v>7.61</v>
      </c>
      <c r="H64" s="185">
        <v>2411.780029</v>
      </c>
      <c r="J64" s="186">
        <f t="shared" si="2"/>
        <v>-3.7926675094816661E-2</v>
      </c>
      <c r="K64" s="187">
        <f t="shared" si="3"/>
        <v>-1.0381295726959672E-2</v>
      </c>
    </row>
    <row r="65" spans="6:11" x14ac:dyDescent="0.3">
      <c r="F65" s="184">
        <v>44515</v>
      </c>
      <c r="G65" s="310">
        <v>7.3</v>
      </c>
      <c r="H65" s="185">
        <v>2343.1599120000001</v>
      </c>
      <c r="J65" s="186">
        <f t="shared" si="2"/>
        <v>-4.0735873850197175E-2</v>
      </c>
      <c r="K65" s="187">
        <f t="shared" si="3"/>
        <v>-2.8452062864311883E-2</v>
      </c>
    </row>
    <row r="66" spans="6:11" x14ac:dyDescent="0.3">
      <c r="F66" s="184">
        <v>44522</v>
      </c>
      <c r="G66" s="310">
        <v>7.25</v>
      </c>
      <c r="H66" s="185">
        <v>2245.9399410000001</v>
      </c>
      <c r="J66" s="186">
        <f t="shared" si="2"/>
        <v>-6.8493150684931269E-3</v>
      </c>
      <c r="K66" s="187">
        <f t="shared" si="3"/>
        <v>-4.1490967177318275E-2</v>
      </c>
    </row>
    <row r="67" spans="6:11" x14ac:dyDescent="0.3">
      <c r="F67" s="184">
        <v>44529</v>
      </c>
      <c r="G67" s="310">
        <v>6</v>
      </c>
      <c r="H67" s="185">
        <v>2159.3100589999999</v>
      </c>
      <c r="J67" s="186">
        <f t="shared" si="2"/>
        <v>-0.17241379310344829</v>
      </c>
      <c r="K67" s="187">
        <f t="shared" si="3"/>
        <v>-3.8571771407844686E-2</v>
      </c>
    </row>
    <row r="68" spans="6:11" x14ac:dyDescent="0.3">
      <c r="F68" s="184">
        <v>44536</v>
      </c>
      <c r="G68" s="310">
        <v>6.25</v>
      </c>
      <c r="H68" s="185">
        <v>2211.8100589999999</v>
      </c>
      <c r="J68" s="186">
        <f t="shared" si="2"/>
        <v>4.1666666666666664E-2</v>
      </c>
      <c r="K68" s="187">
        <f t="shared" si="3"/>
        <v>2.4313321646967794E-2</v>
      </c>
    </row>
    <row r="69" spans="6:11" x14ac:dyDescent="0.3">
      <c r="F69" s="184">
        <v>44543</v>
      </c>
      <c r="G69" s="310">
        <v>5.87</v>
      </c>
      <c r="H69" s="185">
        <v>2173.929932</v>
      </c>
      <c r="J69" s="186">
        <f t="shared" si="2"/>
        <v>-6.0799999999999986E-2</v>
      </c>
      <c r="K69" s="187">
        <f t="shared" si="3"/>
        <v>-1.7126301983239105E-2</v>
      </c>
    </row>
    <row r="70" spans="6:11" x14ac:dyDescent="0.3">
      <c r="F70" s="184">
        <v>44550</v>
      </c>
      <c r="G70" s="310">
        <v>7.3</v>
      </c>
      <c r="H70" s="185">
        <v>2241.580078</v>
      </c>
      <c r="J70" s="186">
        <f t="shared" si="2"/>
        <v>0.24361158432708682</v>
      </c>
      <c r="K70" s="187">
        <f t="shared" si="3"/>
        <v>3.1118825406558664E-2</v>
      </c>
    </row>
    <row r="71" spans="6:11" x14ac:dyDescent="0.3">
      <c r="F71" s="184">
        <v>44557</v>
      </c>
      <c r="G71" s="310">
        <v>7.54</v>
      </c>
      <c r="H71" s="185">
        <v>2245.3100589999999</v>
      </c>
      <c r="J71" s="186">
        <f t="shared" si="2"/>
        <v>3.2876712328767155E-2</v>
      </c>
      <c r="K71" s="187">
        <f t="shared" si="3"/>
        <v>1.6639963196532087E-3</v>
      </c>
    </row>
    <row r="72" spans="6:11" x14ac:dyDescent="0.3">
      <c r="F72" s="184">
        <v>44564</v>
      </c>
      <c r="G72" s="310">
        <v>6.79</v>
      </c>
      <c r="H72" s="185">
        <v>2179.8100589999999</v>
      </c>
      <c r="J72" s="186">
        <f t="shared" si="2"/>
        <v>-9.9469496021220155E-2</v>
      </c>
      <c r="K72" s="187">
        <f t="shared" si="3"/>
        <v>-2.9171917587708096E-2</v>
      </c>
    </row>
    <row r="73" spans="6:11" ht="16.2" thickBot="1" x14ac:dyDescent="0.35">
      <c r="F73" s="188">
        <v>44571</v>
      </c>
      <c r="G73" s="189">
        <v>6.49</v>
      </c>
      <c r="H73" s="190">
        <v>2171.1499020000001</v>
      </c>
      <c r="J73" s="191">
        <f t="shared" si="2"/>
        <v>-4.4182621502209106E-2</v>
      </c>
      <c r="K73" s="192">
        <f t="shared" si="3"/>
        <v>-3.9728952365568468E-3</v>
      </c>
    </row>
  </sheetData>
  <pageMargins left="0.7" right="0.7" top="0.75" bottom="0.75" header="0.3" footer="0.3"/>
  <pageSetup orientation="portrait" verticalDpi="0" r:id="rId1"/>
  <ignoredErrors>
    <ignoredError sqref="D6" formula="1"/>
  </ignoredError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FB6E8-CB6A-4663-8A11-D65A2C07F756}">
  <sheetPr>
    <pageSetUpPr autoPageBreaks="0"/>
  </sheetPr>
  <dimension ref="B1:S70"/>
  <sheetViews>
    <sheetView showGridLines="0" zoomScale="75" zoomScaleNormal="75" workbookViewId="0">
      <pane xSplit="1" ySplit="5" topLeftCell="B30" activePane="bottomRight" state="frozen"/>
      <selection pane="topRight" activeCell="B1" sqref="B1"/>
      <selection pane="bottomLeft" activeCell="A5" sqref="A5"/>
      <selection pane="bottomRight" activeCell="P76" sqref="P76"/>
    </sheetView>
  </sheetViews>
  <sheetFormatPr defaultRowHeight="15.6" outlineLevelRow="1" x14ac:dyDescent="0.3"/>
  <cols>
    <col min="1" max="1" width="8.88671875" style="104"/>
    <col min="2" max="2" width="40.109375" style="104" bestFit="1" customWidth="1"/>
    <col min="3" max="3" width="8.6640625" style="104" customWidth="1"/>
    <col min="4" max="4" width="12.33203125" style="104" customWidth="1"/>
    <col min="5" max="5" width="17" style="104" bestFit="1" customWidth="1"/>
    <col min="6" max="6" width="8.77734375" style="104" customWidth="1"/>
    <col min="7" max="8" width="9.44140625" style="104" customWidth="1"/>
    <col min="9" max="9" width="17" style="104" customWidth="1"/>
    <col min="10" max="10" width="13.77734375" style="104" customWidth="1"/>
    <col min="11" max="11" width="13.109375" style="104" customWidth="1"/>
    <col min="12" max="12" width="11.44140625" style="104" customWidth="1"/>
    <col min="13" max="13" width="11.6640625" style="104" bestFit="1" customWidth="1"/>
    <col min="14" max="14" width="11.88671875" style="104" bestFit="1" customWidth="1"/>
    <col min="15" max="15" width="12.6640625" style="104" bestFit="1" customWidth="1"/>
    <col min="16" max="16" width="12.6640625" style="104" customWidth="1"/>
    <col min="17" max="17" width="13.33203125" style="104" bestFit="1" customWidth="1"/>
    <col min="18" max="18" width="12.21875" style="104" customWidth="1"/>
    <col min="19" max="16384" width="8.88671875" style="104"/>
  </cols>
  <sheetData>
    <row r="1" spans="2:19" ht="16.2" thickBot="1" x14ac:dyDescent="0.35">
      <c r="B1" s="529" t="s">
        <v>223</v>
      </c>
      <c r="C1" s="530" t="s">
        <v>312</v>
      </c>
      <c r="D1" s="534"/>
      <c r="E1" s="531" t="s">
        <v>313</v>
      </c>
      <c r="F1" s="535"/>
      <c r="G1" s="532" t="s">
        <v>314</v>
      </c>
      <c r="H1" s="533"/>
    </row>
    <row r="3" spans="2:19" ht="16.2" thickBot="1" x14ac:dyDescent="0.35">
      <c r="B3" s="104" t="s">
        <v>288</v>
      </c>
      <c r="L3" s="487" t="s">
        <v>282</v>
      </c>
      <c r="M3" s="487"/>
      <c r="Q3" s="487"/>
    </row>
    <row r="4" spans="2:19" ht="16.2" thickBot="1" x14ac:dyDescent="0.35">
      <c r="B4" s="471" t="s">
        <v>157</v>
      </c>
      <c r="C4" s="472" t="s">
        <v>158</v>
      </c>
      <c r="D4" s="472" t="s">
        <v>242</v>
      </c>
      <c r="E4" s="474" t="s">
        <v>276</v>
      </c>
      <c r="F4" s="472" t="s">
        <v>284</v>
      </c>
      <c r="G4" s="472" t="s">
        <v>285</v>
      </c>
      <c r="H4" s="472" t="s">
        <v>286</v>
      </c>
      <c r="I4" s="472" t="s">
        <v>287</v>
      </c>
      <c r="J4" s="582" t="s">
        <v>356</v>
      </c>
      <c r="K4" s="475"/>
      <c r="L4" s="481" t="s">
        <v>256</v>
      </c>
      <c r="M4" s="472" t="s">
        <v>283</v>
      </c>
      <c r="N4" s="643" t="s">
        <v>255</v>
      </c>
      <c r="O4" s="643" t="s">
        <v>377</v>
      </c>
      <c r="P4" s="643" t="s">
        <v>379</v>
      </c>
      <c r="Q4" s="473" t="s">
        <v>257</v>
      </c>
    </row>
    <row r="5" spans="2:19" x14ac:dyDescent="0.3">
      <c r="B5" s="553" t="s">
        <v>279</v>
      </c>
      <c r="C5" s="554" t="s">
        <v>184</v>
      </c>
      <c r="D5" s="555">
        <f>Cover!L12</f>
        <v>5.98</v>
      </c>
      <c r="E5" s="556">
        <f>Cover!L24</f>
        <v>1831.056</v>
      </c>
      <c r="F5" s="557">
        <f>Tables!T2</f>
        <v>1.3633333333333333</v>
      </c>
      <c r="G5" s="558">
        <f>Tables!T9*100</f>
        <v>5.3035242928432407</v>
      </c>
      <c r="H5" s="558">
        <f>Tables!T10*100</f>
        <v>4.6589246509300342</v>
      </c>
      <c r="I5" s="559">
        <f>'Pro Forma'!L33</f>
        <v>0.88890073720204454</v>
      </c>
      <c r="J5" s="552">
        <f>'Pro Forma'!L66</f>
        <v>0.28081213077694128</v>
      </c>
      <c r="K5" s="488"/>
      <c r="L5" s="489">
        <f>D5/DCF!H14</f>
        <v>10.136529177535792</v>
      </c>
      <c r="M5" s="490">
        <f>D5/('Pro Forma'!N25/(DCF!R23-20000))</f>
        <v>3.739878555464323</v>
      </c>
      <c r="N5" s="489">
        <f>D5/'Pro Forma'!N103</f>
        <v>22.609805973286694</v>
      </c>
      <c r="O5" s="489">
        <f>D5/('Pro Forma'!N64/DCF!R23)</f>
        <v>27.01378397911191</v>
      </c>
      <c r="P5" s="490">
        <f>(Cover!L25*1000)/'Pro Forma'!N55</f>
        <v>20.560740251854231</v>
      </c>
      <c r="Q5" s="657">
        <f>(Cover!L25*1000)/'Pro Forma'!N64</f>
        <v>21.275476579217667</v>
      </c>
    </row>
    <row r="7" spans="2:19" ht="16.2" x14ac:dyDescent="0.35">
      <c r="B7" s="537" t="s">
        <v>277</v>
      </c>
      <c r="C7" s="491"/>
      <c r="D7" s="491"/>
      <c r="E7" s="491"/>
      <c r="F7" s="491"/>
      <c r="G7" s="491"/>
      <c r="H7" s="491"/>
      <c r="I7" s="491"/>
      <c r="J7" s="491"/>
      <c r="K7" s="491"/>
      <c r="L7" s="491"/>
      <c r="M7" s="491"/>
      <c r="N7" s="491"/>
      <c r="O7" s="491"/>
      <c r="P7" s="491"/>
      <c r="Q7" s="492"/>
    </row>
    <row r="9" spans="2:19" x14ac:dyDescent="0.3">
      <c r="B9" s="497" t="s">
        <v>246</v>
      </c>
      <c r="C9" s="499" t="s">
        <v>268</v>
      </c>
      <c r="D9" s="500">
        <v>33.22</v>
      </c>
      <c r="E9" s="501">
        <v>906</v>
      </c>
      <c r="F9" s="502">
        <v>1.41</v>
      </c>
      <c r="G9" s="503">
        <v>30.72</v>
      </c>
      <c r="H9" s="503">
        <v>21.66</v>
      </c>
      <c r="I9" s="504">
        <v>0.78400000000000003</v>
      </c>
      <c r="J9" s="504">
        <v>8.3000000000000004E-2</v>
      </c>
      <c r="K9" s="500"/>
      <c r="L9" s="503">
        <v>1.5</v>
      </c>
      <c r="M9" s="503">
        <v>0.56999999999999995</v>
      </c>
      <c r="N9" s="503">
        <v>2.92</v>
      </c>
      <c r="O9" s="503">
        <f>D9/(276.7/29.5)</f>
        <v>3.5417058185760752</v>
      </c>
      <c r="P9" s="503">
        <v>3.6</v>
      </c>
      <c r="Q9" s="503">
        <v>33.869999999999997</v>
      </c>
      <c r="S9" s="104" t="s">
        <v>298</v>
      </c>
    </row>
    <row r="10" spans="2:19" x14ac:dyDescent="0.3">
      <c r="B10" s="498" t="s">
        <v>243</v>
      </c>
      <c r="C10" s="505" t="s">
        <v>266</v>
      </c>
      <c r="D10" s="506">
        <v>125.71</v>
      </c>
      <c r="E10" s="507">
        <v>5602</v>
      </c>
      <c r="F10" s="508">
        <v>1.64</v>
      </c>
      <c r="G10" s="509">
        <v>61.71</v>
      </c>
      <c r="H10" s="509">
        <v>49.36</v>
      </c>
      <c r="I10" s="510">
        <v>0.98499999999999999</v>
      </c>
      <c r="J10" s="510">
        <v>0.253</v>
      </c>
      <c r="K10" s="506"/>
      <c r="L10" s="509">
        <v>5.05</v>
      </c>
      <c r="M10" s="509">
        <v>1.77</v>
      </c>
      <c r="N10" s="509">
        <v>13.07</v>
      </c>
      <c r="O10" s="509">
        <f>D10/(593.7/42.6)</f>
        <v>9.0201212733703873</v>
      </c>
      <c r="P10" s="509">
        <v>5.4</v>
      </c>
      <c r="Q10" s="509">
        <v>6.79</v>
      </c>
      <c r="S10" s="104" t="s">
        <v>290</v>
      </c>
    </row>
    <row r="11" spans="2:19" x14ac:dyDescent="0.3">
      <c r="B11" s="511" t="s">
        <v>346</v>
      </c>
      <c r="C11" s="512" t="s">
        <v>272</v>
      </c>
      <c r="D11" s="513">
        <v>428.71</v>
      </c>
      <c r="E11" s="514">
        <v>16204</v>
      </c>
      <c r="F11" s="515">
        <v>0.78</v>
      </c>
      <c r="G11" s="516">
        <v>42.22</v>
      </c>
      <c r="H11" s="516">
        <v>26.73</v>
      </c>
      <c r="I11" s="517">
        <v>0.66300000000000003</v>
      </c>
      <c r="J11" s="517">
        <v>0.29799999999999999</v>
      </c>
      <c r="K11" s="513"/>
      <c r="L11" s="516">
        <v>29.69</v>
      </c>
      <c r="M11" s="516">
        <v>10.15</v>
      </c>
      <c r="N11" s="516">
        <v>41.38</v>
      </c>
      <c r="O11" s="516">
        <f>D11/(474/38.6)</f>
        <v>34.911827004219411</v>
      </c>
      <c r="P11" s="516">
        <v>24.9</v>
      </c>
      <c r="Q11" s="516">
        <v>30</v>
      </c>
      <c r="S11" s="104" t="s">
        <v>289</v>
      </c>
    </row>
    <row r="12" spans="2:19" x14ac:dyDescent="0.3">
      <c r="B12" s="498" t="s">
        <v>264</v>
      </c>
      <c r="C12" s="505" t="s">
        <v>271</v>
      </c>
      <c r="D12" s="506">
        <v>516.69000000000005</v>
      </c>
      <c r="E12" s="507">
        <v>42599</v>
      </c>
      <c r="F12" s="508">
        <v>1</v>
      </c>
      <c r="G12" s="509">
        <v>-190.66</v>
      </c>
      <c r="H12" s="509">
        <v>22.6</v>
      </c>
      <c r="I12" s="510">
        <v>0.82799999999999996</v>
      </c>
      <c r="J12" s="510">
        <v>0.52200000000000002</v>
      </c>
      <c r="K12" s="506"/>
      <c r="L12" s="509">
        <v>49.65</v>
      </c>
      <c r="M12" s="509">
        <v>22.27</v>
      </c>
      <c r="N12" s="509">
        <v>65.989999999999995</v>
      </c>
      <c r="O12" s="509">
        <f>D12/(1072.7/83.5)</f>
        <v>40.219646685932695</v>
      </c>
      <c r="P12" s="509">
        <v>45.1</v>
      </c>
      <c r="Q12" s="509">
        <v>44.33</v>
      </c>
      <c r="S12" s="104" t="s">
        <v>291</v>
      </c>
    </row>
    <row r="13" spans="2:19" x14ac:dyDescent="0.3">
      <c r="B13" s="497" t="s">
        <v>244</v>
      </c>
      <c r="C13" s="499" t="s">
        <v>267</v>
      </c>
      <c r="D13" s="500">
        <v>157.9</v>
      </c>
      <c r="E13" s="501">
        <v>2823</v>
      </c>
      <c r="F13" s="502">
        <v>1.41</v>
      </c>
      <c r="G13" s="503">
        <v>36.729999999999997</v>
      </c>
      <c r="H13" s="503">
        <v>30.38</v>
      </c>
      <c r="I13" s="504">
        <v>0.97299999999999998</v>
      </c>
      <c r="J13" s="504">
        <v>6.4000000000000001E-2</v>
      </c>
      <c r="K13" s="500"/>
      <c r="L13" s="503">
        <v>1.91</v>
      </c>
      <c r="M13" s="503">
        <v>1.52</v>
      </c>
      <c r="N13" s="503">
        <v>15.76</v>
      </c>
      <c r="O13" s="503">
        <f>D13/(93.7/14.9)</f>
        <v>25.108964781216649</v>
      </c>
      <c r="P13" s="503">
        <v>8.5</v>
      </c>
      <c r="Q13" s="503">
        <v>20.010000000000002</v>
      </c>
      <c r="S13" s="104" t="s">
        <v>292</v>
      </c>
    </row>
    <row r="14" spans="2:19" x14ac:dyDescent="0.3">
      <c r="B14" s="498" t="s">
        <v>347</v>
      </c>
      <c r="C14" s="505" t="s">
        <v>269</v>
      </c>
      <c r="D14" s="506">
        <v>104.94</v>
      </c>
      <c r="E14" s="507">
        <v>25097</v>
      </c>
      <c r="F14" s="508">
        <v>1.1599999999999999</v>
      </c>
      <c r="G14" s="509">
        <v>22.12</v>
      </c>
      <c r="H14" s="509">
        <v>15.92</v>
      </c>
      <c r="I14" s="510">
        <v>0.96</v>
      </c>
      <c r="J14" s="510">
        <v>0.19700000000000001</v>
      </c>
      <c r="K14" s="506"/>
      <c r="L14" s="509">
        <v>2.98</v>
      </c>
      <c r="M14" s="509">
        <v>2.29</v>
      </c>
      <c r="N14" s="509">
        <v>14.89</v>
      </c>
      <c r="O14" s="509">
        <f>D14/(2004/211.2)</f>
        <v>11.059544910179641</v>
      </c>
      <c r="P14" s="524" t="s">
        <v>70</v>
      </c>
      <c r="Q14" s="509">
        <v>7.87</v>
      </c>
      <c r="S14" s="104" t="s">
        <v>293</v>
      </c>
    </row>
    <row r="15" spans="2:19" x14ac:dyDescent="0.3">
      <c r="B15" s="511" t="s">
        <v>241</v>
      </c>
      <c r="C15" s="512" t="s">
        <v>357</v>
      </c>
      <c r="D15" s="513">
        <v>424.15</v>
      </c>
      <c r="E15" s="514">
        <v>102220</v>
      </c>
      <c r="F15" s="515">
        <v>1.01</v>
      </c>
      <c r="G15" s="516">
        <v>323.64999999999998</v>
      </c>
      <c r="H15" s="516">
        <v>60.81</v>
      </c>
      <c r="I15" s="517">
        <v>0.71899999999999997</v>
      </c>
      <c r="J15" s="517">
        <v>0.51500000000000001</v>
      </c>
      <c r="K15" s="513"/>
      <c r="L15" s="516">
        <v>22.8</v>
      </c>
      <c r="M15" s="516">
        <v>12.69</v>
      </c>
      <c r="N15" s="516">
        <v>36.28</v>
      </c>
      <c r="O15" s="516">
        <f>D15/(3784/242.1)</f>
        <v>27.137081131078222</v>
      </c>
      <c r="P15" s="516">
        <v>20.7</v>
      </c>
      <c r="Q15" s="516">
        <v>21.37</v>
      </c>
      <c r="S15" s="104" t="s">
        <v>294</v>
      </c>
    </row>
    <row r="16" spans="2:19" x14ac:dyDescent="0.3">
      <c r="B16" s="497" t="s">
        <v>245</v>
      </c>
      <c r="C16" s="499" t="s">
        <v>270</v>
      </c>
      <c r="D16" s="500">
        <v>70.400000000000006</v>
      </c>
      <c r="E16" s="501">
        <v>7377</v>
      </c>
      <c r="F16" s="502">
        <v>1.42</v>
      </c>
      <c r="G16" s="503">
        <v>17.91</v>
      </c>
      <c r="H16" s="503">
        <v>11.86</v>
      </c>
      <c r="I16" s="504">
        <v>0.98499999999999999</v>
      </c>
      <c r="J16" s="504">
        <v>0.191</v>
      </c>
      <c r="K16" s="500"/>
      <c r="L16" s="503">
        <v>3.64</v>
      </c>
      <c r="M16" s="503">
        <v>1.85</v>
      </c>
      <c r="N16" s="503">
        <v>15.44</v>
      </c>
      <c r="O16" s="503">
        <f>D16/(1178.2/118.5)</f>
        <v>7.0806314717365471</v>
      </c>
      <c r="P16" s="520" t="s">
        <v>70</v>
      </c>
      <c r="Q16" s="503">
        <v>6.72</v>
      </c>
      <c r="S16" s="104" t="s">
        <v>295</v>
      </c>
    </row>
    <row r="17" spans="2:19" x14ac:dyDescent="0.3">
      <c r="B17" s="174"/>
      <c r="D17" s="182"/>
      <c r="E17" s="385"/>
      <c r="F17" s="385"/>
      <c r="G17" s="385"/>
      <c r="H17" s="385"/>
      <c r="I17" s="385"/>
      <c r="J17" s="385"/>
      <c r="K17" s="182"/>
      <c r="L17" s="477"/>
      <c r="M17" s="477"/>
      <c r="N17" s="477"/>
      <c r="O17" s="477"/>
      <c r="P17" s="477"/>
      <c r="Q17" s="477"/>
    </row>
    <row r="18" spans="2:19" x14ac:dyDescent="0.3">
      <c r="B18" s="536" t="s">
        <v>278</v>
      </c>
      <c r="C18" s="478"/>
      <c r="D18" s="479">
        <f>AVERAGE(D9:D16)</f>
        <v>232.71500000000003</v>
      </c>
      <c r="E18" s="480">
        <f t="shared" ref="E18:J18" si="0">AVERAGE(E9:E16)</f>
        <v>25353.5</v>
      </c>
      <c r="F18" s="479">
        <f t="shared" si="0"/>
        <v>1.22875</v>
      </c>
      <c r="G18" s="486">
        <f t="shared" si="0"/>
        <v>43.050000000000004</v>
      </c>
      <c r="H18" s="486">
        <f t="shared" si="0"/>
        <v>29.914999999999999</v>
      </c>
      <c r="I18" s="485">
        <f t="shared" si="0"/>
        <v>0.86212500000000014</v>
      </c>
      <c r="J18" s="485">
        <f t="shared" si="0"/>
        <v>0.26537500000000003</v>
      </c>
      <c r="K18" s="479"/>
      <c r="L18" s="486">
        <f>AVERAGE(L9:L16)</f>
        <v>14.6525</v>
      </c>
      <c r="M18" s="486">
        <f>AVERAGE(M9:M16)</f>
        <v>6.6387499999999999</v>
      </c>
      <c r="N18" s="486">
        <f t="shared" ref="N18:Q18" si="1">AVERAGE(N9:N16)</f>
        <v>25.716249999999999</v>
      </c>
      <c r="O18" s="486">
        <f t="shared" si="1"/>
        <v>19.759940384538705</v>
      </c>
      <c r="P18" s="486">
        <f t="shared" si="1"/>
        <v>18.033333333333335</v>
      </c>
      <c r="Q18" s="583">
        <f t="shared" si="1"/>
        <v>21.37</v>
      </c>
    </row>
    <row r="19" spans="2:19" x14ac:dyDescent="0.3">
      <c r="D19" s="182"/>
      <c r="E19" s="385"/>
      <c r="F19" s="385"/>
      <c r="G19" s="385"/>
      <c r="H19" s="385"/>
      <c r="I19" s="385"/>
      <c r="J19" s="385"/>
      <c r="K19" s="182"/>
      <c r="L19" s="477"/>
      <c r="M19" s="477"/>
      <c r="N19" s="477"/>
      <c r="O19" s="477"/>
      <c r="P19" s="477"/>
      <c r="Q19" s="477"/>
    </row>
    <row r="20" spans="2:19" ht="16.2" x14ac:dyDescent="0.35">
      <c r="B20" s="537" t="s">
        <v>247</v>
      </c>
      <c r="C20" s="491"/>
      <c r="D20" s="493"/>
      <c r="E20" s="494"/>
      <c r="F20" s="494"/>
      <c r="G20" s="494"/>
      <c r="H20" s="494"/>
      <c r="I20" s="494"/>
      <c r="J20" s="494"/>
      <c r="K20" s="493"/>
      <c r="L20" s="495"/>
      <c r="M20" s="495"/>
      <c r="N20" s="495"/>
      <c r="O20" s="495"/>
      <c r="P20" s="495"/>
      <c r="Q20" s="658"/>
    </row>
    <row r="21" spans="2:19" x14ac:dyDescent="0.3">
      <c r="D21" s="182"/>
      <c r="E21" s="385"/>
      <c r="F21" s="385"/>
      <c r="G21" s="385"/>
      <c r="H21" s="385"/>
      <c r="I21" s="385"/>
      <c r="J21" s="385"/>
      <c r="K21" s="182"/>
      <c r="L21" s="477"/>
      <c r="M21" s="477"/>
      <c r="N21" s="477"/>
      <c r="O21" s="477"/>
      <c r="P21" s="477"/>
      <c r="Q21" s="477"/>
    </row>
    <row r="22" spans="2:19" x14ac:dyDescent="0.3">
      <c r="B22" s="511" t="s">
        <v>248</v>
      </c>
      <c r="C22" s="512" t="s">
        <v>258</v>
      </c>
      <c r="D22" s="513">
        <v>74.53</v>
      </c>
      <c r="E22" s="514">
        <v>4073</v>
      </c>
      <c r="F22" s="518">
        <v>1.24</v>
      </c>
      <c r="G22" s="516">
        <v>15.18</v>
      </c>
      <c r="H22" s="516">
        <v>8.16</v>
      </c>
      <c r="I22" s="517">
        <v>0.69399999999999995</v>
      </c>
      <c r="J22" s="517">
        <v>7.1999999999999995E-2</v>
      </c>
      <c r="K22" s="513"/>
      <c r="L22" s="516">
        <v>42.88</v>
      </c>
      <c r="M22" s="516">
        <v>74.53</v>
      </c>
      <c r="N22" s="516">
        <v>29</v>
      </c>
      <c r="O22" s="516">
        <f>D22/(68.7/53.6)</f>
        <v>58.148588064046578</v>
      </c>
      <c r="P22" s="516">
        <v>27.1</v>
      </c>
      <c r="Q22" s="516">
        <v>67.040000000000006</v>
      </c>
      <c r="S22" s="104" t="s">
        <v>297</v>
      </c>
    </row>
    <row r="23" spans="2:19" x14ac:dyDescent="0.3">
      <c r="B23" s="497" t="s">
        <v>252</v>
      </c>
      <c r="C23" s="499" t="s">
        <v>262</v>
      </c>
      <c r="D23" s="500">
        <v>435.94</v>
      </c>
      <c r="E23" s="501">
        <v>11927</v>
      </c>
      <c r="F23" s="519">
        <v>1.28</v>
      </c>
      <c r="G23" s="503">
        <v>183.24</v>
      </c>
      <c r="H23" s="503">
        <v>36.35</v>
      </c>
      <c r="I23" s="504">
        <v>0.747</v>
      </c>
      <c r="J23" s="504">
        <v>0.314</v>
      </c>
      <c r="K23" s="500"/>
      <c r="L23" s="503">
        <v>27.97</v>
      </c>
      <c r="M23" s="503">
        <v>9.69</v>
      </c>
      <c r="N23" s="503">
        <v>33.35</v>
      </c>
      <c r="O23" s="503">
        <f>D23/(413.3/29.3)</f>
        <v>30.905013307524801</v>
      </c>
      <c r="P23" s="503">
        <v>26.6</v>
      </c>
      <c r="Q23" s="503">
        <v>30.03</v>
      </c>
      <c r="S23" s="104" t="s">
        <v>299</v>
      </c>
    </row>
    <row r="24" spans="2:19" x14ac:dyDescent="0.3">
      <c r="B24" s="497" t="s">
        <v>249</v>
      </c>
      <c r="C24" s="499" t="s">
        <v>259</v>
      </c>
      <c r="D24" s="500">
        <v>11.79</v>
      </c>
      <c r="E24" s="501">
        <v>1156</v>
      </c>
      <c r="F24" s="519">
        <v>0.51</v>
      </c>
      <c r="G24" s="503">
        <v>-53.89</v>
      </c>
      <c r="H24" s="503">
        <v>-23.52</v>
      </c>
      <c r="I24" s="504">
        <v>0.75700000000000001</v>
      </c>
      <c r="J24" s="504">
        <v>-0.497</v>
      </c>
      <c r="K24" s="500"/>
      <c r="L24" s="520" t="s">
        <v>70</v>
      </c>
      <c r="M24" s="503">
        <v>5.93</v>
      </c>
      <c r="N24" s="520" t="s">
        <v>70</v>
      </c>
      <c r="O24" s="520" t="s">
        <v>70</v>
      </c>
      <c r="P24" s="520">
        <v>-29</v>
      </c>
      <c r="Q24" s="503">
        <v>-24.3</v>
      </c>
      <c r="S24" s="104" t="s">
        <v>300</v>
      </c>
    </row>
    <row r="25" spans="2:19" x14ac:dyDescent="0.3">
      <c r="B25" s="497" t="s">
        <v>253</v>
      </c>
      <c r="C25" s="499" t="s">
        <v>263</v>
      </c>
      <c r="D25" s="500">
        <v>31.05</v>
      </c>
      <c r="E25" s="501">
        <v>3275</v>
      </c>
      <c r="F25" s="519">
        <v>1.78</v>
      </c>
      <c r="G25" s="503">
        <v>-19.55</v>
      </c>
      <c r="H25" s="503">
        <v>-7.87</v>
      </c>
      <c r="I25" s="504">
        <v>0.26200000000000001</v>
      </c>
      <c r="J25" s="504">
        <v>0.01</v>
      </c>
      <c r="K25" s="500"/>
      <c r="L25" s="503">
        <v>145.22999999999999</v>
      </c>
      <c r="M25" s="503">
        <v>2.11</v>
      </c>
      <c r="N25" s="520" t="s">
        <v>70</v>
      </c>
      <c r="O25" s="520">
        <f>D25/(8.7/98.6)</f>
        <v>351.90000000000003</v>
      </c>
      <c r="P25" s="520">
        <v>205.6</v>
      </c>
      <c r="Q25" s="503">
        <v>758.48</v>
      </c>
      <c r="S25" s="104" t="s">
        <v>301</v>
      </c>
    </row>
    <row r="26" spans="2:19" x14ac:dyDescent="0.3">
      <c r="B26" s="511" t="s">
        <v>251</v>
      </c>
      <c r="C26" s="512" t="s">
        <v>261</v>
      </c>
      <c r="D26" s="513">
        <v>91.02</v>
      </c>
      <c r="E26" s="514">
        <v>21171</v>
      </c>
      <c r="F26" s="518">
        <v>0.65</v>
      </c>
      <c r="G26" s="516">
        <v>8.15</v>
      </c>
      <c r="H26" s="516">
        <v>8.34</v>
      </c>
      <c r="I26" s="521" t="s">
        <v>70</v>
      </c>
      <c r="J26" s="517">
        <v>0.29499999999999998</v>
      </c>
      <c r="K26" s="513"/>
      <c r="L26" s="516">
        <v>29.34</v>
      </c>
      <c r="M26" s="516">
        <v>18.04</v>
      </c>
      <c r="N26" s="516">
        <v>69.48</v>
      </c>
      <c r="O26" s="516">
        <f>D26/(263.4/188.2)</f>
        <v>65.034031890660586</v>
      </c>
      <c r="P26" s="516">
        <v>29.1</v>
      </c>
      <c r="Q26" s="516">
        <v>46.1</v>
      </c>
      <c r="S26" s="104" t="s">
        <v>302</v>
      </c>
    </row>
    <row r="27" spans="2:19" x14ac:dyDescent="0.3">
      <c r="B27" s="498" t="s">
        <v>250</v>
      </c>
      <c r="C27" s="505" t="s">
        <v>260</v>
      </c>
      <c r="D27" s="506">
        <v>54.07</v>
      </c>
      <c r="E27" s="507">
        <v>13645</v>
      </c>
      <c r="F27" s="522">
        <v>1.48</v>
      </c>
      <c r="G27" s="509">
        <v>1.65</v>
      </c>
      <c r="H27" s="509">
        <v>1.26</v>
      </c>
      <c r="I27" s="510">
        <v>0.47399999999999998</v>
      </c>
      <c r="J27" s="510">
        <v>1.0999999999999999E-2</v>
      </c>
      <c r="K27" s="506"/>
      <c r="L27" s="509">
        <v>96.39</v>
      </c>
      <c r="M27" s="509">
        <v>2.7</v>
      </c>
      <c r="N27" s="509">
        <v>122.89</v>
      </c>
      <c r="O27" s="509">
        <f>D27/(35.4/223.8)</f>
        <v>341.83237288135592</v>
      </c>
      <c r="P27" s="509">
        <v>175.2</v>
      </c>
      <c r="Q27" s="509">
        <v>818.18</v>
      </c>
      <c r="S27" s="104" t="s">
        <v>303</v>
      </c>
    </row>
    <row r="28" spans="2:19" x14ac:dyDescent="0.3">
      <c r="B28" s="476"/>
      <c r="D28" s="182"/>
      <c r="E28" s="385"/>
      <c r="F28" s="385"/>
      <c r="G28" s="385"/>
      <c r="H28" s="385"/>
      <c r="I28" s="385"/>
      <c r="J28" s="385"/>
      <c r="K28" s="182"/>
      <c r="L28" s="477"/>
      <c r="M28" s="477"/>
      <c r="N28" s="477"/>
      <c r="O28" s="477"/>
      <c r="P28" s="477"/>
      <c r="Q28" s="477"/>
    </row>
    <row r="29" spans="2:19" x14ac:dyDescent="0.3">
      <c r="B29" s="536" t="s">
        <v>278</v>
      </c>
      <c r="C29" s="478"/>
      <c r="D29" s="479">
        <f>AVERAGE(D22:D27)</f>
        <v>116.39999999999999</v>
      </c>
      <c r="E29" s="480">
        <f t="shared" ref="E29:J29" si="2">AVERAGE(E22:E27)</f>
        <v>9207.8333333333339</v>
      </c>
      <c r="F29" s="479">
        <f t="shared" si="2"/>
        <v>1.156666666666667</v>
      </c>
      <c r="G29" s="486">
        <f t="shared" si="2"/>
        <v>22.463333333333338</v>
      </c>
      <c r="H29" s="486">
        <f t="shared" si="2"/>
        <v>3.7866666666666675</v>
      </c>
      <c r="I29" s="485">
        <f t="shared" si="2"/>
        <v>0.58679999999999999</v>
      </c>
      <c r="J29" s="485">
        <f t="shared" si="2"/>
        <v>3.4166666666666672E-2</v>
      </c>
      <c r="K29" s="479"/>
      <c r="L29" s="486">
        <f>AVERAGE(L22:L27)</f>
        <v>68.361999999999995</v>
      </c>
      <c r="M29" s="486">
        <f>AVERAGE(M22:M27)</f>
        <v>18.833333333333336</v>
      </c>
      <c r="N29" s="486">
        <f t="shared" ref="N29:Q29" si="3">AVERAGE(N22:N27)</f>
        <v>63.680000000000007</v>
      </c>
      <c r="O29" s="486">
        <f t="shared" si="3"/>
        <v>169.56400122871759</v>
      </c>
      <c r="P29" s="486">
        <f t="shared" si="3"/>
        <v>72.433333333333337</v>
      </c>
      <c r="Q29" s="583">
        <f t="shared" si="3"/>
        <v>282.58833333333331</v>
      </c>
    </row>
    <row r="30" spans="2:19" x14ac:dyDescent="0.3">
      <c r="D30" s="182"/>
      <c r="E30" s="385"/>
      <c r="F30" s="385"/>
      <c r="G30" s="385"/>
      <c r="H30" s="385"/>
      <c r="I30" s="385"/>
      <c r="J30" s="385"/>
      <c r="K30" s="182"/>
      <c r="L30" s="477"/>
      <c r="M30" s="477"/>
      <c r="N30" s="477"/>
      <c r="O30" s="477"/>
      <c r="P30" s="477"/>
      <c r="Q30" s="477"/>
    </row>
    <row r="31" spans="2:19" ht="16.2" x14ac:dyDescent="0.35">
      <c r="B31" s="537" t="s">
        <v>307</v>
      </c>
      <c r="C31" s="491"/>
      <c r="D31" s="493"/>
      <c r="E31" s="494"/>
      <c r="F31" s="494"/>
      <c r="G31" s="494"/>
      <c r="H31" s="494"/>
      <c r="I31" s="494"/>
      <c r="J31" s="494"/>
      <c r="K31" s="493"/>
      <c r="L31" s="495"/>
      <c r="M31" s="495"/>
      <c r="N31" s="495"/>
      <c r="O31" s="495"/>
      <c r="P31" s="495"/>
      <c r="Q31" s="658"/>
    </row>
    <row r="32" spans="2:19" x14ac:dyDescent="0.3">
      <c r="D32" s="182"/>
      <c r="E32" s="385"/>
      <c r="F32" s="385"/>
      <c r="G32" s="385"/>
      <c r="H32" s="385"/>
      <c r="I32" s="385"/>
      <c r="J32" s="385"/>
      <c r="K32" s="182"/>
      <c r="L32" s="477"/>
      <c r="M32" s="477"/>
      <c r="N32" s="477"/>
      <c r="O32" s="477"/>
      <c r="P32" s="477"/>
      <c r="Q32" s="477"/>
    </row>
    <row r="33" spans="2:19" x14ac:dyDescent="0.3">
      <c r="B33" s="498" t="s">
        <v>348</v>
      </c>
      <c r="C33" s="505" t="s">
        <v>274</v>
      </c>
      <c r="D33" s="506">
        <v>82.31</v>
      </c>
      <c r="E33" s="507">
        <v>64110</v>
      </c>
      <c r="F33" s="522">
        <v>0.57999999999999996</v>
      </c>
      <c r="G33" s="509">
        <v>18.399999999999999</v>
      </c>
      <c r="H33" s="509">
        <v>14.87</v>
      </c>
      <c r="I33" s="510">
        <v>0.72099999999999997</v>
      </c>
      <c r="J33" s="510">
        <v>0.35</v>
      </c>
      <c r="K33" s="506"/>
      <c r="L33" s="509">
        <v>33.229999999999997</v>
      </c>
      <c r="M33" s="509">
        <v>7.12</v>
      </c>
      <c r="N33" s="509">
        <v>23.72</v>
      </c>
      <c r="O33" s="509">
        <f>D33/(2831/778)</f>
        <v>22.619985870717063</v>
      </c>
      <c r="P33" s="509">
        <v>20</v>
      </c>
      <c r="Q33" s="509">
        <v>23.7</v>
      </c>
      <c r="S33" s="104" t="s">
        <v>304</v>
      </c>
    </row>
    <row r="34" spans="2:19" x14ac:dyDescent="0.3">
      <c r="B34" s="497" t="s">
        <v>349</v>
      </c>
      <c r="C34" s="499" t="s">
        <v>275</v>
      </c>
      <c r="D34" s="500">
        <v>133.91</v>
      </c>
      <c r="E34" s="501">
        <v>37871</v>
      </c>
      <c r="F34" s="519">
        <v>0.84</v>
      </c>
      <c r="G34" s="503">
        <v>23.92</v>
      </c>
      <c r="H34" s="503">
        <v>20.69</v>
      </c>
      <c r="I34" s="504">
        <v>0.73499999999999999</v>
      </c>
      <c r="J34" s="504">
        <v>0.186</v>
      </c>
      <c r="K34" s="500"/>
      <c r="L34" s="503">
        <v>21.84</v>
      </c>
      <c r="M34" s="503">
        <v>6.07</v>
      </c>
      <c r="N34" s="503">
        <v>23.29</v>
      </c>
      <c r="O34" s="503">
        <f>D34/(1081/292)</f>
        <v>36.171803885291396</v>
      </c>
      <c r="P34" s="503">
        <v>27.4</v>
      </c>
      <c r="Q34" s="503">
        <v>32</v>
      </c>
      <c r="S34" s="104" t="s">
        <v>308</v>
      </c>
    </row>
    <row r="35" spans="2:19" x14ac:dyDescent="0.3">
      <c r="B35" s="498" t="s">
        <v>254</v>
      </c>
      <c r="C35" s="505" t="s">
        <v>273</v>
      </c>
      <c r="D35" s="506">
        <v>11.37</v>
      </c>
      <c r="E35" s="507">
        <v>7202</v>
      </c>
      <c r="F35" s="522">
        <v>0.21</v>
      </c>
      <c r="G35" s="509">
        <v>15.82</v>
      </c>
      <c r="H35" s="524" t="s">
        <v>70</v>
      </c>
      <c r="I35" s="510">
        <v>0.85399999999999998</v>
      </c>
      <c r="J35" s="510">
        <v>0.18</v>
      </c>
      <c r="K35" s="506"/>
      <c r="L35" s="509">
        <v>9.52</v>
      </c>
      <c r="M35" s="509">
        <v>0.56000000000000005</v>
      </c>
      <c r="N35" s="509">
        <v>3.77</v>
      </c>
      <c r="O35" s="509">
        <f>D35/(465.9/126.3)</f>
        <v>3.0822730199613648</v>
      </c>
      <c r="P35" s="509">
        <v>8.6999999999999993</v>
      </c>
      <c r="Q35" s="509">
        <v>20.63</v>
      </c>
      <c r="S35" s="104" t="s">
        <v>323</v>
      </c>
    </row>
    <row r="36" spans="2:19" x14ac:dyDescent="0.3">
      <c r="B36" s="497" t="s">
        <v>345</v>
      </c>
      <c r="C36" s="499" t="s">
        <v>305</v>
      </c>
      <c r="D36" s="500">
        <v>515.86</v>
      </c>
      <c r="E36" s="501">
        <v>226260</v>
      </c>
      <c r="F36" s="519">
        <v>0.87</v>
      </c>
      <c r="G36" s="503">
        <v>38.840000000000003</v>
      </c>
      <c r="H36" s="503">
        <v>17.260000000000002</v>
      </c>
      <c r="I36" s="504">
        <v>0.433</v>
      </c>
      <c r="J36" s="504">
        <v>0.22700000000000001</v>
      </c>
      <c r="K36" s="500"/>
      <c r="L36" s="503">
        <v>14.19</v>
      </c>
      <c r="M36" s="503">
        <v>7.98</v>
      </c>
      <c r="N36" s="503">
        <v>47.31</v>
      </c>
      <c r="O36" s="503">
        <f>D36/(6195/455.4)</f>
        <v>37.921330750605321</v>
      </c>
      <c r="P36" s="503">
        <v>15</v>
      </c>
      <c r="Q36" s="520">
        <v>45.1</v>
      </c>
      <c r="S36" s="104" t="s">
        <v>309</v>
      </c>
    </row>
    <row r="37" spans="2:19" x14ac:dyDescent="0.3">
      <c r="B37" s="497" t="s">
        <v>350</v>
      </c>
      <c r="C37" s="499" t="s">
        <v>306</v>
      </c>
      <c r="D37" s="500">
        <v>58.41</v>
      </c>
      <c r="E37" s="501">
        <v>60526</v>
      </c>
      <c r="F37" s="519">
        <v>0.88</v>
      </c>
      <c r="G37" s="503">
        <v>3.78</v>
      </c>
      <c r="H37" s="503">
        <v>3.88</v>
      </c>
      <c r="I37" s="504">
        <v>0.55200000000000005</v>
      </c>
      <c r="J37" s="504">
        <v>0.36399999999999999</v>
      </c>
      <c r="K37" s="500"/>
      <c r="L37" s="520" t="s">
        <v>70</v>
      </c>
      <c r="M37" s="503">
        <v>4.29</v>
      </c>
      <c r="N37" s="503">
        <v>14.44</v>
      </c>
      <c r="O37" s="503">
        <f>D37/(6040/119.1)</f>
        <v>1.1517600993377481</v>
      </c>
      <c r="P37" s="503">
        <v>8.6</v>
      </c>
      <c r="Q37" s="520">
        <v>8.8000000000000007</v>
      </c>
      <c r="S37" s="104" t="s">
        <v>310</v>
      </c>
    </row>
    <row r="38" spans="2:19" x14ac:dyDescent="0.3">
      <c r="L38" s="477"/>
      <c r="M38" s="477"/>
      <c r="N38" s="477"/>
      <c r="O38" s="477"/>
      <c r="P38" s="477"/>
      <c r="Q38" s="477"/>
    </row>
    <row r="39" spans="2:19" x14ac:dyDescent="0.3">
      <c r="B39" s="536" t="s">
        <v>278</v>
      </c>
      <c r="C39" s="478"/>
      <c r="D39" s="479">
        <f>AVERAGE(D33:D37)</f>
        <v>160.37200000000001</v>
      </c>
      <c r="E39" s="480">
        <f t="shared" ref="E39:J39" si="4">AVERAGE(E33:E37)</f>
        <v>79193.8</v>
      </c>
      <c r="F39" s="523">
        <f t="shared" si="4"/>
        <v>0.67599999999999993</v>
      </c>
      <c r="G39" s="486">
        <f t="shared" si="4"/>
        <v>20.152000000000001</v>
      </c>
      <c r="H39" s="486">
        <f t="shared" si="4"/>
        <v>14.175000000000002</v>
      </c>
      <c r="I39" s="485">
        <f t="shared" si="4"/>
        <v>0.65900000000000003</v>
      </c>
      <c r="J39" s="485">
        <f t="shared" si="4"/>
        <v>0.26139999999999997</v>
      </c>
      <c r="K39" s="478"/>
      <c r="L39" s="486">
        <f t="shared" ref="L39:Q39" si="5">AVERAGE(L33:L37)</f>
        <v>19.694999999999997</v>
      </c>
      <c r="M39" s="486">
        <f t="shared" si="5"/>
        <v>5.2040000000000006</v>
      </c>
      <c r="N39" s="486">
        <f t="shared" si="5"/>
        <v>22.506</v>
      </c>
      <c r="O39" s="486">
        <f t="shared" si="5"/>
        <v>20.189430725182579</v>
      </c>
      <c r="P39" s="486">
        <f t="shared" si="5"/>
        <v>15.939999999999998</v>
      </c>
      <c r="Q39" s="583">
        <f t="shared" si="5"/>
        <v>26.046000000000003</v>
      </c>
    </row>
    <row r="40" spans="2:19" x14ac:dyDescent="0.3">
      <c r="M40" s="477"/>
      <c r="N40" s="477"/>
      <c r="O40" s="477"/>
      <c r="P40" s="477"/>
      <c r="Q40" s="477"/>
    </row>
    <row r="41" spans="2:19" ht="16.2" x14ac:dyDescent="0.35">
      <c r="B41" s="537" t="s">
        <v>296</v>
      </c>
      <c r="C41" s="491"/>
      <c r="D41" s="493"/>
      <c r="E41" s="494"/>
      <c r="F41" s="494"/>
      <c r="G41" s="494"/>
      <c r="H41" s="494"/>
      <c r="I41" s="494"/>
      <c r="J41" s="494"/>
      <c r="K41" s="493"/>
      <c r="L41" s="495"/>
      <c r="M41" s="495"/>
      <c r="N41" s="495"/>
      <c r="O41" s="495"/>
      <c r="P41" s="495"/>
      <c r="Q41" s="658"/>
    </row>
    <row r="42" spans="2:19" x14ac:dyDescent="0.3">
      <c r="B42" s="475"/>
      <c r="C42" s="475"/>
      <c r="D42" s="525"/>
      <c r="E42" s="526"/>
      <c r="F42" s="526"/>
      <c r="G42" s="526"/>
      <c r="H42" s="526"/>
      <c r="I42" s="526"/>
      <c r="J42" s="526"/>
      <c r="K42" s="525"/>
      <c r="L42" s="527"/>
      <c r="M42" s="527"/>
      <c r="N42" s="527"/>
      <c r="O42" s="527"/>
      <c r="P42" s="527"/>
      <c r="Q42" s="527"/>
    </row>
    <row r="43" spans="2:19" x14ac:dyDescent="0.3">
      <c r="B43" s="511" t="str">
        <f>B11</f>
        <v>FactSet Research Systems Inc</v>
      </c>
      <c r="C43" s="644" t="str">
        <f t="shared" ref="C43:Q43" si="6">C11</f>
        <v>FDS</v>
      </c>
      <c r="D43" s="646">
        <f t="shared" si="6"/>
        <v>428.71</v>
      </c>
      <c r="E43" s="648">
        <f t="shared" si="6"/>
        <v>16204</v>
      </c>
      <c r="F43" s="654">
        <f t="shared" si="6"/>
        <v>0.78</v>
      </c>
      <c r="G43" s="652">
        <f t="shared" si="6"/>
        <v>42.22</v>
      </c>
      <c r="H43" s="652">
        <f t="shared" si="6"/>
        <v>26.73</v>
      </c>
      <c r="I43" s="650">
        <f t="shared" si="6"/>
        <v>0.66300000000000003</v>
      </c>
      <c r="J43" s="650">
        <f t="shared" si="6"/>
        <v>0.29799999999999999</v>
      </c>
      <c r="K43" s="511"/>
      <c r="L43" s="652">
        <f t="shared" si="6"/>
        <v>29.69</v>
      </c>
      <c r="M43" s="652">
        <f t="shared" si="6"/>
        <v>10.15</v>
      </c>
      <c r="N43" s="652">
        <f t="shared" si="6"/>
        <v>41.38</v>
      </c>
      <c r="O43" s="652">
        <f t="shared" si="6"/>
        <v>34.911827004219411</v>
      </c>
      <c r="P43" s="652">
        <f t="shared" ref="P43" si="7">P11</f>
        <v>24.9</v>
      </c>
      <c r="Q43" s="652">
        <f t="shared" si="6"/>
        <v>30</v>
      </c>
    </row>
    <row r="44" spans="2:19" x14ac:dyDescent="0.3">
      <c r="B44" s="511" t="str">
        <f>B15</f>
        <v>S&amp;P Global</v>
      </c>
      <c r="C44" s="644" t="str">
        <f t="shared" ref="C44:Q44" si="8">C15</f>
        <v>SPGI</v>
      </c>
      <c r="D44" s="646">
        <f t="shared" si="8"/>
        <v>424.15</v>
      </c>
      <c r="E44" s="648">
        <f t="shared" si="8"/>
        <v>102220</v>
      </c>
      <c r="F44" s="654">
        <f t="shared" si="8"/>
        <v>1.01</v>
      </c>
      <c r="G44" s="652">
        <f t="shared" si="8"/>
        <v>323.64999999999998</v>
      </c>
      <c r="H44" s="652">
        <f t="shared" si="8"/>
        <v>60.81</v>
      </c>
      <c r="I44" s="650">
        <f t="shared" si="8"/>
        <v>0.71899999999999997</v>
      </c>
      <c r="J44" s="650">
        <f t="shared" si="8"/>
        <v>0.51500000000000001</v>
      </c>
      <c r="K44" s="511"/>
      <c r="L44" s="652">
        <f t="shared" si="8"/>
        <v>22.8</v>
      </c>
      <c r="M44" s="652">
        <f t="shared" si="8"/>
        <v>12.69</v>
      </c>
      <c r="N44" s="652">
        <f t="shared" si="8"/>
        <v>36.28</v>
      </c>
      <c r="O44" s="652">
        <f t="shared" si="8"/>
        <v>27.137081131078222</v>
      </c>
      <c r="P44" s="652">
        <f t="shared" ref="P44" si="9">P15</f>
        <v>20.7</v>
      </c>
      <c r="Q44" s="652">
        <f t="shared" si="8"/>
        <v>21.37</v>
      </c>
    </row>
    <row r="45" spans="2:19" x14ac:dyDescent="0.3">
      <c r="B45" s="511" t="str">
        <f>B22</f>
        <v>Envestnet Inc</v>
      </c>
      <c r="C45" s="644" t="str">
        <f t="shared" ref="C45:Q45" si="10">C22</f>
        <v>ENV</v>
      </c>
      <c r="D45" s="646">
        <f t="shared" si="10"/>
        <v>74.53</v>
      </c>
      <c r="E45" s="648">
        <f t="shared" si="10"/>
        <v>4073</v>
      </c>
      <c r="F45" s="654">
        <f t="shared" si="10"/>
        <v>1.24</v>
      </c>
      <c r="G45" s="652">
        <f t="shared" si="10"/>
        <v>15.18</v>
      </c>
      <c r="H45" s="652">
        <f t="shared" si="10"/>
        <v>8.16</v>
      </c>
      <c r="I45" s="650">
        <f t="shared" si="10"/>
        <v>0.69399999999999995</v>
      </c>
      <c r="J45" s="650">
        <f t="shared" si="10"/>
        <v>7.1999999999999995E-2</v>
      </c>
      <c r="K45" s="511"/>
      <c r="L45" s="652">
        <f t="shared" si="10"/>
        <v>42.88</v>
      </c>
      <c r="M45" s="652">
        <f t="shared" si="10"/>
        <v>74.53</v>
      </c>
      <c r="N45" s="652">
        <f t="shared" si="10"/>
        <v>29</v>
      </c>
      <c r="O45" s="652">
        <f t="shared" si="10"/>
        <v>58.148588064046578</v>
      </c>
      <c r="P45" s="652">
        <f t="shared" ref="P45" si="11">P22</f>
        <v>27.1</v>
      </c>
      <c r="Q45" s="652">
        <f t="shared" si="10"/>
        <v>67.040000000000006</v>
      </c>
    </row>
    <row r="46" spans="2:19" x14ac:dyDescent="0.3">
      <c r="B46" s="511" t="str">
        <f>B26</f>
        <v>Tradeweb Markets Inc</v>
      </c>
      <c r="C46" s="644" t="str">
        <f t="shared" ref="C46:Q46" si="12">C26</f>
        <v>TW</v>
      </c>
      <c r="D46" s="646">
        <f t="shared" si="12"/>
        <v>91.02</v>
      </c>
      <c r="E46" s="648">
        <f t="shared" si="12"/>
        <v>21171</v>
      </c>
      <c r="F46" s="654">
        <f t="shared" si="12"/>
        <v>0.65</v>
      </c>
      <c r="G46" s="652">
        <f t="shared" si="12"/>
        <v>8.15</v>
      </c>
      <c r="H46" s="652">
        <f t="shared" si="12"/>
        <v>8.34</v>
      </c>
      <c r="I46" s="650" t="str">
        <f t="shared" si="12"/>
        <v>-</v>
      </c>
      <c r="J46" s="650">
        <f t="shared" si="12"/>
        <v>0.29499999999999998</v>
      </c>
      <c r="K46" s="511"/>
      <c r="L46" s="652">
        <f t="shared" si="12"/>
        <v>29.34</v>
      </c>
      <c r="M46" s="652">
        <f t="shared" si="12"/>
        <v>18.04</v>
      </c>
      <c r="N46" s="652">
        <f t="shared" si="12"/>
        <v>69.48</v>
      </c>
      <c r="O46" s="652">
        <f t="shared" si="12"/>
        <v>65.034031890660586</v>
      </c>
      <c r="P46" s="652">
        <f t="shared" ref="P46" si="13">P26</f>
        <v>29.1</v>
      </c>
      <c r="Q46" s="652">
        <f t="shared" si="12"/>
        <v>46.1</v>
      </c>
    </row>
    <row r="47" spans="2:19" x14ac:dyDescent="0.3">
      <c r="B47" s="498" t="str">
        <f>B33</f>
        <v>Activision Blizzard, Inc</v>
      </c>
      <c r="C47" s="645" t="str">
        <f t="shared" ref="C47:Q47" si="14">C33</f>
        <v>ATVI</v>
      </c>
      <c r="D47" s="647">
        <f t="shared" si="14"/>
        <v>82.31</v>
      </c>
      <c r="E47" s="649">
        <f t="shared" si="14"/>
        <v>64110</v>
      </c>
      <c r="F47" s="655">
        <f t="shared" si="14"/>
        <v>0.57999999999999996</v>
      </c>
      <c r="G47" s="653">
        <f t="shared" si="14"/>
        <v>18.399999999999999</v>
      </c>
      <c r="H47" s="653">
        <f t="shared" si="14"/>
        <v>14.87</v>
      </c>
      <c r="I47" s="651">
        <f t="shared" si="14"/>
        <v>0.72099999999999997</v>
      </c>
      <c r="J47" s="651">
        <f t="shared" si="14"/>
        <v>0.35</v>
      </c>
      <c r="K47" s="498"/>
      <c r="L47" s="653">
        <f t="shared" si="14"/>
        <v>33.229999999999997</v>
      </c>
      <c r="M47" s="653">
        <f t="shared" si="14"/>
        <v>7.12</v>
      </c>
      <c r="N47" s="653">
        <f t="shared" si="14"/>
        <v>23.72</v>
      </c>
      <c r="O47" s="653">
        <f t="shared" si="14"/>
        <v>22.619985870717063</v>
      </c>
      <c r="P47" s="653">
        <f t="shared" ref="P47" si="15">P33</f>
        <v>20</v>
      </c>
      <c r="Q47" s="653">
        <f t="shared" si="14"/>
        <v>23.7</v>
      </c>
    </row>
    <row r="48" spans="2:19" x14ac:dyDescent="0.3">
      <c r="B48" s="498" t="str">
        <f>B35</f>
        <v>Ubisoft Entertainment</v>
      </c>
      <c r="C48" s="645" t="str">
        <f t="shared" ref="C48:Q48" si="16">C35</f>
        <v>UBSFY</v>
      </c>
      <c r="D48" s="647">
        <f t="shared" si="16"/>
        <v>11.37</v>
      </c>
      <c r="E48" s="649">
        <f t="shared" si="16"/>
        <v>7202</v>
      </c>
      <c r="F48" s="655">
        <f t="shared" si="16"/>
        <v>0.21</v>
      </c>
      <c r="G48" s="653">
        <f t="shared" si="16"/>
        <v>15.82</v>
      </c>
      <c r="H48" s="653" t="str">
        <f t="shared" si="16"/>
        <v>-</v>
      </c>
      <c r="I48" s="651">
        <f t="shared" si="16"/>
        <v>0.85399999999999998</v>
      </c>
      <c r="J48" s="651">
        <f t="shared" si="16"/>
        <v>0.18</v>
      </c>
      <c r="K48" s="498"/>
      <c r="L48" s="653">
        <f t="shared" si="16"/>
        <v>9.52</v>
      </c>
      <c r="M48" s="653">
        <f t="shared" si="16"/>
        <v>0.56000000000000005</v>
      </c>
      <c r="N48" s="653">
        <f t="shared" si="16"/>
        <v>3.77</v>
      </c>
      <c r="O48" s="653">
        <f t="shared" si="16"/>
        <v>3.0822730199613648</v>
      </c>
      <c r="P48" s="653">
        <f t="shared" ref="P48" si="17">P35</f>
        <v>8.6999999999999993</v>
      </c>
      <c r="Q48" s="653">
        <f t="shared" si="16"/>
        <v>20.63</v>
      </c>
    </row>
    <row r="49" spans="2:19" x14ac:dyDescent="0.3">
      <c r="Q49" s="477"/>
    </row>
    <row r="50" spans="2:19" x14ac:dyDescent="0.3">
      <c r="B50" s="536" t="s">
        <v>311</v>
      </c>
      <c r="C50" s="478"/>
      <c r="D50" s="479">
        <f>AVERAGE(D43:D48)</f>
        <v>185.34833333333327</v>
      </c>
      <c r="E50" s="479">
        <f t="shared" ref="E50:J50" si="18">AVERAGE(E43:E48)</f>
        <v>35830</v>
      </c>
      <c r="F50" s="528">
        <f t="shared" si="18"/>
        <v>0.745</v>
      </c>
      <c r="G50" s="486">
        <f t="shared" si="18"/>
        <v>70.569999999999993</v>
      </c>
      <c r="H50" s="486">
        <f t="shared" si="18"/>
        <v>23.782000000000004</v>
      </c>
      <c r="I50" s="485">
        <f t="shared" si="18"/>
        <v>0.73020000000000007</v>
      </c>
      <c r="J50" s="485">
        <f t="shared" si="18"/>
        <v>0.28499999999999998</v>
      </c>
      <c r="K50" s="479"/>
      <c r="L50" s="486">
        <f>AVERAGE(L43:L48)</f>
        <v>27.91</v>
      </c>
      <c r="M50" s="486">
        <f>AVERAGE(M43,M44,M46,M47,M48)</f>
        <v>9.7119999999999997</v>
      </c>
      <c r="N50" s="486">
        <f>AVERAGE(N43,N44,N45,N47,N48)</f>
        <v>26.830000000000002</v>
      </c>
      <c r="O50" s="486">
        <f>AVERAGE(O43:O48)</f>
        <v>35.155631163447211</v>
      </c>
      <c r="P50" s="486">
        <f t="shared" ref="P50" si="19">AVERAGE(P43:P48)</f>
        <v>21.749999999999996</v>
      </c>
      <c r="Q50" s="659">
        <f>AVERAGE(Q43:Q48)</f>
        <v>34.806666666666665</v>
      </c>
      <c r="S50" s="104" t="s">
        <v>203</v>
      </c>
    </row>
    <row r="51" spans="2:19" ht="16.2" x14ac:dyDescent="0.35">
      <c r="B51" s="596" t="s">
        <v>315</v>
      </c>
      <c r="C51" s="597"/>
      <c r="D51" s="597"/>
      <c r="E51" s="597"/>
      <c r="F51" s="597"/>
      <c r="G51" s="597"/>
      <c r="H51" s="597"/>
      <c r="I51" s="597"/>
      <c r="J51" s="597"/>
      <c r="K51" s="597"/>
      <c r="L51" s="598">
        <f>(L50/$L$5)*$D$5</f>
        <v>16.46537952752918</v>
      </c>
      <c r="M51" s="625">
        <f>(M50/$M$5)*$D$5</f>
        <v>15.529317099118847</v>
      </c>
      <c r="N51" s="624">
        <f>(N50/$N$5)*$D$5</f>
        <v>7.0961865037480916</v>
      </c>
      <c r="O51" s="656">
        <f>(O50/$N$5)*$D$5</f>
        <v>9.2982078044278751</v>
      </c>
      <c r="P51" s="656">
        <f t="shared" ref="P51" si="20">(P50/$N$5)*$D$5</f>
        <v>5.752592488129741</v>
      </c>
      <c r="Q51" s="599">
        <f>(Q50/$Q$5)*$D$5</f>
        <v>9.7832763412682358</v>
      </c>
    </row>
    <row r="52" spans="2:19" ht="16.2" x14ac:dyDescent="0.35">
      <c r="B52" s="627"/>
      <c r="C52" s="628"/>
      <c r="D52" s="628"/>
      <c r="E52" s="628"/>
      <c r="F52" s="628"/>
      <c r="G52" s="628"/>
      <c r="H52" s="628"/>
      <c r="I52" s="628"/>
      <c r="J52" s="628"/>
      <c r="K52" s="628"/>
      <c r="L52" s="104" t="s">
        <v>364</v>
      </c>
      <c r="N52" s="104" t="s">
        <v>365</v>
      </c>
      <c r="Q52" s="629"/>
    </row>
    <row r="53" spans="2:19" ht="16.2" x14ac:dyDescent="0.35">
      <c r="B53" s="627"/>
      <c r="C53" s="628"/>
      <c r="D53" s="628"/>
      <c r="E53" s="628"/>
      <c r="F53" s="628"/>
      <c r="G53" s="628"/>
      <c r="H53" s="628"/>
      <c r="I53" s="628"/>
      <c r="J53" s="628"/>
      <c r="K53" s="628"/>
      <c r="Q53" s="629"/>
    </row>
    <row r="54" spans="2:19" x14ac:dyDescent="0.3">
      <c r="B54" s="633" t="s">
        <v>366</v>
      </c>
    </row>
    <row r="55" spans="2:19" ht="16.2" hidden="1" outlineLevel="1" x14ac:dyDescent="0.35">
      <c r="B55" s="537" t="s">
        <v>344</v>
      </c>
      <c r="C55" s="491"/>
      <c r="D55" s="493"/>
      <c r="E55" s="494"/>
      <c r="F55" s="494"/>
      <c r="G55" s="494"/>
      <c r="H55" s="494"/>
      <c r="I55" s="494"/>
      <c r="J55" s="494"/>
      <c r="K55" s="493"/>
      <c r="L55" s="495"/>
      <c r="M55" s="495"/>
      <c r="N55" s="495"/>
      <c r="O55" s="495"/>
      <c r="P55" s="495"/>
      <c r="Q55" s="496"/>
    </row>
    <row r="56" spans="2:19" ht="16.2" hidden="1" outlineLevel="1" thickBot="1" x14ac:dyDescent="0.35">
      <c r="B56" s="475"/>
      <c r="C56" s="475"/>
      <c r="D56" s="525"/>
      <c r="E56" s="526"/>
      <c r="F56" s="526"/>
      <c r="G56" s="526"/>
      <c r="H56" s="526"/>
      <c r="I56" s="526"/>
      <c r="J56" s="526"/>
      <c r="K56" s="525"/>
      <c r="M56" s="580"/>
      <c r="N56" s="580"/>
      <c r="O56" s="580"/>
      <c r="P56" s="580"/>
      <c r="Q56" s="581"/>
    </row>
    <row r="57" spans="2:19" ht="16.2" hidden="1" outlineLevel="1" thickBot="1" x14ac:dyDescent="0.35">
      <c r="L57" s="481" t="s">
        <v>353</v>
      </c>
      <c r="M57" s="472" t="s">
        <v>354</v>
      </c>
      <c r="N57" s="643" t="s">
        <v>355</v>
      </c>
      <c r="O57" s="472" t="s">
        <v>378</v>
      </c>
      <c r="P57" s="472" t="s">
        <v>257</v>
      </c>
      <c r="Q57" s="473" t="s">
        <v>360</v>
      </c>
    </row>
    <row r="58" spans="2:19" hidden="1" outlineLevel="1" x14ac:dyDescent="0.3">
      <c r="B58" s="585" t="s">
        <v>265</v>
      </c>
      <c r="C58" s="586" t="s">
        <v>272</v>
      </c>
      <c r="D58" s="587">
        <v>16.440000000000001</v>
      </c>
      <c r="E58" s="588"/>
      <c r="F58" s="588"/>
      <c r="G58" s="588">
        <v>27.1</v>
      </c>
      <c r="H58" s="588">
        <v>27.1</v>
      </c>
      <c r="I58" s="589">
        <v>0.6</v>
      </c>
      <c r="J58" s="589">
        <v>0.255</v>
      </c>
      <c r="K58" s="590"/>
      <c r="L58" s="591">
        <v>26.5</v>
      </c>
      <c r="M58" s="591">
        <v>5.0999999999999996</v>
      </c>
      <c r="N58" s="591">
        <v>33.5</v>
      </c>
      <c r="O58" s="591">
        <f>D58/(14.9/50)</f>
        <v>55.167785234899334</v>
      </c>
      <c r="P58" s="592">
        <v>15.8</v>
      </c>
      <c r="Q58" s="590">
        <v>1997</v>
      </c>
    </row>
    <row r="59" spans="2:19" hidden="1" outlineLevel="1" x14ac:dyDescent="0.3">
      <c r="B59" s="585" t="s">
        <v>241</v>
      </c>
      <c r="C59" s="586" t="s">
        <v>357</v>
      </c>
      <c r="D59" s="587">
        <v>8.0299999999999994</v>
      </c>
      <c r="E59" s="590"/>
      <c r="F59" s="590"/>
      <c r="G59" s="591">
        <v>18.8</v>
      </c>
      <c r="H59" s="591">
        <v>18.7</v>
      </c>
      <c r="I59" s="589">
        <v>0.51500000000000001</v>
      </c>
      <c r="J59" s="589">
        <v>0.17699999999999999</v>
      </c>
      <c r="K59" s="590"/>
      <c r="L59" s="591">
        <v>39.299999999999997</v>
      </c>
      <c r="M59" s="591">
        <v>1.8</v>
      </c>
      <c r="N59" s="591">
        <v>18</v>
      </c>
      <c r="O59" s="591">
        <f>D59/(279/400)</f>
        <v>11.512544802867382</v>
      </c>
      <c r="P59" s="592">
        <v>9.9</v>
      </c>
      <c r="Q59" s="593" t="s">
        <v>363</v>
      </c>
    </row>
    <row r="60" spans="2:19" hidden="1" outlineLevel="1" x14ac:dyDescent="0.3">
      <c r="B60" s="585" t="s">
        <v>248</v>
      </c>
      <c r="C60" s="586" t="s">
        <v>258</v>
      </c>
      <c r="D60" s="587">
        <v>14.25</v>
      </c>
      <c r="E60" s="590"/>
      <c r="F60" s="590"/>
      <c r="G60" s="591">
        <v>-0.8</v>
      </c>
      <c r="H60" s="591">
        <v>-0.8</v>
      </c>
      <c r="I60" s="589">
        <v>0.24199999999999999</v>
      </c>
      <c r="J60" s="589">
        <v>4.2999999999999997E-2</v>
      </c>
      <c r="K60" s="590"/>
      <c r="L60" s="594" t="s">
        <v>70</v>
      </c>
      <c r="M60" s="591">
        <v>3.6</v>
      </c>
      <c r="N60" s="594" t="s">
        <v>70</v>
      </c>
      <c r="O60" s="594">
        <f>D60/(4.2/33)</f>
        <v>111.96428571428571</v>
      </c>
      <c r="P60" s="592">
        <v>111.3</v>
      </c>
      <c r="Q60" s="590">
        <v>2010</v>
      </c>
    </row>
    <row r="61" spans="2:19" hidden="1" outlineLevel="1" x14ac:dyDescent="0.3">
      <c r="B61" s="585" t="s">
        <v>251</v>
      </c>
      <c r="C61" s="586" t="s">
        <v>261</v>
      </c>
      <c r="D61" s="587">
        <v>46.35</v>
      </c>
      <c r="E61" s="590"/>
      <c r="F61" s="590"/>
      <c r="G61" s="591">
        <v>2.1</v>
      </c>
      <c r="H61" s="591">
        <v>2.1</v>
      </c>
      <c r="I61" s="595" t="s">
        <v>70</v>
      </c>
      <c r="J61" s="589">
        <v>0.245</v>
      </c>
      <c r="K61" s="590"/>
      <c r="L61" s="591">
        <v>24.6</v>
      </c>
      <c r="M61" s="591">
        <v>9.4</v>
      </c>
      <c r="N61" s="591">
        <v>86.6</v>
      </c>
      <c r="O61" s="591">
        <f>D61/(189.8/156.5)</f>
        <v>38.217992623814538</v>
      </c>
      <c r="P61" s="592">
        <v>44</v>
      </c>
      <c r="Q61" s="590">
        <v>2019</v>
      </c>
    </row>
    <row r="62" spans="2:19" hidden="1" outlineLevel="1" x14ac:dyDescent="0.3">
      <c r="B62" s="585" t="s">
        <v>351</v>
      </c>
      <c r="C62" s="590" t="s">
        <v>358</v>
      </c>
      <c r="D62" s="592">
        <v>2.35</v>
      </c>
      <c r="E62" s="590"/>
      <c r="F62" s="590"/>
      <c r="G62" s="591">
        <v>-24.4</v>
      </c>
      <c r="H62" s="591">
        <v>-24.4</v>
      </c>
      <c r="I62" s="589">
        <v>0.67200000000000004</v>
      </c>
      <c r="J62" s="589">
        <v>-0.254</v>
      </c>
      <c r="K62" s="590"/>
      <c r="L62" s="594" t="s">
        <v>70</v>
      </c>
      <c r="M62" s="591">
        <v>6.6</v>
      </c>
      <c r="N62" s="594" t="s">
        <v>70</v>
      </c>
      <c r="O62" s="594" t="s">
        <v>70</v>
      </c>
      <c r="P62" s="592">
        <v>-25.8</v>
      </c>
      <c r="Q62" s="590">
        <v>1998</v>
      </c>
    </row>
    <row r="63" spans="2:19" hidden="1" outlineLevel="1" x14ac:dyDescent="0.3">
      <c r="B63" s="585" t="s">
        <v>352</v>
      </c>
      <c r="C63" s="590" t="s">
        <v>359</v>
      </c>
      <c r="D63" s="592">
        <v>22.12</v>
      </c>
      <c r="E63" s="590"/>
      <c r="F63" s="590"/>
      <c r="G63" s="591">
        <v>-12.2</v>
      </c>
      <c r="H63" s="591">
        <v>-12.2</v>
      </c>
      <c r="I63" s="589">
        <v>0.752</v>
      </c>
      <c r="J63" s="589">
        <v>0.15</v>
      </c>
      <c r="K63" s="590"/>
      <c r="L63" s="591">
        <v>47.7</v>
      </c>
      <c r="M63" s="591">
        <v>10.7</v>
      </c>
      <c r="N63" s="594" t="s">
        <v>70</v>
      </c>
      <c r="O63" s="594">
        <f>D63/(15.65/46.4)</f>
        <v>65.582619808306703</v>
      </c>
      <c r="P63" s="592">
        <v>134</v>
      </c>
      <c r="Q63" s="590">
        <v>2018</v>
      </c>
    </row>
    <row r="64" spans="2:19" hidden="1" outlineLevel="1" x14ac:dyDescent="0.3">
      <c r="B64" s="476"/>
    </row>
    <row r="65" spans="2:17" hidden="1" outlineLevel="1" x14ac:dyDescent="0.3">
      <c r="B65" s="536" t="s">
        <v>311</v>
      </c>
      <c r="C65" s="478"/>
      <c r="D65" s="479"/>
      <c r="E65" s="479"/>
      <c r="F65" s="528"/>
      <c r="G65" s="486"/>
      <c r="H65" s="486"/>
      <c r="I65" s="485"/>
      <c r="J65" s="485"/>
      <c r="K65" s="479"/>
      <c r="L65" s="486">
        <f>AVERAGE(L58:L63)</f>
        <v>34.525000000000006</v>
      </c>
      <c r="M65" s="486">
        <f>AVERAGE(M58:M63)</f>
        <v>6.2</v>
      </c>
      <c r="N65" s="486">
        <f>AVERAGE(N58,N59,N60,N61,N62,N63)</f>
        <v>46.033333333333331</v>
      </c>
      <c r="O65" s="486">
        <f>AVERAGE(O58,O59,O60,O61,O62,O63)</f>
        <v>56.489045636834724</v>
      </c>
      <c r="P65" s="583">
        <f>AVERAGE(P58,P59,P60,P61,P62,P63)</f>
        <v>48.199999999999996</v>
      </c>
    </row>
    <row r="66" spans="2:17" ht="16.2" hidden="1" outlineLevel="1" x14ac:dyDescent="0.35">
      <c r="B66" s="596" t="s">
        <v>315</v>
      </c>
      <c r="C66" s="597"/>
      <c r="D66" s="597"/>
      <c r="E66" s="597"/>
      <c r="F66" s="597"/>
      <c r="G66" s="597"/>
      <c r="H66" s="597"/>
      <c r="I66" s="597"/>
      <c r="J66" s="597"/>
      <c r="K66" s="597"/>
      <c r="L66" s="598">
        <f>(L65/$L$5)*$D$5</f>
        <v>20.36786915757596</v>
      </c>
      <c r="M66" s="598">
        <f>(M65/$M$5)*$D$5</f>
        <v>9.9136908993551121</v>
      </c>
      <c r="N66" s="598">
        <f>(N65/$N$5)*$D$5</f>
        <v>12.175218737329002</v>
      </c>
      <c r="O66" s="598">
        <f>(O65/$N$5)*$D$5</f>
        <v>14.940618831819476</v>
      </c>
      <c r="P66" s="599">
        <f>(P65/$Q$5)*$D$5</f>
        <v>13.547804625046801</v>
      </c>
      <c r="Q66" s="584">
        <v>2021</v>
      </c>
    </row>
    <row r="67" spans="2:17" collapsed="1" x14ac:dyDescent="0.3">
      <c r="B67" s="579"/>
    </row>
    <row r="68" spans="2:17" x14ac:dyDescent="0.3">
      <c r="L68" s="477"/>
    </row>
    <row r="70" spans="2:17" x14ac:dyDescent="0.3">
      <c r="L70" s="578"/>
    </row>
  </sheetData>
  <sortState xmlns:xlrd2="http://schemas.microsoft.com/office/spreadsheetml/2017/richdata2" ref="B33:Q35">
    <sortCondition ref="B33:B35"/>
  </sortState>
  <pageMargins left="0.7" right="0.7" top="0.75" bottom="0.75" header="0.3" footer="0.3"/>
  <pageSetup scale="39" orientation="portrait" verticalDpi="1200" r:id="rId1"/>
  <colBreaks count="1" manualBreakCount="1">
    <brk id="17"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BB31A-693F-4C44-9A3F-3728329CDA44}">
  <sheetPr>
    <pageSetUpPr autoPageBreaks="0"/>
  </sheetPr>
  <dimension ref="B1:AK50"/>
  <sheetViews>
    <sheetView showGridLines="0" zoomScale="80" zoomScaleNormal="80" workbookViewId="0">
      <selection activeCell="L14" sqref="L14"/>
    </sheetView>
  </sheetViews>
  <sheetFormatPr defaultColWidth="8.88671875" defaultRowHeight="15.6" x14ac:dyDescent="0.3"/>
  <cols>
    <col min="1" max="1" width="3.6640625" style="206" customWidth="1"/>
    <col min="2" max="2" width="12.109375" style="206" customWidth="1"/>
    <col min="3" max="3" width="7.6640625" style="206" customWidth="1"/>
    <col min="4" max="4" width="9.109375" style="206" customWidth="1"/>
    <col min="5" max="5" width="12.6640625" style="206" customWidth="1"/>
    <col min="6" max="7" width="16.6640625" style="206" customWidth="1"/>
    <col min="8" max="8" width="18.88671875" style="206" customWidth="1"/>
    <col min="9" max="9" width="18.6640625" style="206" customWidth="1"/>
    <col min="10" max="10" width="19.33203125" style="206" customWidth="1"/>
    <col min="11" max="11" width="7.77734375" style="206" customWidth="1"/>
    <col min="12" max="12" width="8.88671875" style="206"/>
    <col min="13" max="13" width="10.88671875" style="206" customWidth="1"/>
    <col min="14" max="14" width="2.6640625" style="206" customWidth="1"/>
    <col min="15" max="15" width="14.109375" style="237" customWidth="1"/>
    <col min="16" max="16" width="0.88671875" style="206" customWidth="1"/>
    <col min="17" max="17" width="12.6640625" style="206" bestFit="1" customWidth="1"/>
    <col min="18" max="18" width="8.88671875" style="206"/>
    <col min="19" max="19" width="7.109375" style="206" customWidth="1"/>
    <col min="20" max="20" width="9.44140625" style="206" customWidth="1"/>
    <col min="21" max="21" width="0.88671875" style="196" customWidth="1"/>
    <col min="22" max="22" width="8.88671875" style="206"/>
    <col min="23" max="27" width="12.6640625" style="206" customWidth="1"/>
    <col min="28" max="28" width="14.109375" style="206" customWidth="1"/>
    <col min="29" max="29" width="5.109375" style="206" customWidth="1"/>
    <col min="30" max="30" width="1.109375" style="206" customWidth="1"/>
    <col min="31" max="31" width="1.88671875" style="206" customWidth="1"/>
    <col min="32" max="35" width="15.6640625" style="206" bestFit="1" customWidth="1"/>
    <col min="36" max="36" width="12.6640625" style="206" bestFit="1" customWidth="1"/>
    <col min="37" max="16384" width="8.88671875" style="206"/>
  </cols>
  <sheetData>
    <row r="1" spans="2:37" s="195" customFormat="1" ht="14.4" x14ac:dyDescent="0.3">
      <c r="B1" s="193"/>
      <c r="C1" s="193"/>
      <c r="D1" s="193"/>
      <c r="E1" s="193"/>
      <c r="F1" s="193"/>
      <c r="G1" s="193"/>
      <c r="H1" s="193"/>
      <c r="I1" s="193"/>
      <c r="J1" s="194"/>
      <c r="K1" s="194"/>
      <c r="L1" s="193"/>
      <c r="M1" s="193"/>
      <c r="N1" s="193"/>
      <c r="O1" s="193"/>
      <c r="P1" s="193"/>
      <c r="U1" s="196"/>
    </row>
    <row r="2" spans="2:37" x14ac:dyDescent="0.3">
      <c r="B2" s="197" t="s">
        <v>150</v>
      </c>
      <c r="C2" s="197"/>
      <c r="D2" s="197"/>
      <c r="E2" s="197"/>
      <c r="F2" s="197"/>
      <c r="G2" s="197"/>
      <c r="H2" s="197"/>
      <c r="I2" s="197"/>
      <c r="J2" s="198"/>
      <c r="K2" s="199"/>
      <c r="L2" s="710" t="s">
        <v>399</v>
      </c>
      <c r="M2" s="711"/>
      <c r="N2" s="200"/>
      <c r="O2" s="201">
        <f>Cover!L12</f>
        <v>5.98</v>
      </c>
      <c r="P2" s="202"/>
      <c r="Q2" s="712" t="s">
        <v>151</v>
      </c>
      <c r="R2" s="713"/>
      <c r="S2" s="713"/>
      <c r="T2" s="201">
        <f>'Wacc &amp; Beta'!P4</f>
        <v>1.3633333333333333</v>
      </c>
      <c r="U2" s="203"/>
      <c r="V2" s="714" t="s">
        <v>152</v>
      </c>
      <c r="W2" s="715"/>
      <c r="X2" s="204" t="s">
        <v>153</v>
      </c>
      <c r="Y2" s="204" t="s">
        <v>154</v>
      </c>
      <c r="Z2" s="204" t="s">
        <v>155</v>
      </c>
      <c r="AA2" s="418" t="s">
        <v>156</v>
      </c>
    </row>
    <row r="3" spans="2:37" x14ac:dyDescent="0.3">
      <c r="B3" s="207" t="s">
        <v>157</v>
      </c>
      <c r="C3" s="204"/>
      <c r="D3" s="204"/>
      <c r="E3" s="204" t="s">
        <v>158</v>
      </c>
      <c r="F3" s="204" t="s">
        <v>159</v>
      </c>
      <c r="G3" s="204" t="s">
        <v>316</v>
      </c>
      <c r="H3" s="204" t="s">
        <v>382</v>
      </c>
      <c r="I3" s="204" t="s">
        <v>317</v>
      </c>
      <c r="J3" s="418" t="s">
        <v>384</v>
      </c>
      <c r="K3" s="208"/>
      <c r="L3" s="716" t="s">
        <v>160</v>
      </c>
      <c r="M3" s="717"/>
      <c r="N3" s="209"/>
      <c r="O3" s="210">
        <f>Cover!L11</f>
        <v>8.4202808710861117</v>
      </c>
      <c r="P3" s="202"/>
      <c r="Q3" s="718" t="s">
        <v>161</v>
      </c>
      <c r="R3" s="719"/>
      <c r="S3" s="719"/>
      <c r="T3" s="211">
        <f>'Wacc &amp; Beta'!C24</f>
        <v>0.11929999999999999</v>
      </c>
      <c r="U3" s="203"/>
      <c r="V3" s="712" t="s">
        <v>370</v>
      </c>
      <c r="W3" s="713"/>
      <c r="X3" s="416">
        <f>'Pro Forma'!I25</f>
        <v>364179</v>
      </c>
      <c r="Y3" s="416">
        <f>'Pro Forma'!N25</f>
        <v>543178</v>
      </c>
      <c r="Z3" s="416">
        <f>'Pro Forma'!O25</f>
        <v>682539.38362500002</v>
      </c>
      <c r="AA3" s="417">
        <f>'Pro Forma'!P25</f>
        <v>834956.29524356883</v>
      </c>
      <c r="AB3" s="196"/>
      <c r="AF3" s="212"/>
    </row>
    <row r="4" spans="2:37" x14ac:dyDescent="0.3">
      <c r="B4" s="464" t="str">
        <f>Peers!B5</f>
        <v>MarketWise, Inc.</v>
      </c>
      <c r="C4" s="540"/>
      <c r="D4" s="540"/>
      <c r="E4" s="463" t="str">
        <f>Peers!C5</f>
        <v>MKTW</v>
      </c>
      <c r="F4" s="224">
        <f>Peers!E5</f>
        <v>1831.056</v>
      </c>
      <c r="G4" s="607">
        <f>Peers!L5</f>
        <v>10.136529177535792</v>
      </c>
      <c r="H4" s="607">
        <f>Peers!O5</f>
        <v>27.01378397911191</v>
      </c>
      <c r="I4" s="607">
        <f>Peers!N5</f>
        <v>22.609805973286694</v>
      </c>
      <c r="J4" s="611">
        <f>Peers!P5</f>
        <v>20.560740251854231</v>
      </c>
      <c r="K4" s="215"/>
      <c r="L4" s="716" t="s">
        <v>162</v>
      </c>
      <c r="M4" s="717"/>
      <c r="N4" s="216"/>
      <c r="O4" s="217" t="str">
        <f>Cover!L26</f>
        <v>$4.84 - 16.97</v>
      </c>
      <c r="P4" s="202"/>
      <c r="Q4" s="718" t="s">
        <v>163</v>
      </c>
      <c r="R4" s="719"/>
      <c r="S4" s="719"/>
      <c r="T4" s="218">
        <f>('Pro Forma'!S25/'Pro Forma'!O25)^(1/4)-1</f>
        <v>0.24300242841963238</v>
      </c>
      <c r="U4" s="203"/>
      <c r="V4" s="718" t="s">
        <v>164</v>
      </c>
      <c r="W4" s="720"/>
      <c r="X4" s="219">
        <v>0.33800000000000002</v>
      </c>
      <c r="Y4" s="220">
        <f>(Y3/X3)-1</f>
        <v>0.49151378854903771</v>
      </c>
      <c r="Z4" s="220">
        <f>(Z3/Y3)-1</f>
        <v>0.25656669383701103</v>
      </c>
      <c r="AA4" s="221">
        <f>(AA3/Z3)-1</f>
        <v>0.22330859621473431</v>
      </c>
      <c r="AB4" s="196"/>
      <c r="AI4" s="222"/>
      <c r="AJ4" s="222"/>
    </row>
    <row r="5" spans="2:37" x14ac:dyDescent="0.3">
      <c r="B5" s="637" t="str">
        <f>Peers!B43</f>
        <v>FactSet Research Systems Inc</v>
      </c>
      <c r="C5" s="223"/>
      <c r="D5" s="223"/>
      <c r="E5" s="463" t="str">
        <f>Peers!C43</f>
        <v>FDS</v>
      </c>
      <c r="F5" s="224">
        <f>Peers!E43</f>
        <v>16204</v>
      </c>
      <c r="G5" s="608">
        <f>Peers!L43</f>
        <v>29.69</v>
      </c>
      <c r="H5" s="608">
        <f>Peers!O43</f>
        <v>34.911827004219411</v>
      </c>
      <c r="I5" s="608">
        <f>Peers!N43</f>
        <v>41.38</v>
      </c>
      <c r="J5" s="612">
        <f>Peers!P43</f>
        <v>24.9</v>
      </c>
      <c r="L5" s="716" t="s">
        <v>165</v>
      </c>
      <c r="M5" s="717"/>
      <c r="N5" s="209"/>
      <c r="O5" s="640">
        <f>Cover!L24</f>
        <v>1831.056</v>
      </c>
      <c r="P5" s="202"/>
      <c r="Q5" s="718" t="s">
        <v>166</v>
      </c>
      <c r="R5" s="719"/>
      <c r="S5" s="719"/>
      <c r="T5" s="225">
        <f>('Pro Forma'!S103/'Pro Forma'!O103)^(1/4)-1</f>
        <v>0.24915871554232494</v>
      </c>
      <c r="U5" s="203"/>
      <c r="V5" s="718" t="s">
        <v>220</v>
      </c>
      <c r="W5" s="720"/>
      <c r="X5" s="419">
        <f>'Pro Forma'!I64</f>
        <v>14911</v>
      </c>
      <c r="Y5" s="419">
        <f>'Pro Forma'!N64</f>
        <v>79626.747428766394</v>
      </c>
      <c r="Z5" s="419">
        <f>'Pro Forma'!O64</f>
        <v>95157.875171650056</v>
      </c>
      <c r="AA5" s="420">
        <f>'Pro Forma'!P64</f>
        <v>115102.06035712254</v>
      </c>
      <c r="AB5" s="196"/>
      <c r="AG5" s="226"/>
    </row>
    <row r="6" spans="2:37" x14ac:dyDescent="0.3">
      <c r="B6" s="638" t="str">
        <f>Peers!B44</f>
        <v>S&amp;P Global</v>
      </c>
      <c r="C6" s="544"/>
      <c r="D6" s="544"/>
      <c r="E6" s="545" t="str">
        <f>Peers!C44</f>
        <v>SPGI</v>
      </c>
      <c r="F6" s="546">
        <f>Peers!E44</f>
        <v>102220</v>
      </c>
      <c r="G6" s="609">
        <f>Peers!L44</f>
        <v>22.8</v>
      </c>
      <c r="H6" s="609">
        <f>Peers!O44</f>
        <v>27.137081131078222</v>
      </c>
      <c r="I6" s="609">
        <f>Peers!N44</f>
        <v>36.28</v>
      </c>
      <c r="J6" s="613">
        <f>Peers!P44</f>
        <v>20.7</v>
      </c>
      <c r="L6" s="718" t="s">
        <v>167</v>
      </c>
      <c r="M6" s="719"/>
      <c r="N6" s="209"/>
      <c r="O6" s="230">
        <v>94.5</v>
      </c>
      <c r="P6" s="202"/>
      <c r="Q6" s="718" t="s">
        <v>371</v>
      </c>
      <c r="R6" s="719"/>
      <c r="S6" s="719"/>
      <c r="T6" s="231">
        <f>(('Pro Forma'!L129+'Pro Forma'!L131)/(Cover!L24*1000))</f>
        <v>5.1309189888239359E-3</v>
      </c>
      <c r="U6" s="203"/>
      <c r="V6" s="232" t="s">
        <v>164</v>
      </c>
      <c r="W6" s="630"/>
      <c r="X6" s="421">
        <v>-0.67600000000000005</v>
      </c>
      <c r="Y6" s="421">
        <f>(Y5/X5)-1</f>
        <v>4.3401346273735086</v>
      </c>
      <c r="Z6" s="421">
        <f>(Z5/Y5)-1</f>
        <v>0.19504912914818884</v>
      </c>
      <c r="AA6" s="422">
        <f>(AA5/Z5)-1</f>
        <v>0.20959048475490083</v>
      </c>
      <c r="AB6" s="196"/>
      <c r="AG6" s="226"/>
    </row>
    <row r="7" spans="2:37" x14ac:dyDescent="0.3">
      <c r="B7" s="638" t="str">
        <f>Peers!B45</f>
        <v>Envestnet Inc</v>
      </c>
      <c r="C7" s="544"/>
      <c r="D7" s="544"/>
      <c r="E7" s="545" t="str">
        <f>Peers!C45</f>
        <v>ENV</v>
      </c>
      <c r="F7" s="546">
        <f>Peers!E45</f>
        <v>4073</v>
      </c>
      <c r="G7" s="609">
        <f>Peers!L45</f>
        <v>42.88</v>
      </c>
      <c r="H7" s="609">
        <f>Peers!O45</f>
        <v>58.148588064046578</v>
      </c>
      <c r="I7" s="609">
        <f>Peers!N45</f>
        <v>29</v>
      </c>
      <c r="J7" s="613">
        <f>Peers!P45</f>
        <v>27.1</v>
      </c>
      <c r="K7" s="199"/>
      <c r="L7" s="233" t="s">
        <v>168</v>
      </c>
      <c r="M7" s="209"/>
      <c r="N7" s="209"/>
      <c r="O7" s="234">
        <f>Cover!L23</f>
        <v>205743.9</v>
      </c>
      <c r="P7" s="202"/>
      <c r="Q7" s="718" t="s">
        <v>169</v>
      </c>
      <c r="R7" s="719"/>
      <c r="S7" s="719"/>
      <c r="T7" s="235">
        <f>(('Pro Forma'!L129+'Pro Forma'!L131)-'Pro Forma'!L135)/('Pro Forma'!L55-'Pro Forma'!L74)</f>
        <v>0.344202344033187</v>
      </c>
      <c r="U7" s="203"/>
      <c r="V7" s="718" t="s">
        <v>170</v>
      </c>
      <c r="W7" s="720"/>
      <c r="X7" s="219">
        <f>(X5/X3)</f>
        <v>4.0944151090535147E-2</v>
      </c>
      <c r="Y7" s="219">
        <f>(Y5/Y3)</f>
        <v>0.14659420563565975</v>
      </c>
      <c r="Z7" s="219">
        <f>(Z5/Z3)</f>
        <v>0.13941741305279987</v>
      </c>
      <c r="AA7" s="236">
        <f>(AA5/AA3)</f>
        <v>0.13785399429025874</v>
      </c>
      <c r="AB7" s="196"/>
      <c r="AI7" s="237"/>
      <c r="AK7" s="226"/>
    </row>
    <row r="8" spans="2:37" x14ac:dyDescent="0.3">
      <c r="B8" s="638" t="str">
        <f>Peers!B46</f>
        <v>Tradeweb Markets Inc</v>
      </c>
      <c r="C8" s="544"/>
      <c r="D8" s="544"/>
      <c r="E8" s="545" t="str">
        <f>Peers!C46</f>
        <v>TW</v>
      </c>
      <c r="F8" s="546">
        <f>Peers!E46</f>
        <v>21171</v>
      </c>
      <c r="G8" s="609">
        <f>Peers!L46</f>
        <v>29.34</v>
      </c>
      <c r="H8" s="609">
        <f>Peers!O46</f>
        <v>65.034031890660586</v>
      </c>
      <c r="I8" s="609">
        <f>Peers!N46</f>
        <v>69.48</v>
      </c>
      <c r="J8" s="613">
        <f>Peers!P46</f>
        <v>29.1</v>
      </c>
      <c r="K8" s="238"/>
      <c r="L8" s="718" t="s">
        <v>171</v>
      </c>
      <c r="M8" s="719"/>
      <c r="N8" s="209"/>
      <c r="O8" s="239">
        <v>4.0300000000000002E-2</v>
      </c>
      <c r="P8" s="202"/>
      <c r="Q8" s="718" t="s">
        <v>372</v>
      </c>
      <c r="R8" s="719"/>
      <c r="S8" s="719"/>
      <c r="T8" s="240">
        <f>'Pro Forma'!N101/'Pro Forma'!N183</f>
        <v>0.33449537427411097</v>
      </c>
      <c r="U8" s="203"/>
      <c r="V8" s="601" t="s">
        <v>368</v>
      </c>
      <c r="W8" s="631"/>
      <c r="X8" s="241">
        <f>'Pro Forma'!I103</f>
        <v>3.6823418622717596E-2</v>
      </c>
      <c r="Y8" s="241">
        <f>'Pro Forma'!N103</f>
        <v>0.26448701094849392</v>
      </c>
      <c r="Z8" s="241">
        <f>'Pro Forma'!O103</f>
        <v>0.20964946772140647</v>
      </c>
      <c r="AA8" s="242">
        <f>'Pro Forma'!P103</f>
        <v>0.25368254871351148</v>
      </c>
      <c r="AB8" s="196"/>
      <c r="AI8" s="237"/>
      <c r="AK8" s="226"/>
    </row>
    <row r="9" spans="2:37" x14ac:dyDescent="0.3">
      <c r="B9" s="638" t="str">
        <f>Peers!B47</f>
        <v>Activision Blizzard, Inc</v>
      </c>
      <c r="C9" s="544"/>
      <c r="D9" s="544"/>
      <c r="E9" s="545" t="str">
        <f>Peers!C47</f>
        <v>ATVI</v>
      </c>
      <c r="F9" s="546">
        <f>Peers!E47</f>
        <v>64110</v>
      </c>
      <c r="G9" s="609">
        <f>Peers!L47</f>
        <v>33.229999999999997</v>
      </c>
      <c r="H9" s="609">
        <f>Peers!O47</f>
        <v>22.619985870717063</v>
      </c>
      <c r="I9" s="609">
        <f>Peers!N47</f>
        <v>23.72</v>
      </c>
      <c r="J9" s="613">
        <f>Peers!P47</f>
        <v>20</v>
      </c>
      <c r="K9" s="244"/>
      <c r="L9" s="716" t="s">
        <v>173</v>
      </c>
      <c r="M9" s="717"/>
      <c r="N9" s="209"/>
      <c r="O9" s="230">
        <v>0</v>
      </c>
      <c r="P9" s="202"/>
      <c r="Q9" s="718" t="s">
        <v>373</v>
      </c>
      <c r="R9" s="719"/>
      <c r="S9" s="719"/>
      <c r="T9" s="245">
        <f>'Pro Forma'!N101/(Cover!L25*1000)</f>
        <v>5.3035242928432411E-2</v>
      </c>
      <c r="U9" s="203"/>
      <c r="V9" s="718" t="s">
        <v>174</v>
      </c>
      <c r="W9" s="720"/>
      <c r="X9" s="539">
        <f>($O$2/X8)</f>
        <v>162.39665472859542</v>
      </c>
      <c r="Y9" s="539">
        <f>($O$2/Y8)</f>
        <v>22.609805973286694</v>
      </c>
      <c r="Z9" s="539">
        <f>($O$2/Z8)</f>
        <v>28.523802445072494</v>
      </c>
      <c r="AA9" s="246">
        <f>($O$2/AA8)</f>
        <v>23.572768526357436</v>
      </c>
      <c r="AB9" s="247"/>
      <c r="AI9" s="237"/>
      <c r="AK9" s="226"/>
    </row>
    <row r="10" spans="2:37" x14ac:dyDescent="0.3">
      <c r="B10" s="639" t="str">
        <f>Peers!B48</f>
        <v>Ubisoft Entertainment</v>
      </c>
      <c r="C10" s="547"/>
      <c r="D10" s="547"/>
      <c r="E10" s="548" t="str">
        <f>Peers!C48</f>
        <v>UBSFY</v>
      </c>
      <c r="F10" s="549">
        <f>Peers!E48</f>
        <v>7202</v>
      </c>
      <c r="G10" s="610">
        <f>Peers!L48</f>
        <v>9.52</v>
      </c>
      <c r="H10" s="610">
        <f>Peers!O48</f>
        <v>3.0822730199613648</v>
      </c>
      <c r="I10" s="610">
        <f>Peers!N48</f>
        <v>3.77</v>
      </c>
      <c r="J10" s="661">
        <f>Peers!P48</f>
        <v>8.6999999999999993</v>
      </c>
      <c r="K10" s="244"/>
      <c r="L10" s="721" t="s">
        <v>176</v>
      </c>
      <c r="M10" s="722"/>
      <c r="N10" s="249"/>
      <c r="O10" s="250" t="s">
        <v>376</v>
      </c>
      <c r="P10" s="202"/>
      <c r="Q10" s="723" t="s">
        <v>374</v>
      </c>
      <c r="R10" s="724"/>
      <c r="S10" s="724"/>
      <c r="T10" s="642">
        <f>('Pro Forma'!N64*(1-'Pro Forma'!N94))/(Cover!L25*1000)</f>
        <v>4.6589246509300339E-2</v>
      </c>
      <c r="U10" s="203"/>
      <c r="V10" s="723" t="s">
        <v>177</v>
      </c>
      <c r="W10" s="724"/>
      <c r="X10" s="251">
        <f>(Cover!$L$25*1000)/('Pro Forma'!I55)</f>
        <v>97.005096197892811</v>
      </c>
      <c r="Y10" s="251">
        <f>(Cover!$L$25*1000)/('Pro Forma'!N55)</f>
        <v>20.560740251854231</v>
      </c>
      <c r="Z10" s="251">
        <f>(Cover!$L$25*1000)/('Pro Forma'!O55)</f>
        <v>17.22667874407049</v>
      </c>
      <c r="AA10" s="252">
        <f>(Cover!$L$25*1000)/('Pro Forma'!P55)</f>
        <v>14.3352150226277</v>
      </c>
      <c r="AB10" s="253"/>
      <c r="AF10" s="443"/>
      <c r="AI10" s="237"/>
      <c r="AK10" s="226"/>
    </row>
    <row r="11" spans="2:37" x14ac:dyDescent="0.3">
      <c r="B11" s="541" t="s">
        <v>172</v>
      </c>
      <c r="C11" s="542"/>
      <c r="D11" s="542"/>
      <c r="E11" s="542"/>
      <c r="F11" s="543"/>
      <c r="G11" s="610">
        <f>AVERAGE(G5:G10)</f>
        <v>27.91</v>
      </c>
      <c r="H11" s="660">
        <f>AVERAGE(H5:H10)</f>
        <v>35.155631163447211</v>
      </c>
      <c r="I11" s="626">
        <f>AVERAGE(I5,I6,I7,I9,I10)</f>
        <v>26.830000000000002</v>
      </c>
      <c r="J11" s="614">
        <f>AVERAGE(J5:J10)</f>
        <v>21.749999999999996</v>
      </c>
      <c r="K11" s="244"/>
      <c r="Q11" s="662" t="s">
        <v>385</v>
      </c>
      <c r="T11" s="667"/>
      <c r="Z11" s="256"/>
      <c r="AA11" s="257" t="s">
        <v>221</v>
      </c>
      <c r="AB11" s="196"/>
      <c r="AF11" s="212"/>
      <c r="AG11" s="212"/>
      <c r="AH11" s="212"/>
      <c r="AI11" s="212"/>
    </row>
    <row r="12" spans="2:37" x14ac:dyDescent="0.3">
      <c r="B12" s="663" t="s">
        <v>383</v>
      </c>
      <c r="C12" s="202"/>
      <c r="D12" s="202"/>
      <c r="E12" s="202"/>
      <c r="F12" s="202"/>
      <c r="G12" s="202"/>
      <c r="H12" s="202"/>
      <c r="I12" s="209"/>
      <c r="J12" s="664" t="s">
        <v>175</v>
      </c>
      <c r="K12" s="244"/>
      <c r="T12" s="667"/>
      <c r="Z12" s="256"/>
      <c r="AA12" s="257"/>
      <c r="AB12" s="196"/>
      <c r="AF12" s="212"/>
      <c r="AG12" s="212"/>
      <c r="AH12" s="212"/>
      <c r="AI12" s="212"/>
    </row>
    <row r="13" spans="2:37" x14ac:dyDescent="0.3">
      <c r="B13" s="254" t="s">
        <v>178</v>
      </c>
      <c r="C13" s="254"/>
      <c r="D13" s="254"/>
      <c r="E13" s="254"/>
      <c r="F13" s="254"/>
      <c r="G13" s="254"/>
      <c r="H13" s="254"/>
      <c r="I13" s="254"/>
      <c r="J13" s="255"/>
      <c r="K13" s="244"/>
      <c r="Q13" s="206" t="s">
        <v>397</v>
      </c>
      <c r="T13" s="667">
        <f>('Pro Forma'!N64*(1-'Pro Forma'!N94))/('Pro Forma'!N183-'Pro Forma'!N184)</f>
        <v>-0.1380325947045597</v>
      </c>
      <c r="Z13" s="256"/>
      <c r="AA13" s="257"/>
      <c r="AB13" s="196"/>
      <c r="AF13" s="212"/>
      <c r="AG13" s="212"/>
      <c r="AH13" s="212"/>
      <c r="AI13" s="212"/>
    </row>
    <row r="14" spans="2:37" x14ac:dyDescent="0.3">
      <c r="B14" s="461" t="s">
        <v>157</v>
      </c>
      <c r="C14" s="462"/>
      <c r="D14" s="463"/>
      <c r="E14" s="462" t="s">
        <v>158</v>
      </c>
      <c r="F14" s="462" t="s">
        <v>362</v>
      </c>
      <c r="G14" s="462" t="s">
        <v>179</v>
      </c>
      <c r="H14" s="258" t="s">
        <v>180</v>
      </c>
      <c r="I14" s="462" t="s">
        <v>181</v>
      </c>
      <c r="J14" s="205" t="s">
        <v>369</v>
      </c>
      <c r="K14" s="244"/>
      <c r="O14" s="196"/>
      <c r="P14" s="196"/>
      <c r="Q14" s="704" t="s">
        <v>396</v>
      </c>
      <c r="R14" s="704"/>
      <c r="S14" s="704"/>
      <c r="T14" s="667">
        <f>('Pro Forma'!N64*(1-'Pro Forma'!N94))/('Pro Forma'!N107+'Pro Forma'!N109+'Pro Forma'!N111+'Pro Forma'!N113+'Pro Forma'!N115+'Pro Forma'!N118+'Pro Forma'!N120+'Pro Forma'!N179)</f>
        <v>-0.40079353256064426</v>
      </c>
    </row>
    <row r="15" spans="2:37" x14ac:dyDescent="0.3">
      <c r="B15" s="465" t="str">
        <f>B4</f>
        <v>MarketWise, Inc.</v>
      </c>
      <c r="C15" s="213"/>
      <c r="D15" s="213"/>
      <c r="E15" s="462" t="str">
        <f>E4</f>
        <v>MKTW</v>
      </c>
      <c r="F15" s="214">
        <f>('Pro Forma'!L25+'Pro Forma'!K25+'Pro Forma'!J25+'Pro Forma'!H25)/1000</f>
        <v>509.35399999999998</v>
      </c>
      <c r="G15" s="259">
        <f>T10</f>
        <v>4.6589246509300339E-2</v>
      </c>
      <c r="H15" s="260">
        <f>T9</f>
        <v>5.3035242928432411E-2</v>
      </c>
      <c r="I15" s="259">
        <f>'Pro Forma'!L33</f>
        <v>0.88890073720204454</v>
      </c>
      <c r="J15" s="261">
        <f>Peers!J5</f>
        <v>0.28081213077694128</v>
      </c>
      <c r="K15" s="244"/>
      <c r="M15" s="196"/>
      <c r="N15" s="196"/>
      <c r="O15" s="196"/>
      <c r="P15" s="196"/>
      <c r="Q15" s="196"/>
      <c r="S15" s="196"/>
      <c r="T15" s="443"/>
      <c r="U15" s="206"/>
    </row>
    <row r="16" spans="2:37" x14ac:dyDescent="0.3">
      <c r="B16" s="600" t="str">
        <f>B5</f>
        <v>FactSet Research Systems Inc</v>
      </c>
      <c r="C16" s="223"/>
      <c r="D16" s="223"/>
      <c r="E16" s="463" t="str">
        <f>E5</f>
        <v>FDS</v>
      </c>
      <c r="F16" s="224">
        <f>1627965/1000</f>
        <v>1627.9649999999999</v>
      </c>
      <c r="G16" s="262">
        <f>Peers!H43/100</f>
        <v>0.26729999999999998</v>
      </c>
      <c r="H16" s="263">
        <f>Peers!G43/100</f>
        <v>0.42219999999999996</v>
      </c>
      <c r="I16" s="262">
        <f>Peers!I43</f>
        <v>0.66300000000000003</v>
      </c>
      <c r="J16" s="264">
        <f>Peers!J43</f>
        <v>0.29799999999999999</v>
      </c>
      <c r="O16" s="196"/>
      <c r="P16" s="196"/>
      <c r="Q16" s="196"/>
      <c r="R16" s="196"/>
      <c r="T16" s="447"/>
    </row>
    <row r="17" spans="2:24" x14ac:dyDescent="0.3">
      <c r="B17" s="601" t="str">
        <f>B6</f>
        <v>S&amp;P Global</v>
      </c>
      <c r="C17" s="544"/>
      <c r="D17" s="544"/>
      <c r="E17" s="545" t="str">
        <f>E6</f>
        <v>SPGI</v>
      </c>
      <c r="F17" s="546">
        <f>8076000/1000</f>
        <v>8076</v>
      </c>
      <c r="G17" s="265">
        <f>Peers!H44/100</f>
        <v>0.60809999999999997</v>
      </c>
      <c r="H17" s="266">
        <f>Peers!G44/100</f>
        <v>3.2364999999999999</v>
      </c>
      <c r="I17" s="265">
        <f>Peers!I44</f>
        <v>0.71899999999999997</v>
      </c>
      <c r="J17" s="267">
        <f>Peers!J44</f>
        <v>0.51500000000000001</v>
      </c>
      <c r="K17" s="268"/>
      <c r="O17" s="206"/>
    </row>
    <row r="18" spans="2:24" x14ac:dyDescent="0.3">
      <c r="B18" s="601" t="str">
        <f>B7</f>
        <v>Envestnet Inc</v>
      </c>
      <c r="C18" s="544"/>
      <c r="D18" s="544"/>
      <c r="E18" s="545" t="str">
        <f>E7</f>
        <v>ENV</v>
      </c>
      <c r="F18" s="546">
        <f>1130715/1000</f>
        <v>1130.7149999999999</v>
      </c>
      <c r="G18" s="265">
        <f>Peers!H45/100</f>
        <v>8.1600000000000006E-2</v>
      </c>
      <c r="H18" s="266">
        <f>Peers!G45/100</f>
        <v>0.15179999999999999</v>
      </c>
      <c r="I18" s="265">
        <f>Peers!I45</f>
        <v>0.69399999999999995</v>
      </c>
      <c r="J18" s="267">
        <f>Peers!J45</f>
        <v>7.1999999999999995E-2</v>
      </c>
      <c r="K18" s="203"/>
      <c r="O18" s="206"/>
      <c r="R18" s="196"/>
      <c r="U18" s="206"/>
    </row>
    <row r="19" spans="2:24" x14ac:dyDescent="0.3">
      <c r="B19" s="601" t="str">
        <f>B8</f>
        <v>Tradeweb Markets Inc</v>
      </c>
      <c r="C19" s="544"/>
      <c r="D19" s="544"/>
      <c r="E19" s="545" t="str">
        <f>E8</f>
        <v>TW</v>
      </c>
      <c r="F19" s="546">
        <f>1032640/1000</f>
        <v>1032.6400000000001</v>
      </c>
      <c r="G19" s="265">
        <f>Peers!H46/100</f>
        <v>8.3400000000000002E-2</v>
      </c>
      <c r="H19" s="266">
        <f>Peers!G46/100</f>
        <v>8.1500000000000003E-2</v>
      </c>
      <c r="I19" s="265" t="str">
        <f>Peers!I46</f>
        <v>-</v>
      </c>
      <c r="J19" s="267">
        <f>Peers!J46</f>
        <v>0.29499999999999998</v>
      </c>
      <c r="K19" s="227"/>
      <c r="Q19" s="269"/>
    </row>
    <row r="20" spans="2:24" x14ac:dyDescent="0.3">
      <c r="B20" s="601" t="str">
        <f t="shared" ref="B20:B21" si="0">B9</f>
        <v>Activision Blizzard, Inc</v>
      </c>
      <c r="C20" s="544"/>
      <c r="D20" s="544"/>
      <c r="E20" s="545" t="str">
        <f t="shared" ref="E20:E21" si="1">E9</f>
        <v>ATVI</v>
      </c>
      <c r="F20" s="546">
        <f>8918000/1000</f>
        <v>8918</v>
      </c>
      <c r="G20" s="265">
        <f>Peers!H47/100</f>
        <v>0.1487</v>
      </c>
      <c r="H20" s="266">
        <f>Peers!G47/100</f>
        <v>0.184</v>
      </c>
      <c r="I20" s="265">
        <f>Peers!I47</f>
        <v>0.72099999999999997</v>
      </c>
      <c r="J20" s="267">
        <f>Peers!J47</f>
        <v>0.35</v>
      </c>
      <c r="K20" s="229"/>
      <c r="Q20" s="270"/>
    </row>
    <row r="21" spans="2:24" x14ac:dyDescent="0.3">
      <c r="B21" s="602" t="str">
        <f t="shared" si="0"/>
        <v>Ubisoft Entertainment</v>
      </c>
      <c r="C21" s="547"/>
      <c r="D21" s="547"/>
      <c r="E21" s="548" t="str">
        <f t="shared" si="1"/>
        <v>UBSFY</v>
      </c>
      <c r="F21" s="549">
        <f>2643550/1000</f>
        <v>2643.55</v>
      </c>
      <c r="G21" s="634" t="s">
        <v>70</v>
      </c>
      <c r="H21" s="635">
        <f>Peers!G48/100</f>
        <v>0.15820000000000001</v>
      </c>
      <c r="I21" s="634">
        <f>Peers!I48</f>
        <v>0.85399999999999998</v>
      </c>
      <c r="J21" s="636">
        <f>Peers!J48</f>
        <v>0.18</v>
      </c>
      <c r="K21" s="229"/>
      <c r="Q21" s="269"/>
    </row>
    <row r="22" spans="2:24" x14ac:dyDescent="0.3">
      <c r="B22" s="243" t="s">
        <v>172</v>
      </c>
      <c r="C22" s="604"/>
      <c r="D22" s="604"/>
      <c r="E22" s="604"/>
      <c r="F22" s="214">
        <f>AVERAGE(F16:F21)</f>
        <v>3904.8116666666665</v>
      </c>
      <c r="G22" s="605">
        <f t="shared" ref="G22:J22" si="2">AVERAGE(G16:G21)</f>
        <v>0.23782</v>
      </c>
      <c r="H22" s="605">
        <f t="shared" si="2"/>
        <v>0.7057000000000001</v>
      </c>
      <c r="I22" s="605">
        <f t="shared" si="2"/>
        <v>0.73020000000000007</v>
      </c>
      <c r="J22" s="606">
        <f t="shared" si="2"/>
        <v>0.28499999999999998</v>
      </c>
      <c r="K22" s="229"/>
      <c r="Q22" s="269"/>
    </row>
    <row r="23" spans="2:24" x14ac:dyDescent="0.3">
      <c r="B23" s="209"/>
      <c r="C23" s="209"/>
      <c r="D23" s="209"/>
      <c r="E23" s="209"/>
      <c r="F23" s="209"/>
      <c r="G23" s="209"/>
      <c r="H23" s="209"/>
      <c r="I23" s="209"/>
      <c r="J23" s="664" t="s">
        <v>182</v>
      </c>
      <c r="K23" s="229"/>
      <c r="Q23" s="269"/>
    </row>
    <row r="24" spans="2:24" x14ac:dyDescent="0.3">
      <c r="K24" s="229"/>
      <c r="Q24" s="269"/>
    </row>
    <row r="25" spans="2:24" x14ac:dyDescent="0.3">
      <c r="K25" s="229"/>
      <c r="Q25" s="269"/>
      <c r="U25" s="206"/>
    </row>
    <row r="26" spans="2:24" x14ac:dyDescent="0.3">
      <c r="B26" s="206" t="s">
        <v>318</v>
      </c>
      <c r="D26" s="206" t="s">
        <v>319</v>
      </c>
      <c r="K26" s="229"/>
      <c r="Q26" s="269"/>
      <c r="U26" s="206"/>
    </row>
    <row r="27" spans="2:24" x14ac:dyDescent="0.3">
      <c r="B27" s="551">
        <f>(Cover!$L$25*1000)/('Pro Forma'!L25+'Pro Forma'!K25+'Pro Forma'!J25+'Pro Forma'!H25)</f>
        <v>3.3259717210427326</v>
      </c>
      <c r="D27" s="551">
        <f>(Cover!L25*1000)/('Pro Forma'!L55+'Pro Forma'!K55+'Pro Forma'!J55+'Pro Forma'!H55)</f>
        <v>23.987553806071592</v>
      </c>
      <c r="K27" s="229"/>
      <c r="Q27" s="271"/>
      <c r="U27" s="206"/>
    </row>
    <row r="28" spans="2:24" x14ac:dyDescent="0.3">
      <c r="K28" s="228"/>
      <c r="O28" s="206"/>
      <c r="Q28" s="269"/>
      <c r="U28" s="206"/>
      <c r="X28" s="272"/>
    </row>
    <row r="29" spans="2:24" x14ac:dyDescent="0.3">
      <c r="K29" s="248"/>
      <c r="Q29" s="273"/>
      <c r="U29" s="206"/>
    </row>
    <row r="30" spans="2:24" x14ac:dyDescent="0.3">
      <c r="K30" s="209"/>
      <c r="N30" s="237"/>
      <c r="U30" s="206"/>
    </row>
    <row r="31" spans="2:24" x14ac:dyDescent="0.3">
      <c r="K31" s="227"/>
      <c r="O31" s="206"/>
      <c r="Q31" s="274"/>
      <c r="U31" s="206"/>
    </row>
    <row r="32" spans="2:24" x14ac:dyDescent="0.3">
      <c r="K32" s="265"/>
      <c r="Q32" s="270"/>
      <c r="U32" s="206"/>
    </row>
    <row r="33" spans="2:17" x14ac:dyDescent="0.3">
      <c r="K33" s="265"/>
      <c r="L33" s="196"/>
      <c r="N33" s="196"/>
      <c r="Q33" s="269"/>
    </row>
    <row r="34" spans="2:17" x14ac:dyDescent="0.3">
      <c r="K34" s="265"/>
      <c r="L34" s="196"/>
      <c r="N34" s="196"/>
      <c r="Q34" s="269"/>
    </row>
    <row r="35" spans="2:17" x14ac:dyDescent="0.3">
      <c r="K35" s="265"/>
      <c r="L35" s="196"/>
      <c r="M35" s="196"/>
      <c r="N35" s="275"/>
      <c r="O35" s="276"/>
      <c r="Q35" s="277"/>
    </row>
    <row r="36" spans="2:17" x14ac:dyDescent="0.3">
      <c r="K36" s="265"/>
      <c r="L36" s="196"/>
      <c r="M36" s="196"/>
      <c r="N36" s="196"/>
    </row>
    <row r="37" spans="2:17" x14ac:dyDescent="0.3">
      <c r="K37" s="265"/>
      <c r="L37" s="196"/>
      <c r="M37" s="196"/>
      <c r="N37" s="196"/>
    </row>
    <row r="38" spans="2:17" x14ac:dyDescent="0.3">
      <c r="F38" s="215"/>
      <c r="K38" s="278"/>
      <c r="M38" s="279"/>
    </row>
    <row r="39" spans="2:17" x14ac:dyDescent="0.3">
      <c r="K39" s="248"/>
    </row>
    <row r="40" spans="2:17" x14ac:dyDescent="0.3">
      <c r="B40"/>
      <c r="C40"/>
      <c r="D40"/>
      <c r="E40"/>
      <c r="F40"/>
      <c r="G40"/>
      <c r="H40"/>
    </row>
    <row r="41" spans="2:17" x14ac:dyDescent="0.3">
      <c r="B41"/>
      <c r="C41"/>
      <c r="D41" s="280"/>
      <c r="E41" s="280"/>
      <c r="F41"/>
      <c r="G41" s="281"/>
      <c r="H41" s="281"/>
      <c r="I41" s="281"/>
      <c r="J41" s="281"/>
    </row>
    <row r="42" spans="2:17" x14ac:dyDescent="0.3">
      <c r="B42"/>
      <c r="C42"/>
      <c r="D42" s="280"/>
      <c r="E42" s="280"/>
      <c r="F42"/>
      <c r="G42" s="281"/>
      <c r="H42" s="281"/>
      <c r="I42" s="281"/>
      <c r="J42" s="281"/>
      <c r="L42"/>
      <c r="M42"/>
      <c r="N42"/>
      <c r="O42"/>
      <c r="P42"/>
    </row>
    <row r="43" spans="2:17" x14ac:dyDescent="0.3">
      <c r="B43"/>
      <c r="C43"/>
      <c r="D43" s="280"/>
      <c r="E43" s="280"/>
      <c r="F43"/>
      <c r="G43" s="281"/>
      <c r="H43" s="281"/>
      <c r="I43" s="281"/>
      <c r="J43" s="281"/>
      <c r="K43" s="281"/>
      <c r="L43" s="281"/>
      <c r="M43" s="282"/>
      <c r="N43" s="283"/>
      <c r="O43"/>
      <c r="P43" s="282"/>
    </row>
    <row r="44" spans="2:17" x14ac:dyDescent="0.3">
      <c r="B44"/>
      <c r="C44"/>
      <c r="D44" s="280"/>
      <c r="E44" s="280"/>
      <c r="F44"/>
      <c r="G44" s="281"/>
      <c r="H44" s="281"/>
      <c r="I44" s="281"/>
      <c r="J44" s="281"/>
      <c r="K44" s="281"/>
      <c r="L44" s="281"/>
      <c r="M44"/>
      <c r="N44" s="283"/>
      <c r="O44"/>
      <c r="P44"/>
    </row>
    <row r="45" spans="2:17" x14ac:dyDescent="0.3">
      <c r="B45"/>
      <c r="C45"/>
      <c r="D45" s="280"/>
      <c r="E45" s="280"/>
      <c r="F45"/>
      <c r="G45" s="281"/>
      <c r="H45" s="281"/>
      <c r="I45" s="281"/>
      <c r="J45" s="281"/>
      <c r="K45" s="281"/>
      <c r="L45" s="281"/>
      <c r="M45"/>
      <c r="N45" s="283"/>
      <c r="O45"/>
      <c r="P45"/>
    </row>
    <row r="46" spans="2:17" x14ac:dyDescent="0.3">
      <c r="B46" s="284"/>
      <c r="C46" s="284"/>
      <c r="D46" s="285"/>
      <c r="E46" s="285"/>
      <c r="F46" s="286"/>
      <c r="G46" s="287"/>
      <c r="H46" s="287"/>
      <c r="I46" s="287"/>
      <c r="J46" s="287"/>
      <c r="K46" s="281"/>
      <c r="L46" s="281"/>
      <c r="M46"/>
      <c r="N46" s="283"/>
      <c r="O46"/>
      <c r="P46"/>
    </row>
    <row r="47" spans="2:17" x14ac:dyDescent="0.3">
      <c r="B47"/>
      <c r="C47"/>
      <c r="D47"/>
      <c r="E47"/>
      <c r="F47"/>
      <c r="G47"/>
      <c r="H47"/>
      <c r="I47"/>
      <c r="J47"/>
      <c r="K47" s="281"/>
      <c r="L47" s="281"/>
      <c r="M47" s="282"/>
      <c r="N47" s="283"/>
      <c r="O47"/>
      <c r="P47"/>
    </row>
    <row r="48" spans="2:17" x14ac:dyDescent="0.3">
      <c r="B48" s="284"/>
      <c r="C48" s="284"/>
      <c r="D48" s="288"/>
      <c r="E48" s="288"/>
      <c r="F48" s="284"/>
      <c r="G48" s="287"/>
      <c r="H48" s="287"/>
      <c r="I48" s="287"/>
      <c r="J48" s="287"/>
      <c r="K48" s="287"/>
      <c r="L48" s="287"/>
      <c r="M48" s="289"/>
      <c r="N48" s="290"/>
      <c r="O48" s="289"/>
      <c r="P48" s="289"/>
    </row>
    <row r="49" spans="11:16" x14ac:dyDescent="0.3">
      <c r="K49"/>
      <c r="L49"/>
      <c r="M49"/>
      <c r="N49" s="283"/>
      <c r="O49"/>
      <c r="P49"/>
    </row>
    <row r="50" spans="11:16" x14ac:dyDescent="0.3">
      <c r="K50" s="287"/>
      <c r="L50" s="287"/>
      <c r="M50" s="284"/>
      <c r="N50" s="290"/>
      <c r="O50" s="284"/>
      <c r="P50" s="284"/>
    </row>
  </sheetData>
  <mergeCells count="24">
    <mergeCell ref="L9:M9"/>
    <mergeCell ref="Q9:S9"/>
    <mergeCell ref="V9:W9"/>
    <mergeCell ref="L10:M10"/>
    <mergeCell ref="Q10:S10"/>
    <mergeCell ref="V10:W10"/>
    <mergeCell ref="L6:M6"/>
    <mergeCell ref="Q6:S6"/>
    <mergeCell ref="Q7:S7"/>
    <mergeCell ref="V7:W7"/>
    <mergeCell ref="L8:M8"/>
    <mergeCell ref="Q8:S8"/>
    <mergeCell ref="L4:M4"/>
    <mergeCell ref="Q4:S4"/>
    <mergeCell ref="V4:W4"/>
    <mergeCell ref="L5:M5"/>
    <mergeCell ref="Q5:S5"/>
    <mergeCell ref="V5:W5"/>
    <mergeCell ref="L2:M2"/>
    <mergeCell ref="Q2:S2"/>
    <mergeCell ref="V2:W2"/>
    <mergeCell ref="L3:M3"/>
    <mergeCell ref="Q3:S3"/>
    <mergeCell ref="V3:W3"/>
  </mergeCells>
  <conditionalFormatting sqref="K9:K15">
    <cfRule type="iconSet" priority="1">
      <iconSet iconSet="3Arrows">
        <cfvo type="percent" val="0"/>
        <cfvo type="percent" val="33"/>
        <cfvo type="percent" val="67"/>
      </iconSet>
    </cfRule>
  </conditionalFormatting>
  <pageMargins left="0.7" right="0.7" top="0.75" bottom="0.75" header="0.3" footer="0.3"/>
  <ignoredErrors>
    <ignoredError sqref="Y5:AA5 I11"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DCF</vt:lpstr>
      <vt:lpstr>Pro Forma</vt:lpstr>
      <vt:lpstr>DR Schedule (SL)</vt:lpstr>
      <vt:lpstr>DR Schedule (DD)</vt:lpstr>
      <vt:lpstr>Wacc &amp; Beta</vt:lpstr>
      <vt:lpstr>Peers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 Peterson</dc:creator>
  <cp:lastModifiedBy>August Peterson</cp:lastModifiedBy>
  <cp:lastPrinted>2022-02-04T18:33:14Z</cp:lastPrinted>
  <dcterms:created xsi:type="dcterms:W3CDTF">2022-01-10T23:03:18Z</dcterms:created>
  <dcterms:modified xsi:type="dcterms:W3CDTF">2022-03-21T19:39:13Z</dcterms:modified>
</cp:coreProperties>
</file>