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9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2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2860" tabRatio="500" activeTab="10"/>
  </bookViews>
  <sheets>
    <sheet name="Total" sheetId="7" r:id="rId1"/>
    <sheet name="All-交通方式" sheetId="11" r:id="rId2"/>
    <sheet name="道路类型" sheetId="16" r:id="rId3"/>
    <sheet name="车辆性质" sheetId="21" r:id="rId4"/>
    <sheet name="事故形态" sheetId="14" r:id="rId5"/>
    <sheet name="上下行隔离" sheetId="17" r:id="rId6"/>
    <sheet name="事故位置" sheetId="20" r:id="rId7"/>
    <sheet name="事发点钟" sheetId="15" r:id="rId8"/>
    <sheet name="事故原因" sheetId="13" r:id="rId9"/>
    <sheet name="交通控制" sheetId="12" r:id="rId10"/>
    <sheet name="驾龄" sheetId="18" r:id="rId11"/>
    <sheet name="年龄" sheetId="19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0" i="18" l="1"/>
  <c r="M140" i="18"/>
  <c r="M141" i="18"/>
  <c r="C140" i="18"/>
  <c r="N140" i="18"/>
  <c r="N141" i="18"/>
  <c r="D140" i="18"/>
  <c r="O140" i="18"/>
  <c r="O141" i="18"/>
  <c r="E140" i="18"/>
  <c r="P140" i="18"/>
  <c r="P141" i="18"/>
  <c r="F140" i="18"/>
  <c r="Q140" i="18"/>
  <c r="Q141" i="18"/>
  <c r="G140" i="18"/>
  <c r="R140" i="18"/>
  <c r="R141" i="18"/>
  <c r="H140" i="18"/>
  <c r="S140" i="18"/>
  <c r="S141" i="18"/>
  <c r="I140" i="18"/>
  <c r="T140" i="18"/>
  <c r="T141" i="18"/>
  <c r="J140" i="18"/>
  <c r="U140" i="18"/>
  <c r="U141" i="18"/>
  <c r="K140" i="18"/>
  <c r="V140" i="18"/>
  <c r="V141" i="18"/>
  <c r="L140" i="18"/>
  <c r="W140" i="18"/>
  <c r="W141" i="18"/>
  <c r="X141" i="18"/>
  <c r="Y141" i="18"/>
  <c r="B137" i="18"/>
  <c r="M137" i="18"/>
  <c r="M138" i="18"/>
  <c r="C137" i="18"/>
  <c r="N137" i="18"/>
  <c r="N138" i="18"/>
  <c r="D137" i="18"/>
  <c r="O137" i="18"/>
  <c r="O138" i="18"/>
  <c r="E137" i="18"/>
  <c r="P137" i="18"/>
  <c r="P138" i="18"/>
  <c r="F137" i="18"/>
  <c r="Q137" i="18"/>
  <c r="Q138" i="18"/>
  <c r="G137" i="18"/>
  <c r="R137" i="18"/>
  <c r="R138" i="18"/>
  <c r="H137" i="18"/>
  <c r="S137" i="18"/>
  <c r="S138" i="18"/>
  <c r="I137" i="18"/>
  <c r="T137" i="18"/>
  <c r="T138" i="18"/>
  <c r="J137" i="18"/>
  <c r="U137" i="18"/>
  <c r="U138" i="18"/>
  <c r="K137" i="18"/>
  <c r="V137" i="18"/>
  <c r="V138" i="18"/>
  <c r="L137" i="18"/>
  <c r="W137" i="18"/>
  <c r="W138" i="18"/>
  <c r="X138" i="18"/>
  <c r="Y138" i="18"/>
  <c r="B134" i="18"/>
  <c r="M134" i="18"/>
  <c r="M135" i="18"/>
  <c r="C134" i="18"/>
  <c r="N134" i="18"/>
  <c r="N135" i="18"/>
  <c r="D134" i="18"/>
  <c r="O134" i="18"/>
  <c r="O135" i="18"/>
  <c r="E134" i="18"/>
  <c r="P134" i="18"/>
  <c r="P135" i="18"/>
  <c r="F134" i="18"/>
  <c r="Q134" i="18"/>
  <c r="Q135" i="18"/>
  <c r="G134" i="18"/>
  <c r="R134" i="18"/>
  <c r="R135" i="18"/>
  <c r="H134" i="18"/>
  <c r="S134" i="18"/>
  <c r="S135" i="18"/>
  <c r="I134" i="18"/>
  <c r="T134" i="18"/>
  <c r="T135" i="18"/>
  <c r="J134" i="18"/>
  <c r="U134" i="18"/>
  <c r="U135" i="18"/>
  <c r="K134" i="18"/>
  <c r="V134" i="18"/>
  <c r="V135" i="18"/>
  <c r="L134" i="18"/>
  <c r="W134" i="18"/>
  <c r="W135" i="18"/>
  <c r="X135" i="18"/>
  <c r="Y135" i="18"/>
  <c r="Y139" i="18"/>
  <c r="X139" i="18"/>
  <c r="Y136" i="18"/>
  <c r="X136" i="18"/>
  <c r="Y133" i="18"/>
  <c r="X133" i="18"/>
  <c r="Y120" i="18"/>
  <c r="X120" i="18"/>
  <c r="Y117" i="18"/>
  <c r="X117" i="18"/>
  <c r="Y114" i="18"/>
  <c r="X114" i="18"/>
  <c r="B121" i="18"/>
  <c r="M121" i="18"/>
  <c r="M122" i="18"/>
  <c r="C121" i="18"/>
  <c r="N121" i="18"/>
  <c r="N122" i="18"/>
  <c r="D121" i="18"/>
  <c r="O121" i="18"/>
  <c r="O122" i="18"/>
  <c r="E121" i="18"/>
  <c r="P121" i="18"/>
  <c r="P122" i="18"/>
  <c r="F121" i="18"/>
  <c r="Q121" i="18"/>
  <c r="Q122" i="18"/>
  <c r="G121" i="18"/>
  <c r="R121" i="18"/>
  <c r="R122" i="18"/>
  <c r="H121" i="18"/>
  <c r="S121" i="18"/>
  <c r="S122" i="18"/>
  <c r="I121" i="18"/>
  <c r="T121" i="18"/>
  <c r="T122" i="18"/>
  <c r="J121" i="18"/>
  <c r="U121" i="18"/>
  <c r="U122" i="18"/>
  <c r="K121" i="18"/>
  <c r="V121" i="18"/>
  <c r="V122" i="18"/>
  <c r="L121" i="18"/>
  <c r="W121" i="18"/>
  <c r="W122" i="18"/>
  <c r="X122" i="18"/>
  <c r="Y122" i="18"/>
  <c r="B118" i="18"/>
  <c r="M118" i="18"/>
  <c r="M119" i="18"/>
  <c r="C118" i="18"/>
  <c r="N118" i="18"/>
  <c r="N119" i="18"/>
  <c r="D118" i="18"/>
  <c r="O118" i="18"/>
  <c r="O119" i="18"/>
  <c r="E118" i="18"/>
  <c r="P118" i="18"/>
  <c r="P119" i="18"/>
  <c r="F118" i="18"/>
  <c r="Q118" i="18"/>
  <c r="Q119" i="18"/>
  <c r="G118" i="18"/>
  <c r="R118" i="18"/>
  <c r="R119" i="18"/>
  <c r="H118" i="18"/>
  <c r="S118" i="18"/>
  <c r="S119" i="18"/>
  <c r="I118" i="18"/>
  <c r="T118" i="18"/>
  <c r="T119" i="18"/>
  <c r="J118" i="18"/>
  <c r="U118" i="18"/>
  <c r="U119" i="18"/>
  <c r="K118" i="18"/>
  <c r="V118" i="18"/>
  <c r="V119" i="18"/>
  <c r="L118" i="18"/>
  <c r="W118" i="18"/>
  <c r="W119" i="18"/>
  <c r="X119" i="18"/>
  <c r="Y119" i="18"/>
  <c r="B115" i="18"/>
  <c r="M115" i="18"/>
  <c r="M116" i="18"/>
  <c r="C115" i="18"/>
  <c r="N115" i="18"/>
  <c r="N116" i="18"/>
  <c r="D115" i="18"/>
  <c r="O115" i="18"/>
  <c r="O116" i="18"/>
  <c r="E115" i="18"/>
  <c r="P115" i="18"/>
  <c r="P116" i="18"/>
  <c r="F115" i="18"/>
  <c r="Q115" i="18"/>
  <c r="Q116" i="18"/>
  <c r="G115" i="18"/>
  <c r="R115" i="18"/>
  <c r="R116" i="18"/>
  <c r="H115" i="18"/>
  <c r="S115" i="18"/>
  <c r="S116" i="18"/>
  <c r="I115" i="18"/>
  <c r="T115" i="18"/>
  <c r="T116" i="18"/>
  <c r="J115" i="18"/>
  <c r="U115" i="18"/>
  <c r="U116" i="18"/>
  <c r="K115" i="18"/>
  <c r="V115" i="18"/>
  <c r="V116" i="18"/>
  <c r="L115" i="18"/>
  <c r="W115" i="18"/>
  <c r="W116" i="18"/>
  <c r="X116" i="18"/>
  <c r="Y116" i="18"/>
  <c r="X111" i="18"/>
  <c r="X130" i="18"/>
  <c r="B131" i="18"/>
  <c r="M131" i="18"/>
  <c r="M132" i="18"/>
  <c r="C131" i="18"/>
  <c r="N131" i="18"/>
  <c r="N132" i="18"/>
  <c r="D131" i="18"/>
  <c r="O131" i="18"/>
  <c r="O132" i="18"/>
  <c r="E131" i="18"/>
  <c r="P131" i="18"/>
  <c r="P132" i="18"/>
  <c r="F131" i="18"/>
  <c r="Q131" i="18"/>
  <c r="Q132" i="18"/>
  <c r="G131" i="18"/>
  <c r="R131" i="18"/>
  <c r="R132" i="18"/>
  <c r="H131" i="18"/>
  <c r="S131" i="18"/>
  <c r="S132" i="18"/>
  <c r="I131" i="18"/>
  <c r="T131" i="18"/>
  <c r="T132" i="18"/>
  <c r="J131" i="18"/>
  <c r="U131" i="18"/>
  <c r="U132" i="18"/>
  <c r="K131" i="18"/>
  <c r="V131" i="18"/>
  <c r="V132" i="18"/>
  <c r="L131" i="18"/>
  <c r="W131" i="18"/>
  <c r="W132" i="18"/>
  <c r="X132" i="18"/>
  <c r="Y130" i="18"/>
  <c r="Y132" i="18"/>
  <c r="X127" i="18"/>
  <c r="B128" i="18"/>
  <c r="M128" i="18"/>
  <c r="M129" i="18"/>
  <c r="C128" i="18"/>
  <c r="N128" i="18"/>
  <c r="N129" i="18"/>
  <c r="D128" i="18"/>
  <c r="O128" i="18"/>
  <c r="O129" i="18"/>
  <c r="E128" i="18"/>
  <c r="P128" i="18"/>
  <c r="P129" i="18"/>
  <c r="F128" i="18"/>
  <c r="Q128" i="18"/>
  <c r="Q129" i="18"/>
  <c r="G128" i="18"/>
  <c r="R128" i="18"/>
  <c r="R129" i="18"/>
  <c r="H128" i="18"/>
  <c r="S128" i="18"/>
  <c r="S129" i="18"/>
  <c r="I128" i="18"/>
  <c r="T128" i="18"/>
  <c r="T129" i="18"/>
  <c r="J128" i="18"/>
  <c r="U128" i="18"/>
  <c r="U129" i="18"/>
  <c r="K128" i="18"/>
  <c r="V128" i="18"/>
  <c r="V129" i="18"/>
  <c r="L128" i="18"/>
  <c r="W128" i="18"/>
  <c r="W129" i="18"/>
  <c r="X129" i="18"/>
  <c r="Y127" i="18"/>
  <c r="Y129" i="18"/>
  <c r="X124" i="18"/>
  <c r="B125" i="18"/>
  <c r="M125" i="18"/>
  <c r="M126" i="18"/>
  <c r="C125" i="18"/>
  <c r="N125" i="18"/>
  <c r="N126" i="18"/>
  <c r="D125" i="18"/>
  <c r="O125" i="18"/>
  <c r="O126" i="18"/>
  <c r="E125" i="18"/>
  <c r="P125" i="18"/>
  <c r="P126" i="18"/>
  <c r="F125" i="18"/>
  <c r="Q125" i="18"/>
  <c r="Q126" i="18"/>
  <c r="G125" i="18"/>
  <c r="R125" i="18"/>
  <c r="R126" i="18"/>
  <c r="H125" i="18"/>
  <c r="S125" i="18"/>
  <c r="S126" i="18"/>
  <c r="I125" i="18"/>
  <c r="T125" i="18"/>
  <c r="T126" i="18"/>
  <c r="J125" i="18"/>
  <c r="U125" i="18"/>
  <c r="U126" i="18"/>
  <c r="K125" i="18"/>
  <c r="V125" i="18"/>
  <c r="V126" i="18"/>
  <c r="L125" i="18"/>
  <c r="W125" i="18"/>
  <c r="W126" i="18"/>
  <c r="X126" i="18"/>
  <c r="Y124" i="18"/>
  <c r="Y126" i="18"/>
  <c r="B112" i="18"/>
  <c r="M112" i="18"/>
  <c r="M113" i="18"/>
  <c r="C112" i="18"/>
  <c r="N112" i="18"/>
  <c r="N113" i="18"/>
  <c r="D112" i="18"/>
  <c r="O112" i="18"/>
  <c r="O113" i="18"/>
  <c r="E112" i="18"/>
  <c r="P112" i="18"/>
  <c r="P113" i="18"/>
  <c r="F112" i="18"/>
  <c r="Q112" i="18"/>
  <c r="Q113" i="18"/>
  <c r="G112" i="18"/>
  <c r="R112" i="18"/>
  <c r="R113" i="18"/>
  <c r="H112" i="18"/>
  <c r="S112" i="18"/>
  <c r="S113" i="18"/>
  <c r="I112" i="18"/>
  <c r="T112" i="18"/>
  <c r="T113" i="18"/>
  <c r="J112" i="18"/>
  <c r="U112" i="18"/>
  <c r="U113" i="18"/>
  <c r="K112" i="18"/>
  <c r="V112" i="18"/>
  <c r="V113" i="18"/>
  <c r="L112" i="18"/>
  <c r="W112" i="18"/>
  <c r="W113" i="18"/>
  <c r="X113" i="18"/>
  <c r="Y111" i="18"/>
  <c r="Y113" i="18"/>
  <c r="X108" i="18"/>
  <c r="B109" i="18"/>
  <c r="M109" i="18"/>
  <c r="M110" i="18"/>
  <c r="C109" i="18"/>
  <c r="N109" i="18"/>
  <c r="N110" i="18"/>
  <c r="D109" i="18"/>
  <c r="O109" i="18"/>
  <c r="O110" i="18"/>
  <c r="E109" i="18"/>
  <c r="P109" i="18"/>
  <c r="P110" i="18"/>
  <c r="F109" i="18"/>
  <c r="Q109" i="18"/>
  <c r="Q110" i="18"/>
  <c r="G109" i="18"/>
  <c r="R109" i="18"/>
  <c r="R110" i="18"/>
  <c r="H109" i="18"/>
  <c r="S109" i="18"/>
  <c r="S110" i="18"/>
  <c r="I109" i="18"/>
  <c r="T109" i="18"/>
  <c r="T110" i="18"/>
  <c r="J109" i="18"/>
  <c r="U109" i="18"/>
  <c r="U110" i="18"/>
  <c r="K109" i="18"/>
  <c r="V109" i="18"/>
  <c r="V110" i="18"/>
  <c r="L109" i="18"/>
  <c r="W109" i="18"/>
  <c r="W110" i="18"/>
  <c r="X110" i="18"/>
  <c r="Y108" i="18"/>
  <c r="Y110" i="18"/>
  <c r="X105" i="18"/>
  <c r="B106" i="18"/>
  <c r="M106" i="18"/>
  <c r="M107" i="18"/>
  <c r="C106" i="18"/>
  <c r="N106" i="18"/>
  <c r="N107" i="18"/>
  <c r="D106" i="18"/>
  <c r="O106" i="18"/>
  <c r="O107" i="18"/>
  <c r="E106" i="18"/>
  <c r="P106" i="18"/>
  <c r="P107" i="18"/>
  <c r="F106" i="18"/>
  <c r="Q106" i="18"/>
  <c r="Q107" i="18"/>
  <c r="G106" i="18"/>
  <c r="R106" i="18"/>
  <c r="R107" i="18"/>
  <c r="H106" i="18"/>
  <c r="S106" i="18"/>
  <c r="S107" i="18"/>
  <c r="I106" i="18"/>
  <c r="T106" i="18"/>
  <c r="T107" i="18"/>
  <c r="J106" i="18"/>
  <c r="U106" i="18"/>
  <c r="U107" i="18"/>
  <c r="K106" i="18"/>
  <c r="V106" i="18"/>
  <c r="V107" i="18"/>
  <c r="L106" i="18"/>
  <c r="W106" i="18"/>
  <c r="W107" i="18"/>
  <c r="X107" i="18"/>
  <c r="Y105" i="18"/>
  <c r="Y107" i="18"/>
  <c r="B110" i="12"/>
  <c r="L110" i="12"/>
  <c r="L111" i="12"/>
  <c r="C110" i="12"/>
  <c r="M110" i="12"/>
  <c r="M111" i="12"/>
  <c r="D110" i="12"/>
  <c r="N110" i="12"/>
  <c r="N111" i="12"/>
  <c r="E110" i="12"/>
  <c r="O110" i="12"/>
  <c r="O111" i="12"/>
  <c r="F110" i="12"/>
  <c r="P110" i="12"/>
  <c r="P111" i="12"/>
  <c r="G110" i="12"/>
  <c r="Q110" i="12"/>
  <c r="Q111" i="12"/>
  <c r="H110" i="12"/>
  <c r="R110" i="12"/>
  <c r="R111" i="12"/>
  <c r="I110" i="12"/>
  <c r="S110" i="12"/>
  <c r="S111" i="12"/>
  <c r="J110" i="12"/>
  <c r="T110" i="12"/>
  <c r="T111" i="12"/>
  <c r="K110" i="12"/>
  <c r="U110" i="12"/>
  <c r="U111" i="12"/>
  <c r="V111" i="12"/>
  <c r="W111" i="12"/>
  <c r="W105" i="12"/>
  <c r="V105" i="12"/>
  <c r="U105" i="12"/>
  <c r="L104" i="12"/>
  <c r="M104" i="12"/>
  <c r="N104" i="12"/>
  <c r="O104" i="12"/>
  <c r="P104" i="12"/>
  <c r="Q104" i="12"/>
  <c r="R104" i="12"/>
  <c r="S104" i="12"/>
  <c r="T104" i="12"/>
  <c r="U104" i="12"/>
  <c r="C104" i="12"/>
  <c r="D104" i="12"/>
  <c r="E104" i="12"/>
  <c r="F104" i="12"/>
  <c r="G104" i="12"/>
  <c r="H104" i="12"/>
  <c r="I104" i="12"/>
  <c r="J104" i="12"/>
  <c r="K104" i="12"/>
  <c r="B104" i="12"/>
  <c r="T105" i="12"/>
  <c r="S105" i="12"/>
  <c r="R105" i="12"/>
  <c r="Q105" i="12"/>
  <c r="P105" i="12"/>
  <c r="O105" i="12"/>
  <c r="N105" i="12"/>
  <c r="M105" i="12"/>
  <c r="L105" i="12"/>
  <c r="V109" i="12"/>
  <c r="W109" i="12"/>
  <c r="V103" i="12"/>
  <c r="W103" i="12"/>
  <c r="X126" i="13"/>
  <c r="B127" i="13"/>
  <c r="M127" i="13"/>
  <c r="M128" i="13"/>
  <c r="C127" i="13"/>
  <c r="N127" i="13"/>
  <c r="N128" i="13"/>
  <c r="D127" i="13"/>
  <c r="O127" i="13"/>
  <c r="O128" i="13"/>
  <c r="E127" i="13"/>
  <c r="P127" i="13"/>
  <c r="P128" i="13"/>
  <c r="F127" i="13"/>
  <c r="Q127" i="13"/>
  <c r="Q128" i="13"/>
  <c r="G127" i="13"/>
  <c r="R127" i="13"/>
  <c r="R128" i="13"/>
  <c r="H127" i="13"/>
  <c r="S127" i="13"/>
  <c r="S128" i="13"/>
  <c r="I127" i="13"/>
  <c r="T127" i="13"/>
  <c r="T128" i="13"/>
  <c r="J127" i="13"/>
  <c r="U127" i="13"/>
  <c r="U128" i="13"/>
  <c r="K127" i="13"/>
  <c r="V127" i="13"/>
  <c r="V128" i="13"/>
  <c r="L127" i="13"/>
  <c r="W127" i="13"/>
  <c r="W128" i="13"/>
  <c r="X128" i="13"/>
  <c r="Y126" i="13"/>
  <c r="Y128" i="13"/>
  <c r="X123" i="13"/>
  <c r="B124" i="13"/>
  <c r="M124" i="13"/>
  <c r="M125" i="13"/>
  <c r="C124" i="13"/>
  <c r="N124" i="13"/>
  <c r="N125" i="13"/>
  <c r="D124" i="13"/>
  <c r="O124" i="13"/>
  <c r="O125" i="13"/>
  <c r="E124" i="13"/>
  <c r="P124" i="13"/>
  <c r="P125" i="13"/>
  <c r="F124" i="13"/>
  <c r="Q124" i="13"/>
  <c r="Q125" i="13"/>
  <c r="G124" i="13"/>
  <c r="R124" i="13"/>
  <c r="R125" i="13"/>
  <c r="H124" i="13"/>
  <c r="S124" i="13"/>
  <c r="S125" i="13"/>
  <c r="I124" i="13"/>
  <c r="T124" i="13"/>
  <c r="T125" i="13"/>
  <c r="J124" i="13"/>
  <c r="U124" i="13"/>
  <c r="U125" i="13"/>
  <c r="K124" i="13"/>
  <c r="V124" i="13"/>
  <c r="V125" i="13"/>
  <c r="L124" i="13"/>
  <c r="W124" i="13"/>
  <c r="W125" i="13"/>
  <c r="X125" i="13"/>
  <c r="Y123" i="13"/>
  <c r="Y125" i="13"/>
  <c r="X120" i="13"/>
  <c r="B121" i="13"/>
  <c r="M121" i="13"/>
  <c r="M122" i="13"/>
  <c r="C121" i="13"/>
  <c r="N121" i="13"/>
  <c r="N122" i="13"/>
  <c r="D121" i="13"/>
  <c r="O121" i="13"/>
  <c r="O122" i="13"/>
  <c r="E121" i="13"/>
  <c r="P121" i="13"/>
  <c r="P122" i="13"/>
  <c r="F121" i="13"/>
  <c r="Q121" i="13"/>
  <c r="Q122" i="13"/>
  <c r="G121" i="13"/>
  <c r="R121" i="13"/>
  <c r="R122" i="13"/>
  <c r="H121" i="13"/>
  <c r="S121" i="13"/>
  <c r="S122" i="13"/>
  <c r="I121" i="13"/>
  <c r="T121" i="13"/>
  <c r="T122" i="13"/>
  <c r="J121" i="13"/>
  <c r="U121" i="13"/>
  <c r="U122" i="13"/>
  <c r="K121" i="13"/>
  <c r="V121" i="13"/>
  <c r="V122" i="13"/>
  <c r="L121" i="13"/>
  <c r="W121" i="13"/>
  <c r="W122" i="13"/>
  <c r="X122" i="13"/>
  <c r="Y120" i="13"/>
  <c r="Y122" i="13"/>
  <c r="X114" i="13"/>
  <c r="B115" i="13"/>
  <c r="M115" i="13"/>
  <c r="M116" i="13"/>
  <c r="C115" i="13"/>
  <c r="N115" i="13"/>
  <c r="N116" i="13"/>
  <c r="D115" i="13"/>
  <c r="O115" i="13"/>
  <c r="O116" i="13"/>
  <c r="E115" i="13"/>
  <c r="P115" i="13"/>
  <c r="P116" i="13"/>
  <c r="F115" i="13"/>
  <c r="Q115" i="13"/>
  <c r="Q116" i="13"/>
  <c r="G115" i="13"/>
  <c r="R115" i="13"/>
  <c r="R116" i="13"/>
  <c r="H115" i="13"/>
  <c r="S115" i="13"/>
  <c r="S116" i="13"/>
  <c r="I115" i="13"/>
  <c r="T115" i="13"/>
  <c r="T116" i="13"/>
  <c r="J115" i="13"/>
  <c r="U115" i="13"/>
  <c r="U116" i="13"/>
  <c r="K115" i="13"/>
  <c r="V115" i="13"/>
  <c r="V116" i="13"/>
  <c r="L115" i="13"/>
  <c r="W115" i="13"/>
  <c r="W116" i="13"/>
  <c r="X116" i="13"/>
  <c r="Y114" i="13"/>
  <c r="Y116" i="13"/>
  <c r="Y113" i="13"/>
  <c r="Y110" i="13"/>
  <c r="L112" i="13"/>
  <c r="W112" i="13"/>
  <c r="W113" i="13"/>
  <c r="K112" i="13"/>
  <c r="V112" i="13"/>
  <c r="V113" i="13"/>
  <c r="J112" i="13"/>
  <c r="U112" i="13"/>
  <c r="U113" i="13"/>
  <c r="I112" i="13"/>
  <c r="T112" i="13"/>
  <c r="T113" i="13"/>
  <c r="H112" i="13"/>
  <c r="S112" i="13"/>
  <c r="S113" i="13"/>
  <c r="G112" i="13"/>
  <c r="R112" i="13"/>
  <c r="R113" i="13"/>
  <c r="F112" i="13"/>
  <c r="Q112" i="13"/>
  <c r="Q113" i="13"/>
  <c r="E112" i="13"/>
  <c r="P112" i="13"/>
  <c r="P113" i="13"/>
  <c r="D112" i="13"/>
  <c r="O112" i="13"/>
  <c r="O113" i="13"/>
  <c r="C112" i="13"/>
  <c r="N112" i="13"/>
  <c r="N113" i="13"/>
  <c r="B112" i="13"/>
  <c r="M112" i="13"/>
  <c r="M113" i="13"/>
  <c r="X113" i="13"/>
  <c r="Y111" i="13"/>
  <c r="X111" i="13"/>
  <c r="X108" i="13"/>
  <c r="B109" i="13"/>
  <c r="M109" i="13"/>
  <c r="M110" i="13"/>
  <c r="C109" i="13"/>
  <c r="N109" i="13"/>
  <c r="N110" i="13"/>
  <c r="D109" i="13"/>
  <c r="O109" i="13"/>
  <c r="O110" i="13"/>
  <c r="E109" i="13"/>
  <c r="P109" i="13"/>
  <c r="P110" i="13"/>
  <c r="F109" i="13"/>
  <c r="Q109" i="13"/>
  <c r="Q110" i="13"/>
  <c r="G109" i="13"/>
  <c r="R109" i="13"/>
  <c r="R110" i="13"/>
  <c r="H109" i="13"/>
  <c r="S109" i="13"/>
  <c r="S110" i="13"/>
  <c r="I109" i="13"/>
  <c r="T109" i="13"/>
  <c r="T110" i="13"/>
  <c r="J109" i="13"/>
  <c r="U109" i="13"/>
  <c r="U110" i="13"/>
  <c r="K109" i="13"/>
  <c r="V109" i="13"/>
  <c r="V110" i="13"/>
  <c r="L109" i="13"/>
  <c r="W109" i="13"/>
  <c r="W110" i="13"/>
  <c r="X110" i="13"/>
  <c r="Y108" i="13"/>
  <c r="X177" i="15"/>
  <c r="B178" i="15"/>
  <c r="M178" i="15"/>
  <c r="M179" i="15"/>
  <c r="C178" i="15"/>
  <c r="N178" i="15"/>
  <c r="N179" i="15"/>
  <c r="D178" i="15"/>
  <c r="O178" i="15"/>
  <c r="O179" i="15"/>
  <c r="E178" i="15"/>
  <c r="P178" i="15"/>
  <c r="P179" i="15"/>
  <c r="F178" i="15"/>
  <c r="Q178" i="15"/>
  <c r="Q179" i="15"/>
  <c r="G178" i="15"/>
  <c r="R178" i="15"/>
  <c r="R179" i="15"/>
  <c r="H178" i="15"/>
  <c r="S178" i="15"/>
  <c r="S179" i="15"/>
  <c r="I178" i="15"/>
  <c r="T178" i="15"/>
  <c r="T179" i="15"/>
  <c r="J178" i="15"/>
  <c r="U178" i="15"/>
  <c r="U179" i="15"/>
  <c r="K178" i="15"/>
  <c r="V178" i="15"/>
  <c r="V179" i="15"/>
  <c r="L178" i="15"/>
  <c r="W178" i="15"/>
  <c r="W179" i="15"/>
  <c r="X179" i="15"/>
  <c r="Y177" i="15"/>
  <c r="Y179" i="15"/>
  <c r="X174" i="15"/>
  <c r="B175" i="15"/>
  <c r="M175" i="15"/>
  <c r="M176" i="15"/>
  <c r="C175" i="15"/>
  <c r="N175" i="15"/>
  <c r="N176" i="15"/>
  <c r="D175" i="15"/>
  <c r="O175" i="15"/>
  <c r="O176" i="15"/>
  <c r="E175" i="15"/>
  <c r="P175" i="15"/>
  <c r="P176" i="15"/>
  <c r="F175" i="15"/>
  <c r="Q175" i="15"/>
  <c r="Q176" i="15"/>
  <c r="G175" i="15"/>
  <c r="R175" i="15"/>
  <c r="R176" i="15"/>
  <c r="H175" i="15"/>
  <c r="S175" i="15"/>
  <c r="S176" i="15"/>
  <c r="I175" i="15"/>
  <c r="T175" i="15"/>
  <c r="T176" i="15"/>
  <c r="J175" i="15"/>
  <c r="U175" i="15"/>
  <c r="U176" i="15"/>
  <c r="K175" i="15"/>
  <c r="V175" i="15"/>
  <c r="V176" i="15"/>
  <c r="L175" i="15"/>
  <c r="W175" i="15"/>
  <c r="W176" i="15"/>
  <c r="X176" i="15"/>
  <c r="Y174" i="15"/>
  <c r="Y176" i="15"/>
  <c r="X171" i="15"/>
  <c r="B172" i="15"/>
  <c r="M172" i="15"/>
  <c r="M173" i="15"/>
  <c r="C172" i="15"/>
  <c r="N172" i="15"/>
  <c r="N173" i="15"/>
  <c r="D172" i="15"/>
  <c r="O172" i="15"/>
  <c r="O173" i="15"/>
  <c r="E172" i="15"/>
  <c r="P172" i="15"/>
  <c r="P173" i="15"/>
  <c r="F172" i="15"/>
  <c r="Q172" i="15"/>
  <c r="Q173" i="15"/>
  <c r="G172" i="15"/>
  <c r="R172" i="15"/>
  <c r="R173" i="15"/>
  <c r="H172" i="15"/>
  <c r="S172" i="15"/>
  <c r="S173" i="15"/>
  <c r="I172" i="15"/>
  <c r="T172" i="15"/>
  <c r="T173" i="15"/>
  <c r="J172" i="15"/>
  <c r="U172" i="15"/>
  <c r="U173" i="15"/>
  <c r="K172" i="15"/>
  <c r="V172" i="15"/>
  <c r="V173" i="15"/>
  <c r="L172" i="15"/>
  <c r="W172" i="15"/>
  <c r="W173" i="15"/>
  <c r="X173" i="15"/>
  <c r="Y171" i="15"/>
  <c r="Y173" i="15"/>
  <c r="X168" i="15"/>
  <c r="B169" i="15"/>
  <c r="M169" i="15"/>
  <c r="M170" i="15"/>
  <c r="C169" i="15"/>
  <c r="N169" i="15"/>
  <c r="N170" i="15"/>
  <c r="D169" i="15"/>
  <c r="O169" i="15"/>
  <c r="O170" i="15"/>
  <c r="E169" i="15"/>
  <c r="P169" i="15"/>
  <c r="P170" i="15"/>
  <c r="F169" i="15"/>
  <c r="Q169" i="15"/>
  <c r="Q170" i="15"/>
  <c r="G169" i="15"/>
  <c r="R169" i="15"/>
  <c r="R170" i="15"/>
  <c r="H169" i="15"/>
  <c r="S169" i="15"/>
  <c r="S170" i="15"/>
  <c r="I169" i="15"/>
  <c r="T169" i="15"/>
  <c r="T170" i="15"/>
  <c r="J169" i="15"/>
  <c r="U169" i="15"/>
  <c r="U170" i="15"/>
  <c r="K169" i="15"/>
  <c r="V169" i="15"/>
  <c r="V170" i="15"/>
  <c r="L169" i="15"/>
  <c r="W169" i="15"/>
  <c r="W170" i="15"/>
  <c r="X170" i="15"/>
  <c r="Y168" i="15"/>
  <c r="Y170" i="15"/>
  <c r="X165" i="15"/>
  <c r="B166" i="15"/>
  <c r="M166" i="15"/>
  <c r="M167" i="15"/>
  <c r="C166" i="15"/>
  <c r="N166" i="15"/>
  <c r="N167" i="15"/>
  <c r="D166" i="15"/>
  <c r="O166" i="15"/>
  <c r="O167" i="15"/>
  <c r="E166" i="15"/>
  <c r="P166" i="15"/>
  <c r="P167" i="15"/>
  <c r="F166" i="15"/>
  <c r="Q166" i="15"/>
  <c r="Q167" i="15"/>
  <c r="G166" i="15"/>
  <c r="R166" i="15"/>
  <c r="R167" i="15"/>
  <c r="H166" i="15"/>
  <c r="S166" i="15"/>
  <c r="S167" i="15"/>
  <c r="I166" i="15"/>
  <c r="T166" i="15"/>
  <c r="T167" i="15"/>
  <c r="J166" i="15"/>
  <c r="U166" i="15"/>
  <c r="U167" i="15"/>
  <c r="K166" i="15"/>
  <c r="V166" i="15"/>
  <c r="V167" i="15"/>
  <c r="L166" i="15"/>
  <c r="W166" i="15"/>
  <c r="W167" i="15"/>
  <c r="X167" i="15"/>
  <c r="Y165" i="15"/>
  <c r="Y167" i="15"/>
  <c r="X162" i="15"/>
  <c r="B163" i="15"/>
  <c r="M163" i="15"/>
  <c r="M164" i="15"/>
  <c r="C163" i="15"/>
  <c r="N163" i="15"/>
  <c r="N164" i="15"/>
  <c r="D163" i="15"/>
  <c r="O163" i="15"/>
  <c r="O164" i="15"/>
  <c r="E163" i="15"/>
  <c r="P163" i="15"/>
  <c r="P164" i="15"/>
  <c r="F163" i="15"/>
  <c r="Q163" i="15"/>
  <c r="Q164" i="15"/>
  <c r="G163" i="15"/>
  <c r="R163" i="15"/>
  <c r="R164" i="15"/>
  <c r="H163" i="15"/>
  <c r="S163" i="15"/>
  <c r="S164" i="15"/>
  <c r="I163" i="15"/>
  <c r="T163" i="15"/>
  <c r="T164" i="15"/>
  <c r="J163" i="15"/>
  <c r="U163" i="15"/>
  <c r="U164" i="15"/>
  <c r="K163" i="15"/>
  <c r="V163" i="15"/>
  <c r="V164" i="15"/>
  <c r="L163" i="15"/>
  <c r="W163" i="15"/>
  <c r="W164" i="15"/>
  <c r="X164" i="15"/>
  <c r="Y162" i="15"/>
  <c r="Y164" i="15"/>
  <c r="X159" i="15"/>
  <c r="B160" i="15"/>
  <c r="M160" i="15"/>
  <c r="M161" i="15"/>
  <c r="C160" i="15"/>
  <c r="N160" i="15"/>
  <c r="N161" i="15"/>
  <c r="D160" i="15"/>
  <c r="O160" i="15"/>
  <c r="O161" i="15"/>
  <c r="E160" i="15"/>
  <c r="P160" i="15"/>
  <c r="P161" i="15"/>
  <c r="F160" i="15"/>
  <c r="Q160" i="15"/>
  <c r="Q161" i="15"/>
  <c r="G160" i="15"/>
  <c r="R160" i="15"/>
  <c r="R161" i="15"/>
  <c r="H160" i="15"/>
  <c r="S160" i="15"/>
  <c r="S161" i="15"/>
  <c r="I160" i="15"/>
  <c r="T160" i="15"/>
  <c r="T161" i="15"/>
  <c r="J160" i="15"/>
  <c r="U160" i="15"/>
  <c r="U161" i="15"/>
  <c r="K160" i="15"/>
  <c r="V160" i="15"/>
  <c r="V161" i="15"/>
  <c r="L160" i="15"/>
  <c r="W160" i="15"/>
  <c r="W161" i="15"/>
  <c r="X161" i="15"/>
  <c r="Y159" i="15"/>
  <c r="Y161" i="15"/>
  <c r="X156" i="15"/>
  <c r="B157" i="15"/>
  <c r="M157" i="15"/>
  <c r="M158" i="15"/>
  <c r="C157" i="15"/>
  <c r="N157" i="15"/>
  <c r="N158" i="15"/>
  <c r="D157" i="15"/>
  <c r="O157" i="15"/>
  <c r="O158" i="15"/>
  <c r="E157" i="15"/>
  <c r="P157" i="15"/>
  <c r="P158" i="15"/>
  <c r="F157" i="15"/>
  <c r="Q157" i="15"/>
  <c r="Q158" i="15"/>
  <c r="G157" i="15"/>
  <c r="R157" i="15"/>
  <c r="R158" i="15"/>
  <c r="H157" i="15"/>
  <c r="S157" i="15"/>
  <c r="S158" i="15"/>
  <c r="I157" i="15"/>
  <c r="T157" i="15"/>
  <c r="T158" i="15"/>
  <c r="J157" i="15"/>
  <c r="U157" i="15"/>
  <c r="U158" i="15"/>
  <c r="K157" i="15"/>
  <c r="V157" i="15"/>
  <c r="V158" i="15"/>
  <c r="L157" i="15"/>
  <c r="W157" i="15"/>
  <c r="W158" i="15"/>
  <c r="X158" i="15"/>
  <c r="Y156" i="15"/>
  <c r="Y158" i="15"/>
  <c r="X153" i="15"/>
  <c r="B154" i="15"/>
  <c r="M154" i="15"/>
  <c r="M155" i="15"/>
  <c r="C154" i="15"/>
  <c r="N154" i="15"/>
  <c r="N155" i="15"/>
  <c r="D154" i="15"/>
  <c r="O154" i="15"/>
  <c r="O155" i="15"/>
  <c r="E154" i="15"/>
  <c r="P154" i="15"/>
  <c r="P155" i="15"/>
  <c r="F154" i="15"/>
  <c r="Q154" i="15"/>
  <c r="Q155" i="15"/>
  <c r="G154" i="15"/>
  <c r="R154" i="15"/>
  <c r="R155" i="15"/>
  <c r="H154" i="15"/>
  <c r="S154" i="15"/>
  <c r="S155" i="15"/>
  <c r="I154" i="15"/>
  <c r="T154" i="15"/>
  <c r="T155" i="15"/>
  <c r="J154" i="15"/>
  <c r="U154" i="15"/>
  <c r="U155" i="15"/>
  <c r="K154" i="15"/>
  <c r="V154" i="15"/>
  <c r="V155" i="15"/>
  <c r="L154" i="15"/>
  <c r="W154" i="15"/>
  <c r="W155" i="15"/>
  <c r="X155" i="15"/>
  <c r="Y153" i="15"/>
  <c r="Y155" i="15"/>
  <c r="X150" i="15"/>
  <c r="B151" i="15"/>
  <c r="M151" i="15"/>
  <c r="M152" i="15"/>
  <c r="C151" i="15"/>
  <c r="N151" i="15"/>
  <c r="N152" i="15"/>
  <c r="D151" i="15"/>
  <c r="O151" i="15"/>
  <c r="O152" i="15"/>
  <c r="E151" i="15"/>
  <c r="P151" i="15"/>
  <c r="P152" i="15"/>
  <c r="F151" i="15"/>
  <c r="Q151" i="15"/>
  <c r="Q152" i="15"/>
  <c r="G151" i="15"/>
  <c r="R151" i="15"/>
  <c r="R152" i="15"/>
  <c r="H151" i="15"/>
  <c r="S151" i="15"/>
  <c r="S152" i="15"/>
  <c r="I151" i="15"/>
  <c r="T151" i="15"/>
  <c r="T152" i="15"/>
  <c r="J151" i="15"/>
  <c r="U151" i="15"/>
  <c r="U152" i="15"/>
  <c r="K151" i="15"/>
  <c r="V151" i="15"/>
  <c r="V152" i="15"/>
  <c r="L151" i="15"/>
  <c r="W151" i="15"/>
  <c r="W152" i="15"/>
  <c r="X152" i="15"/>
  <c r="Y150" i="15"/>
  <c r="Y152" i="15"/>
  <c r="X147" i="15"/>
  <c r="B148" i="15"/>
  <c r="M148" i="15"/>
  <c r="M149" i="15"/>
  <c r="C148" i="15"/>
  <c r="N148" i="15"/>
  <c r="N149" i="15"/>
  <c r="D148" i="15"/>
  <c r="O148" i="15"/>
  <c r="O149" i="15"/>
  <c r="E148" i="15"/>
  <c r="P148" i="15"/>
  <c r="P149" i="15"/>
  <c r="F148" i="15"/>
  <c r="Q148" i="15"/>
  <c r="Q149" i="15"/>
  <c r="G148" i="15"/>
  <c r="R148" i="15"/>
  <c r="R149" i="15"/>
  <c r="H148" i="15"/>
  <c r="S148" i="15"/>
  <c r="S149" i="15"/>
  <c r="I148" i="15"/>
  <c r="T148" i="15"/>
  <c r="T149" i="15"/>
  <c r="J148" i="15"/>
  <c r="U148" i="15"/>
  <c r="U149" i="15"/>
  <c r="K148" i="15"/>
  <c r="V148" i="15"/>
  <c r="V149" i="15"/>
  <c r="L148" i="15"/>
  <c r="W148" i="15"/>
  <c r="W149" i="15"/>
  <c r="X149" i="15"/>
  <c r="Y147" i="15"/>
  <c r="Y149" i="15"/>
  <c r="X144" i="15"/>
  <c r="B145" i="15"/>
  <c r="M145" i="15"/>
  <c r="M146" i="15"/>
  <c r="C145" i="15"/>
  <c r="N145" i="15"/>
  <c r="N146" i="15"/>
  <c r="D145" i="15"/>
  <c r="O145" i="15"/>
  <c r="O146" i="15"/>
  <c r="E145" i="15"/>
  <c r="P145" i="15"/>
  <c r="P146" i="15"/>
  <c r="F145" i="15"/>
  <c r="Q145" i="15"/>
  <c r="Q146" i="15"/>
  <c r="G145" i="15"/>
  <c r="R145" i="15"/>
  <c r="R146" i="15"/>
  <c r="H145" i="15"/>
  <c r="S145" i="15"/>
  <c r="S146" i="15"/>
  <c r="I145" i="15"/>
  <c r="T145" i="15"/>
  <c r="T146" i="15"/>
  <c r="J145" i="15"/>
  <c r="U145" i="15"/>
  <c r="U146" i="15"/>
  <c r="K145" i="15"/>
  <c r="V145" i="15"/>
  <c r="V146" i="15"/>
  <c r="L145" i="15"/>
  <c r="W145" i="15"/>
  <c r="W146" i="15"/>
  <c r="X146" i="15"/>
  <c r="Y144" i="15"/>
  <c r="Y146" i="15"/>
  <c r="X141" i="15"/>
  <c r="B142" i="15"/>
  <c r="M142" i="15"/>
  <c r="M143" i="15"/>
  <c r="C142" i="15"/>
  <c r="N142" i="15"/>
  <c r="N143" i="15"/>
  <c r="D142" i="15"/>
  <c r="O142" i="15"/>
  <c r="O143" i="15"/>
  <c r="E142" i="15"/>
  <c r="P142" i="15"/>
  <c r="P143" i="15"/>
  <c r="F142" i="15"/>
  <c r="Q142" i="15"/>
  <c r="Q143" i="15"/>
  <c r="G142" i="15"/>
  <c r="R142" i="15"/>
  <c r="R143" i="15"/>
  <c r="H142" i="15"/>
  <c r="S142" i="15"/>
  <c r="S143" i="15"/>
  <c r="I142" i="15"/>
  <c r="T142" i="15"/>
  <c r="T143" i="15"/>
  <c r="J142" i="15"/>
  <c r="U142" i="15"/>
  <c r="U143" i="15"/>
  <c r="K142" i="15"/>
  <c r="V142" i="15"/>
  <c r="V143" i="15"/>
  <c r="L142" i="15"/>
  <c r="W142" i="15"/>
  <c r="W143" i="15"/>
  <c r="X143" i="15"/>
  <c r="Y141" i="15"/>
  <c r="Y143" i="15"/>
  <c r="X138" i="15"/>
  <c r="B139" i="15"/>
  <c r="M139" i="15"/>
  <c r="M140" i="15"/>
  <c r="C139" i="15"/>
  <c r="N139" i="15"/>
  <c r="N140" i="15"/>
  <c r="D139" i="15"/>
  <c r="O139" i="15"/>
  <c r="O140" i="15"/>
  <c r="E139" i="15"/>
  <c r="P139" i="15"/>
  <c r="P140" i="15"/>
  <c r="F139" i="15"/>
  <c r="Q139" i="15"/>
  <c r="Q140" i="15"/>
  <c r="G139" i="15"/>
  <c r="R139" i="15"/>
  <c r="R140" i="15"/>
  <c r="H139" i="15"/>
  <c r="S139" i="15"/>
  <c r="S140" i="15"/>
  <c r="I139" i="15"/>
  <c r="T139" i="15"/>
  <c r="T140" i="15"/>
  <c r="J139" i="15"/>
  <c r="U139" i="15"/>
  <c r="U140" i="15"/>
  <c r="K139" i="15"/>
  <c r="V139" i="15"/>
  <c r="V140" i="15"/>
  <c r="L139" i="15"/>
  <c r="W139" i="15"/>
  <c r="W140" i="15"/>
  <c r="X140" i="15"/>
  <c r="Y138" i="15"/>
  <c r="Y140" i="15"/>
  <c r="X135" i="15"/>
  <c r="B136" i="15"/>
  <c r="M136" i="15"/>
  <c r="M137" i="15"/>
  <c r="C136" i="15"/>
  <c r="N136" i="15"/>
  <c r="N137" i="15"/>
  <c r="D136" i="15"/>
  <c r="O136" i="15"/>
  <c r="O137" i="15"/>
  <c r="E136" i="15"/>
  <c r="P136" i="15"/>
  <c r="P137" i="15"/>
  <c r="F136" i="15"/>
  <c r="Q136" i="15"/>
  <c r="Q137" i="15"/>
  <c r="G136" i="15"/>
  <c r="R136" i="15"/>
  <c r="R137" i="15"/>
  <c r="H136" i="15"/>
  <c r="S136" i="15"/>
  <c r="S137" i="15"/>
  <c r="I136" i="15"/>
  <c r="T136" i="15"/>
  <c r="T137" i="15"/>
  <c r="J136" i="15"/>
  <c r="U136" i="15"/>
  <c r="U137" i="15"/>
  <c r="K136" i="15"/>
  <c r="V136" i="15"/>
  <c r="V137" i="15"/>
  <c r="L136" i="15"/>
  <c r="W136" i="15"/>
  <c r="W137" i="15"/>
  <c r="X137" i="15"/>
  <c r="Y135" i="15"/>
  <c r="Y137" i="15"/>
  <c r="L130" i="15"/>
  <c r="W130" i="15"/>
  <c r="W131" i="15"/>
  <c r="K130" i="15"/>
  <c r="V130" i="15"/>
  <c r="V131" i="15"/>
  <c r="J130" i="15"/>
  <c r="U130" i="15"/>
  <c r="U131" i="15"/>
  <c r="I130" i="15"/>
  <c r="T130" i="15"/>
  <c r="T131" i="15"/>
  <c r="H130" i="15"/>
  <c r="S130" i="15"/>
  <c r="S131" i="15"/>
  <c r="G130" i="15"/>
  <c r="R130" i="15"/>
  <c r="R131" i="15"/>
  <c r="F130" i="15"/>
  <c r="Q130" i="15"/>
  <c r="Q131" i="15"/>
  <c r="E130" i="15"/>
  <c r="P130" i="15"/>
  <c r="P131" i="15"/>
  <c r="D130" i="15"/>
  <c r="O130" i="15"/>
  <c r="O131" i="15"/>
  <c r="C130" i="15"/>
  <c r="N130" i="15"/>
  <c r="N131" i="15"/>
  <c r="B130" i="15"/>
  <c r="M130" i="15"/>
  <c r="M131" i="15"/>
  <c r="L127" i="15"/>
  <c r="W127" i="15"/>
  <c r="W128" i="15"/>
  <c r="K127" i="15"/>
  <c r="V127" i="15"/>
  <c r="V128" i="15"/>
  <c r="J127" i="15"/>
  <c r="U127" i="15"/>
  <c r="U128" i="15"/>
  <c r="I127" i="15"/>
  <c r="T127" i="15"/>
  <c r="T128" i="15"/>
  <c r="H127" i="15"/>
  <c r="S127" i="15"/>
  <c r="S128" i="15"/>
  <c r="G127" i="15"/>
  <c r="R127" i="15"/>
  <c r="R128" i="15"/>
  <c r="F127" i="15"/>
  <c r="Q127" i="15"/>
  <c r="Q128" i="15"/>
  <c r="E127" i="15"/>
  <c r="P127" i="15"/>
  <c r="P128" i="15"/>
  <c r="D127" i="15"/>
  <c r="O127" i="15"/>
  <c r="O128" i="15"/>
  <c r="C127" i="15"/>
  <c r="N127" i="15"/>
  <c r="N128" i="15"/>
  <c r="B127" i="15"/>
  <c r="M127" i="15"/>
  <c r="M128" i="15"/>
  <c r="L124" i="15"/>
  <c r="W124" i="15"/>
  <c r="W125" i="15"/>
  <c r="K124" i="15"/>
  <c r="V124" i="15"/>
  <c r="V125" i="15"/>
  <c r="J124" i="15"/>
  <c r="U124" i="15"/>
  <c r="U125" i="15"/>
  <c r="I124" i="15"/>
  <c r="T124" i="15"/>
  <c r="T125" i="15"/>
  <c r="H124" i="15"/>
  <c r="S124" i="15"/>
  <c r="S125" i="15"/>
  <c r="G124" i="15"/>
  <c r="R124" i="15"/>
  <c r="R125" i="15"/>
  <c r="F124" i="15"/>
  <c r="Q124" i="15"/>
  <c r="Q125" i="15"/>
  <c r="E124" i="15"/>
  <c r="P124" i="15"/>
  <c r="P125" i="15"/>
  <c r="D124" i="15"/>
  <c r="O124" i="15"/>
  <c r="O125" i="15"/>
  <c r="C124" i="15"/>
  <c r="N124" i="15"/>
  <c r="N125" i="15"/>
  <c r="B124" i="15"/>
  <c r="M124" i="15"/>
  <c r="M125" i="15"/>
  <c r="L121" i="15"/>
  <c r="W121" i="15"/>
  <c r="W122" i="15"/>
  <c r="K121" i="15"/>
  <c r="V121" i="15"/>
  <c r="V122" i="15"/>
  <c r="J121" i="15"/>
  <c r="U121" i="15"/>
  <c r="U122" i="15"/>
  <c r="I121" i="15"/>
  <c r="T121" i="15"/>
  <c r="T122" i="15"/>
  <c r="H121" i="15"/>
  <c r="S121" i="15"/>
  <c r="S122" i="15"/>
  <c r="G121" i="15"/>
  <c r="R121" i="15"/>
  <c r="R122" i="15"/>
  <c r="F121" i="15"/>
  <c r="Q121" i="15"/>
  <c r="Q122" i="15"/>
  <c r="E121" i="15"/>
  <c r="P121" i="15"/>
  <c r="P122" i="15"/>
  <c r="D121" i="15"/>
  <c r="O121" i="15"/>
  <c r="O122" i="15"/>
  <c r="C121" i="15"/>
  <c r="N121" i="15"/>
  <c r="N122" i="15"/>
  <c r="B121" i="15"/>
  <c r="M121" i="15"/>
  <c r="M122" i="15"/>
  <c r="L118" i="15"/>
  <c r="W118" i="15"/>
  <c r="W119" i="15"/>
  <c r="K118" i="15"/>
  <c r="V118" i="15"/>
  <c r="V119" i="15"/>
  <c r="J118" i="15"/>
  <c r="U118" i="15"/>
  <c r="U119" i="15"/>
  <c r="I118" i="15"/>
  <c r="T118" i="15"/>
  <c r="T119" i="15"/>
  <c r="H118" i="15"/>
  <c r="S118" i="15"/>
  <c r="S119" i="15"/>
  <c r="G118" i="15"/>
  <c r="R118" i="15"/>
  <c r="R119" i="15"/>
  <c r="F118" i="15"/>
  <c r="Q118" i="15"/>
  <c r="Q119" i="15"/>
  <c r="E118" i="15"/>
  <c r="P118" i="15"/>
  <c r="P119" i="15"/>
  <c r="D118" i="15"/>
  <c r="O118" i="15"/>
  <c r="O119" i="15"/>
  <c r="C118" i="15"/>
  <c r="N118" i="15"/>
  <c r="N119" i="15"/>
  <c r="B118" i="15"/>
  <c r="M118" i="15"/>
  <c r="M119" i="15"/>
  <c r="L115" i="15"/>
  <c r="W115" i="15"/>
  <c r="W116" i="15"/>
  <c r="K115" i="15"/>
  <c r="V115" i="15"/>
  <c r="V116" i="15"/>
  <c r="J115" i="15"/>
  <c r="U115" i="15"/>
  <c r="U116" i="15"/>
  <c r="I115" i="15"/>
  <c r="T115" i="15"/>
  <c r="T116" i="15"/>
  <c r="H115" i="15"/>
  <c r="S115" i="15"/>
  <c r="S116" i="15"/>
  <c r="G115" i="15"/>
  <c r="R115" i="15"/>
  <c r="R116" i="15"/>
  <c r="F115" i="15"/>
  <c r="Q115" i="15"/>
  <c r="Q116" i="15"/>
  <c r="E115" i="15"/>
  <c r="P115" i="15"/>
  <c r="P116" i="15"/>
  <c r="D115" i="15"/>
  <c r="O115" i="15"/>
  <c r="O116" i="15"/>
  <c r="C115" i="15"/>
  <c r="N115" i="15"/>
  <c r="N116" i="15"/>
  <c r="B115" i="15"/>
  <c r="M115" i="15"/>
  <c r="M116" i="15"/>
  <c r="L112" i="15"/>
  <c r="W112" i="15"/>
  <c r="W113" i="15"/>
  <c r="K112" i="15"/>
  <c r="V112" i="15"/>
  <c r="V113" i="15"/>
  <c r="J112" i="15"/>
  <c r="U112" i="15"/>
  <c r="U113" i="15"/>
  <c r="I112" i="15"/>
  <c r="T112" i="15"/>
  <c r="T113" i="15"/>
  <c r="H112" i="15"/>
  <c r="S112" i="15"/>
  <c r="S113" i="15"/>
  <c r="G112" i="15"/>
  <c r="R112" i="15"/>
  <c r="R113" i="15"/>
  <c r="F112" i="15"/>
  <c r="Q112" i="15"/>
  <c r="Q113" i="15"/>
  <c r="E112" i="15"/>
  <c r="P112" i="15"/>
  <c r="P113" i="15"/>
  <c r="D112" i="15"/>
  <c r="O112" i="15"/>
  <c r="O113" i="15"/>
  <c r="C112" i="15"/>
  <c r="N112" i="15"/>
  <c r="N113" i="15"/>
  <c r="B112" i="15"/>
  <c r="M112" i="15"/>
  <c r="M113" i="15"/>
  <c r="L109" i="15"/>
  <c r="W109" i="15"/>
  <c r="W110" i="15"/>
  <c r="K109" i="15"/>
  <c r="V109" i="15"/>
  <c r="V110" i="15"/>
  <c r="J109" i="15"/>
  <c r="U109" i="15"/>
  <c r="U110" i="15"/>
  <c r="I109" i="15"/>
  <c r="T109" i="15"/>
  <c r="T110" i="15"/>
  <c r="H109" i="15"/>
  <c r="S109" i="15"/>
  <c r="S110" i="15"/>
  <c r="G109" i="15"/>
  <c r="R109" i="15"/>
  <c r="R110" i="15"/>
  <c r="F109" i="15"/>
  <c r="Q109" i="15"/>
  <c r="Q110" i="15"/>
  <c r="E109" i="15"/>
  <c r="P109" i="15"/>
  <c r="P110" i="15"/>
  <c r="D109" i="15"/>
  <c r="O109" i="15"/>
  <c r="O110" i="15"/>
  <c r="C109" i="15"/>
  <c r="N109" i="15"/>
  <c r="N110" i="15"/>
  <c r="B109" i="15"/>
  <c r="M109" i="15"/>
  <c r="M110" i="15"/>
  <c r="L106" i="15"/>
  <c r="W106" i="15"/>
  <c r="W107" i="15"/>
  <c r="K106" i="15"/>
  <c r="V106" i="15"/>
  <c r="V107" i="15"/>
  <c r="J106" i="15"/>
  <c r="U106" i="15"/>
  <c r="U107" i="15"/>
  <c r="I106" i="15"/>
  <c r="T106" i="15"/>
  <c r="T107" i="15"/>
  <c r="H106" i="15"/>
  <c r="S106" i="15"/>
  <c r="S107" i="15"/>
  <c r="G106" i="15"/>
  <c r="R106" i="15"/>
  <c r="R107" i="15"/>
  <c r="F106" i="15"/>
  <c r="Q106" i="15"/>
  <c r="Q107" i="15"/>
  <c r="E106" i="15"/>
  <c r="P106" i="15"/>
  <c r="P107" i="15"/>
  <c r="D106" i="15"/>
  <c r="O106" i="15"/>
  <c r="O107" i="15"/>
  <c r="C106" i="15"/>
  <c r="N106" i="15"/>
  <c r="N107" i="15"/>
  <c r="B106" i="15"/>
  <c r="M106" i="15"/>
  <c r="M107" i="15"/>
  <c r="L103" i="15"/>
  <c r="W103" i="15"/>
  <c r="W104" i="15"/>
  <c r="K103" i="15"/>
  <c r="V103" i="15"/>
  <c r="V104" i="15"/>
  <c r="J103" i="15"/>
  <c r="U103" i="15"/>
  <c r="U104" i="15"/>
  <c r="I103" i="15"/>
  <c r="T103" i="15"/>
  <c r="T104" i="15"/>
  <c r="H103" i="15"/>
  <c r="S103" i="15"/>
  <c r="S104" i="15"/>
  <c r="G103" i="15"/>
  <c r="R103" i="15"/>
  <c r="R104" i="15"/>
  <c r="F103" i="15"/>
  <c r="Q103" i="15"/>
  <c r="Q104" i="15"/>
  <c r="E103" i="15"/>
  <c r="P103" i="15"/>
  <c r="P104" i="15"/>
  <c r="D103" i="15"/>
  <c r="O103" i="15"/>
  <c r="O104" i="15"/>
  <c r="C103" i="15"/>
  <c r="N103" i="15"/>
  <c r="N104" i="15"/>
  <c r="B103" i="15"/>
  <c r="M103" i="15"/>
  <c r="M104" i="15"/>
  <c r="L100" i="15"/>
  <c r="W100" i="15"/>
  <c r="W101" i="15"/>
  <c r="K100" i="15"/>
  <c r="V100" i="15"/>
  <c r="V101" i="15"/>
  <c r="J100" i="15"/>
  <c r="U100" i="15"/>
  <c r="U101" i="15"/>
  <c r="I100" i="15"/>
  <c r="T100" i="15"/>
  <c r="T101" i="15"/>
  <c r="H100" i="15"/>
  <c r="S100" i="15"/>
  <c r="S101" i="15"/>
  <c r="G100" i="15"/>
  <c r="R100" i="15"/>
  <c r="R101" i="15"/>
  <c r="F100" i="15"/>
  <c r="Q100" i="15"/>
  <c r="Q101" i="15"/>
  <c r="E100" i="15"/>
  <c r="P100" i="15"/>
  <c r="P101" i="15"/>
  <c r="D100" i="15"/>
  <c r="O100" i="15"/>
  <c r="O101" i="15"/>
  <c r="C100" i="15"/>
  <c r="N100" i="15"/>
  <c r="N101" i="15"/>
  <c r="B100" i="15"/>
  <c r="M100" i="15"/>
  <c r="M101" i="15"/>
  <c r="L97" i="15"/>
  <c r="W97" i="15"/>
  <c r="W98" i="15"/>
  <c r="K97" i="15"/>
  <c r="V97" i="15"/>
  <c r="V98" i="15"/>
  <c r="J97" i="15"/>
  <c r="U97" i="15"/>
  <c r="U98" i="15"/>
  <c r="I97" i="15"/>
  <c r="T97" i="15"/>
  <c r="T98" i="15"/>
  <c r="H97" i="15"/>
  <c r="S97" i="15"/>
  <c r="S98" i="15"/>
  <c r="G97" i="15"/>
  <c r="R97" i="15"/>
  <c r="R98" i="15"/>
  <c r="F97" i="15"/>
  <c r="Q97" i="15"/>
  <c r="Q98" i="15"/>
  <c r="E97" i="15"/>
  <c r="P97" i="15"/>
  <c r="P98" i="15"/>
  <c r="D97" i="15"/>
  <c r="O97" i="15"/>
  <c r="O98" i="15"/>
  <c r="C97" i="15"/>
  <c r="N97" i="15"/>
  <c r="N98" i="15"/>
  <c r="B97" i="15"/>
  <c r="M97" i="15"/>
  <c r="M98" i="15"/>
  <c r="L94" i="15"/>
  <c r="W94" i="15"/>
  <c r="W95" i="15"/>
  <c r="K94" i="15"/>
  <c r="V94" i="15"/>
  <c r="V95" i="15"/>
  <c r="J94" i="15"/>
  <c r="U94" i="15"/>
  <c r="U95" i="15"/>
  <c r="I94" i="15"/>
  <c r="T94" i="15"/>
  <c r="T95" i="15"/>
  <c r="H94" i="15"/>
  <c r="S94" i="15"/>
  <c r="S95" i="15"/>
  <c r="G94" i="15"/>
  <c r="R94" i="15"/>
  <c r="R95" i="15"/>
  <c r="F94" i="15"/>
  <c r="Q94" i="15"/>
  <c r="Q95" i="15"/>
  <c r="E94" i="15"/>
  <c r="P94" i="15"/>
  <c r="P95" i="15"/>
  <c r="D94" i="15"/>
  <c r="O94" i="15"/>
  <c r="O95" i="15"/>
  <c r="C94" i="15"/>
  <c r="N94" i="15"/>
  <c r="N95" i="15"/>
  <c r="B94" i="15"/>
  <c r="M94" i="15"/>
  <c r="M95" i="15"/>
  <c r="L91" i="15"/>
  <c r="W91" i="15"/>
  <c r="W92" i="15"/>
  <c r="K91" i="15"/>
  <c r="V91" i="15"/>
  <c r="V92" i="15"/>
  <c r="J91" i="15"/>
  <c r="U91" i="15"/>
  <c r="U92" i="15"/>
  <c r="I91" i="15"/>
  <c r="T91" i="15"/>
  <c r="T92" i="15"/>
  <c r="H91" i="15"/>
  <c r="S91" i="15"/>
  <c r="S92" i="15"/>
  <c r="G91" i="15"/>
  <c r="R91" i="15"/>
  <c r="R92" i="15"/>
  <c r="F91" i="15"/>
  <c r="Q91" i="15"/>
  <c r="Q92" i="15"/>
  <c r="E91" i="15"/>
  <c r="P91" i="15"/>
  <c r="P92" i="15"/>
  <c r="D91" i="15"/>
  <c r="O91" i="15"/>
  <c r="O92" i="15"/>
  <c r="C91" i="15"/>
  <c r="N91" i="15"/>
  <c r="N92" i="15"/>
  <c r="B91" i="15"/>
  <c r="M91" i="15"/>
  <c r="M92" i="15"/>
  <c r="X131" i="15"/>
  <c r="Y129" i="15"/>
  <c r="Y131" i="15"/>
  <c r="X129" i="15"/>
  <c r="X128" i="15"/>
  <c r="Y126" i="15"/>
  <c r="Y128" i="15"/>
  <c r="X126" i="15"/>
  <c r="X125" i="15"/>
  <c r="Y123" i="15"/>
  <c r="Y125" i="15"/>
  <c r="X123" i="15"/>
  <c r="X122" i="15"/>
  <c r="Y122" i="15"/>
  <c r="Y120" i="15"/>
  <c r="X120" i="15"/>
  <c r="X119" i="15"/>
  <c r="Y117" i="15"/>
  <c r="Y119" i="15"/>
  <c r="X117" i="15"/>
  <c r="X116" i="15"/>
  <c r="Y114" i="15"/>
  <c r="Y116" i="15"/>
  <c r="X114" i="15"/>
  <c r="X113" i="15"/>
  <c r="Y111" i="15"/>
  <c r="Y113" i="15"/>
  <c r="X111" i="15"/>
  <c r="X110" i="15"/>
  <c r="Y108" i="15"/>
  <c r="Y110" i="15"/>
  <c r="X108" i="15"/>
  <c r="X107" i="15"/>
  <c r="Y105" i="15"/>
  <c r="Y107" i="15"/>
  <c r="X105" i="15"/>
  <c r="X104" i="15"/>
  <c r="Y102" i="15"/>
  <c r="Y104" i="15"/>
  <c r="X102" i="15"/>
  <c r="X101" i="15"/>
  <c r="Y99" i="15"/>
  <c r="Y101" i="15"/>
  <c r="X99" i="15"/>
  <c r="X98" i="15"/>
  <c r="Y96" i="15"/>
  <c r="Y98" i="15"/>
  <c r="X96" i="15"/>
  <c r="X95" i="15"/>
  <c r="Y93" i="15"/>
  <c r="Y95" i="15"/>
  <c r="X93" i="15"/>
  <c r="X92" i="15"/>
  <c r="Y90" i="15"/>
  <c r="Y92" i="15"/>
  <c r="X90" i="15"/>
  <c r="X87" i="15"/>
  <c r="B88" i="15"/>
  <c r="M88" i="15"/>
  <c r="M89" i="15"/>
  <c r="C88" i="15"/>
  <c r="N88" i="15"/>
  <c r="N89" i="15"/>
  <c r="D88" i="15"/>
  <c r="O88" i="15"/>
  <c r="O89" i="15"/>
  <c r="E88" i="15"/>
  <c r="P88" i="15"/>
  <c r="P89" i="15"/>
  <c r="F88" i="15"/>
  <c r="Q88" i="15"/>
  <c r="Q89" i="15"/>
  <c r="G88" i="15"/>
  <c r="R88" i="15"/>
  <c r="R89" i="15"/>
  <c r="H88" i="15"/>
  <c r="S88" i="15"/>
  <c r="S89" i="15"/>
  <c r="I88" i="15"/>
  <c r="T88" i="15"/>
  <c r="T89" i="15"/>
  <c r="J88" i="15"/>
  <c r="U88" i="15"/>
  <c r="U89" i="15"/>
  <c r="K88" i="15"/>
  <c r="V88" i="15"/>
  <c r="V89" i="15"/>
  <c r="L88" i="15"/>
  <c r="W88" i="15"/>
  <c r="W89" i="15"/>
  <c r="X89" i="15"/>
  <c r="Y87" i="15"/>
  <c r="Y89" i="15"/>
  <c r="L102" i="20"/>
  <c r="B103" i="20"/>
  <c r="G103" i="20"/>
  <c r="G104" i="20"/>
  <c r="C103" i="20"/>
  <c r="H103" i="20"/>
  <c r="H104" i="20"/>
  <c r="D103" i="20"/>
  <c r="I103" i="20"/>
  <c r="I104" i="20"/>
  <c r="E103" i="20"/>
  <c r="J103" i="20"/>
  <c r="J104" i="20"/>
  <c r="F103" i="20"/>
  <c r="K103" i="20"/>
  <c r="K104" i="20"/>
  <c r="L104" i="20"/>
  <c r="M102" i="20"/>
  <c r="M104" i="20"/>
  <c r="L97" i="20"/>
  <c r="B98" i="20"/>
  <c r="G98" i="20"/>
  <c r="G99" i="20"/>
  <c r="C98" i="20"/>
  <c r="H98" i="20"/>
  <c r="H99" i="20"/>
  <c r="D98" i="20"/>
  <c r="I98" i="20"/>
  <c r="I99" i="20"/>
  <c r="E98" i="20"/>
  <c r="J98" i="20"/>
  <c r="J99" i="20"/>
  <c r="F98" i="20"/>
  <c r="K98" i="20"/>
  <c r="K99" i="20"/>
  <c r="L99" i="20"/>
  <c r="M97" i="20"/>
  <c r="M99" i="20"/>
  <c r="Y111" i="17"/>
  <c r="X111" i="17"/>
  <c r="Y108" i="17"/>
  <c r="X108" i="17"/>
  <c r="Y105" i="17"/>
  <c r="X105" i="17"/>
  <c r="B112" i="17"/>
  <c r="M112" i="17"/>
  <c r="M113" i="17"/>
  <c r="C112" i="17"/>
  <c r="N112" i="17"/>
  <c r="N113" i="17"/>
  <c r="D112" i="17"/>
  <c r="O112" i="17"/>
  <c r="O113" i="17"/>
  <c r="E112" i="17"/>
  <c r="P112" i="17"/>
  <c r="P113" i="17"/>
  <c r="F112" i="17"/>
  <c r="Q112" i="17"/>
  <c r="Q113" i="17"/>
  <c r="G112" i="17"/>
  <c r="R112" i="17"/>
  <c r="R113" i="17"/>
  <c r="H112" i="17"/>
  <c r="S112" i="17"/>
  <c r="S113" i="17"/>
  <c r="I112" i="17"/>
  <c r="T112" i="17"/>
  <c r="T113" i="17"/>
  <c r="J112" i="17"/>
  <c r="U112" i="17"/>
  <c r="U113" i="17"/>
  <c r="K112" i="17"/>
  <c r="V112" i="17"/>
  <c r="V113" i="17"/>
  <c r="L112" i="17"/>
  <c r="W112" i="17"/>
  <c r="W113" i="17"/>
  <c r="X113" i="17"/>
  <c r="Y113" i="17"/>
  <c r="B109" i="17"/>
  <c r="M109" i="17"/>
  <c r="M110" i="17"/>
  <c r="C109" i="17"/>
  <c r="N109" i="17"/>
  <c r="N110" i="17"/>
  <c r="D109" i="17"/>
  <c r="O109" i="17"/>
  <c r="O110" i="17"/>
  <c r="E109" i="17"/>
  <c r="P109" i="17"/>
  <c r="P110" i="17"/>
  <c r="F109" i="17"/>
  <c r="Q109" i="17"/>
  <c r="Q110" i="17"/>
  <c r="G109" i="17"/>
  <c r="R109" i="17"/>
  <c r="R110" i="17"/>
  <c r="H109" i="17"/>
  <c r="S109" i="17"/>
  <c r="S110" i="17"/>
  <c r="I109" i="17"/>
  <c r="T109" i="17"/>
  <c r="T110" i="17"/>
  <c r="J109" i="17"/>
  <c r="U109" i="17"/>
  <c r="U110" i="17"/>
  <c r="K109" i="17"/>
  <c r="V109" i="17"/>
  <c r="V110" i="17"/>
  <c r="L109" i="17"/>
  <c r="W109" i="17"/>
  <c r="W110" i="17"/>
  <c r="X110" i="17"/>
  <c r="Y110" i="17"/>
  <c r="B106" i="17"/>
  <c r="M106" i="17"/>
  <c r="M107" i="17"/>
  <c r="C106" i="17"/>
  <c r="N106" i="17"/>
  <c r="N107" i="17"/>
  <c r="D106" i="17"/>
  <c r="O106" i="17"/>
  <c r="O107" i="17"/>
  <c r="E106" i="17"/>
  <c r="P106" i="17"/>
  <c r="P107" i="17"/>
  <c r="F106" i="17"/>
  <c r="Q106" i="17"/>
  <c r="Q107" i="17"/>
  <c r="G106" i="17"/>
  <c r="R106" i="17"/>
  <c r="R107" i="17"/>
  <c r="H106" i="17"/>
  <c r="S106" i="17"/>
  <c r="S107" i="17"/>
  <c r="I106" i="17"/>
  <c r="T106" i="17"/>
  <c r="T107" i="17"/>
  <c r="J106" i="17"/>
  <c r="U106" i="17"/>
  <c r="U107" i="17"/>
  <c r="K106" i="17"/>
  <c r="V106" i="17"/>
  <c r="V107" i="17"/>
  <c r="L106" i="17"/>
  <c r="W106" i="17"/>
  <c r="W107" i="17"/>
  <c r="X107" i="17"/>
  <c r="Y107" i="17"/>
  <c r="Y83" i="17"/>
  <c r="X83" i="17"/>
  <c r="Y89" i="17"/>
  <c r="X89" i="17"/>
  <c r="Y86" i="17"/>
  <c r="X86" i="17"/>
  <c r="B90" i="17"/>
  <c r="M90" i="17"/>
  <c r="M91" i="17"/>
  <c r="C90" i="17"/>
  <c r="N90" i="17"/>
  <c r="N91" i="17"/>
  <c r="D90" i="17"/>
  <c r="O90" i="17"/>
  <c r="O91" i="17"/>
  <c r="E90" i="17"/>
  <c r="P90" i="17"/>
  <c r="P91" i="17"/>
  <c r="F90" i="17"/>
  <c r="Q90" i="17"/>
  <c r="Q91" i="17"/>
  <c r="G90" i="17"/>
  <c r="R90" i="17"/>
  <c r="R91" i="17"/>
  <c r="H90" i="17"/>
  <c r="S90" i="17"/>
  <c r="S91" i="17"/>
  <c r="I90" i="17"/>
  <c r="T90" i="17"/>
  <c r="T91" i="17"/>
  <c r="J90" i="17"/>
  <c r="U90" i="17"/>
  <c r="U91" i="17"/>
  <c r="K90" i="17"/>
  <c r="V90" i="17"/>
  <c r="V91" i="17"/>
  <c r="L90" i="17"/>
  <c r="W90" i="17"/>
  <c r="W91" i="17"/>
  <c r="X91" i="17"/>
  <c r="Y91" i="17"/>
  <c r="B87" i="17"/>
  <c r="M87" i="17"/>
  <c r="M88" i="17"/>
  <c r="C87" i="17"/>
  <c r="N87" i="17"/>
  <c r="N88" i="17"/>
  <c r="D87" i="17"/>
  <c r="O87" i="17"/>
  <c r="O88" i="17"/>
  <c r="E87" i="17"/>
  <c r="P87" i="17"/>
  <c r="P88" i="17"/>
  <c r="F87" i="17"/>
  <c r="Q87" i="17"/>
  <c r="Q88" i="17"/>
  <c r="G87" i="17"/>
  <c r="R87" i="17"/>
  <c r="R88" i="17"/>
  <c r="H87" i="17"/>
  <c r="S87" i="17"/>
  <c r="S88" i="17"/>
  <c r="I87" i="17"/>
  <c r="T87" i="17"/>
  <c r="T88" i="17"/>
  <c r="J87" i="17"/>
  <c r="U87" i="17"/>
  <c r="U88" i="17"/>
  <c r="K87" i="17"/>
  <c r="V87" i="17"/>
  <c r="V88" i="17"/>
  <c r="L87" i="17"/>
  <c r="W87" i="17"/>
  <c r="W88" i="17"/>
  <c r="X88" i="17"/>
  <c r="Y88" i="17"/>
  <c r="B84" i="17"/>
  <c r="M84" i="17"/>
  <c r="M85" i="17"/>
  <c r="C84" i="17"/>
  <c r="N84" i="17"/>
  <c r="N85" i="17"/>
  <c r="D84" i="17"/>
  <c r="O84" i="17"/>
  <c r="O85" i="17"/>
  <c r="E84" i="17"/>
  <c r="P84" i="17"/>
  <c r="P85" i="17"/>
  <c r="F84" i="17"/>
  <c r="Q84" i="17"/>
  <c r="Q85" i="17"/>
  <c r="G84" i="17"/>
  <c r="R84" i="17"/>
  <c r="R85" i="17"/>
  <c r="H84" i="17"/>
  <c r="S84" i="17"/>
  <c r="S85" i="17"/>
  <c r="I84" i="17"/>
  <c r="T84" i="17"/>
  <c r="T85" i="17"/>
  <c r="J84" i="17"/>
  <c r="U84" i="17"/>
  <c r="U85" i="17"/>
  <c r="K84" i="17"/>
  <c r="V84" i="17"/>
  <c r="V85" i="17"/>
  <c r="L84" i="17"/>
  <c r="W84" i="17"/>
  <c r="W85" i="17"/>
  <c r="X85" i="17"/>
  <c r="Y85" i="17"/>
  <c r="X102" i="17"/>
  <c r="B103" i="17"/>
  <c r="M103" i="17"/>
  <c r="M104" i="17"/>
  <c r="C103" i="17"/>
  <c r="N103" i="17"/>
  <c r="N104" i="17"/>
  <c r="D103" i="17"/>
  <c r="O103" i="17"/>
  <c r="O104" i="17"/>
  <c r="E103" i="17"/>
  <c r="P103" i="17"/>
  <c r="P104" i="17"/>
  <c r="F103" i="17"/>
  <c r="Q103" i="17"/>
  <c r="Q104" i="17"/>
  <c r="G103" i="17"/>
  <c r="R103" i="17"/>
  <c r="R104" i="17"/>
  <c r="H103" i="17"/>
  <c r="S103" i="17"/>
  <c r="S104" i="17"/>
  <c r="I103" i="17"/>
  <c r="T103" i="17"/>
  <c r="T104" i="17"/>
  <c r="J103" i="17"/>
  <c r="U103" i="17"/>
  <c r="U104" i="17"/>
  <c r="K103" i="17"/>
  <c r="V103" i="17"/>
  <c r="V104" i="17"/>
  <c r="L103" i="17"/>
  <c r="W103" i="17"/>
  <c r="W104" i="17"/>
  <c r="X104" i="17"/>
  <c r="Y102" i="17"/>
  <c r="Y104" i="17"/>
  <c r="X99" i="17"/>
  <c r="B100" i="17"/>
  <c r="M100" i="17"/>
  <c r="M101" i="17"/>
  <c r="C100" i="17"/>
  <c r="N100" i="17"/>
  <c r="N101" i="17"/>
  <c r="D100" i="17"/>
  <c r="O100" i="17"/>
  <c r="O101" i="17"/>
  <c r="E100" i="17"/>
  <c r="P100" i="17"/>
  <c r="P101" i="17"/>
  <c r="F100" i="17"/>
  <c r="Q100" i="17"/>
  <c r="Q101" i="17"/>
  <c r="G100" i="17"/>
  <c r="R100" i="17"/>
  <c r="R101" i="17"/>
  <c r="H100" i="17"/>
  <c r="S100" i="17"/>
  <c r="S101" i="17"/>
  <c r="I100" i="17"/>
  <c r="T100" i="17"/>
  <c r="T101" i="17"/>
  <c r="J100" i="17"/>
  <c r="U100" i="17"/>
  <c r="U101" i="17"/>
  <c r="K100" i="17"/>
  <c r="V100" i="17"/>
  <c r="V101" i="17"/>
  <c r="L100" i="17"/>
  <c r="W100" i="17"/>
  <c r="W101" i="17"/>
  <c r="X101" i="17"/>
  <c r="Y99" i="17"/>
  <c r="Y101" i="17"/>
  <c r="X96" i="17"/>
  <c r="B97" i="17"/>
  <c r="M97" i="17"/>
  <c r="M98" i="17"/>
  <c r="C97" i="17"/>
  <c r="N97" i="17"/>
  <c r="N98" i="17"/>
  <c r="D97" i="17"/>
  <c r="O97" i="17"/>
  <c r="O98" i="17"/>
  <c r="E97" i="17"/>
  <c r="P97" i="17"/>
  <c r="P98" i="17"/>
  <c r="F97" i="17"/>
  <c r="Q97" i="17"/>
  <c r="Q98" i="17"/>
  <c r="G97" i="17"/>
  <c r="R97" i="17"/>
  <c r="R98" i="17"/>
  <c r="H97" i="17"/>
  <c r="S97" i="17"/>
  <c r="S98" i="17"/>
  <c r="I97" i="17"/>
  <c r="T97" i="17"/>
  <c r="T98" i="17"/>
  <c r="J97" i="17"/>
  <c r="U97" i="17"/>
  <c r="U98" i="17"/>
  <c r="K97" i="17"/>
  <c r="V97" i="17"/>
  <c r="V98" i="17"/>
  <c r="L97" i="17"/>
  <c r="W97" i="17"/>
  <c r="W98" i="17"/>
  <c r="X98" i="17"/>
  <c r="Y96" i="17"/>
  <c r="Y98" i="17"/>
  <c r="X80" i="17"/>
  <c r="B81" i="17"/>
  <c r="M81" i="17"/>
  <c r="M82" i="17"/>
  <c r="C81" i="17"/>
  <c r="N81" i="17"/>
  <c r="N82" i="17"/>
  <c r="D81" i="17"/>
  <c r="O81" i="17"/>
  <c r="O82" i="17"/>
  <c r="E81" i="17"/>
  <c r="P81" i="17"/>
  <c r="P82" i="17"/>
  <c r="F81" i="17"/>
  <c r="Q81" i="17"/>
  <c r="Q82" i="17"/>
  <c r="G81" i="17"/>
  <c r="R81" i="17"/>
  <c r="R82" i="17"/>
  <c r="H81" i="17"/>
  <c r="S81" i="17"/>
  <c r="S82" i="17"/>
  <c r="I81" i="17"/>
  <c r="T81" i="17"/>
  <c r="T82" i="17"/>
  <c r="J81" i="17"/>
  <c r="U81" i="17"/>
  <c r="U82" i="17"/>
  <c r="K81" i="17"/>
  <c r="V81" i="17"/>
  <c r="V82" i="17"/>
  <c r="L81" i="17"/>
  <c r="W81" i="17"/>
  <c r="W82" i="17"/>
  <c r="X82" i="17"/>
  <c r="Y80" i="17"/>
  <c r="Y82" i="17"/>
  <c r="X77" i="17"/>
  <c r="B78" i="17"/>
  <c r="M78" i="17"/>
  <c r="M79" i="17"/>
  <c r="C78" i="17"/>
  <c r="N78" i="17"/>
  <c r="N79" i="17"/>
  <c r="D78" i="17"/>
  <c r="O78" i="17"/>
  <c r="O79" i="17"/>
  <c r="E78" i="17"/>
  <c r="P78" i="17"/>
  <c r="P79" i="17"/>
  <c r="F78" i="17"/>
  <c r="Q78" i="17"/>
  <c r="Q79" i="17"/>
  <c r="G78" i="17"/>
  <c r="R78" i="17"/>
  <c r="R79" i="17"/>
  <c r="H78" i="17"/>
  <c r="S78" i="17"/>
  <c r="S79" i="17"/>
  <c r="I78" i="17"/>
  <c r="T78" i="17"/>
  <c r="T79" i="17"/>
  <c r="J78" i="17"/>
  <c r="U78" i="17"/>
  <c r="U79" i="17"/>
  <c r="K78" i="17"/>
  <c r="V78" i="17"/>
  <c r="V79" i="17"/>
  <c r="L78" i="17"/>
  <c r="W78" i="17"/>
  <c r="W79" i="17"/>
  <c r="X79" i="17"/>
  <c r="Y77" i="17"/>
  <c r="Y79" i="17"/>
  <c r="X74" i="17"/>
  <c r="B75" i="17"/>
  <c r="M75" i="17"/>
  <c r="M76" i="17"/>
  <c r="C75" i="17"/>
  <c r="N75" i="17"/>
  <c r="N76" i="17"/>
  <c r="D75" i="17"/>
  <c r="O75" i="17"/>
  <c r="O76" i="17"/>
  <c r="E75" i="17"/>
  <c r="P75" i="17"/>
  <c r="P76" i="17"/>
  <c r="F75" i="17"/>
  <c r="Q75" i="17"/>
  <c r="Q76" i="17"/>
  <c r="G75" i="17"/>
  <c r="R75" i="17"/>
  <c r="R76" i="17"/>
  <c r="H75" i="17"/>
  <c r="S75" i="17"/>
  <c r="S76" i="17"/>
  <c r="I75" i="17"/>
  <c r="T75" i="17"/>
  <c r="T76" i="17"/>
  <c r="J75" i="17"/>
  <c r="U75" i="17"/>
  <c r="U76" i="17"/>
  <c r="K75" i="17"/>
  <c r="V75" i="17"/>
  <c r="V76" i="17"/>
  <c r="L75" i="17"/>
  <c r="W75" i="17"/>
  <c r="W76" i="17"/>
  <c r="X76" i="17"/>
  <c r="Y74" i="17"/>
  <c r="Y76" i="17"/>
  <c r="X159" i="14"/>
  <c r="B160" i="14"/>
  <c r="M160" i="14"/>
  <c r="M161" i="14"/>
  <c r="C160" i="14"/>
  <c r="N160" i="14"/>
  <c r="N161" i="14"/>
  <c r="D160" i="14"/>
  <c r="O160" i="14"/>
  <c r="O161" i="14"/>
  <c r="E160" i="14"/>
  <c r="P160" i="14"/>
  <c r="P161" i="14"/>
  <c r="F160" i="14"/>
  <c r="Q160" i="14"/>
  <c r="Q161" i="14"/>
  <c r="G160" i="14"/>
  <c r="R160" i="14"/>
  <c r="R161" i="14"/>
  <c r="H160" i="14"/>
  <c r="S160" i="14"/>
  <c r="S161" i="14"/>
  <c r="I160" i="14"/>
  <c r="T160" i="14"/>
  <c r="T161" i="14"/>
  <c r="J160" i="14"/>
  <c r="U160" i="14"/>
  <c r="U161" i="14"/>
  <c r="K160" i="14"/>
  <c r="V160" i="14"/>
  <c r="V161" i="14"/>
  <c r="L160" i="14"/>
  <c r="W160" i="14"/>
  <c r="W161" i="14"/>
  <c r="X161" i="14"/>
  <c r="Y159" i="14"/>
  <c r="Y161" i="14"/>
  <c r="X156" i="14"/>
  <c r="B157" i="14"/>
  <c r="M157" i="14"/>
  <c r="M158" i="14"/>
  <c r="C157" i="14"/>
  <c r="N157" i="14"/>
  <c r="N158" i="14"/>
  <c r="D157" i="14"/>
  <c r="O157" i="14"/>
  <c r="O158" i="14"/>
  <c r="E157" i="14"/>
  <c r="P157" i="14"/>
  <c r="P158" i="14"/>
  <c r="F157" i="14"/>
  <c r="Q157" i="14"/>
  <c r="Q158" i="14"/>
  <c r="G157" i="14"/>
  <c r="R157" i="14"/>
  <c r="R158" i="14"/>
  <c r="H157" i="14"/>
  <c r="S157" i="14"/>
  <c r="S158" i="14"/>
  <c r="I157" i="14"/>
  <c r="T157" i="14"/>
  <c r="T158" i="14"/>
  <c r="J157" i="14"/>
  <c r="U157" i="14"/>
  <c r="U158" i="14"/>
  <c r="K157" i="14"/>
  <c r="V157" i="14"/>
  <c r="V158" i="14"/>
  <c r="L157" i="14"/>
  <c r="W157" i="14"/>
  <c r="W158" i="14"/>
  <c r="X158" i="14"/>
  <c r="Y156" i="14"/>
  <c r="Y158" i="14"/>
  <c r="X153" i="14"/>
  <c r="B154" i="14"/>
  <c r="M154" i="14"/>
  <c r="M155" i="14"/>
  <c r="C154" i="14"/>
  <c r="N154" i="14"/>
  <c r="N155" i="14"/>
  <c r="D154" i="14"/>
  <c r="O154" i="14"/>
  <c r="O155" i="14"/>
  <c r="E154" i="14"/>
  <c r="P154" i="14"/>
  <c r="P155" i="14"/>
  <c r="F154" i="14"/>
  <c r="Q154" i="14"/>
  <c r="Q155" i="14"/>
  <c r="G154" i="14"/>
  <c r="R154" i="14"/>
  <c r="R155" i="14"/>
  <c r="H154" i="14"/>
  <c r="S154" i="14"/>
  <c r="S155" i="14"/>
  <c r="I154" i="14"/>
  <c r="T154" i="14"/>
  <c r="T155" i="14"/>
  <c r="J154" i="14"/>
  <c r="U154" i="14"/>
  <c r="U155" i="14"/>
  <c r="K154" i="14"/>
  <c r="V154" i="14"/>
  <c r="V155" i="14"/>
  <c r="L154" i="14"/>
  <c r="W154" i="14"/>
  <c r="W155" i="14"/>
  <c r="X155" i="14"/>
  <c r="Y153" i="14"/>
  <c r="Y155" i="14"/>
  <c r="X147" i="14"/>
  <c r="B148" i="14"/>
  <c r="M148" i="14"/>
  <c r="M149" i="14"/>
  <c r="C148" i="14"/>
  <c r="N148" i="14"/>
  <c r="N149" i="14"/>
  <c r="D148" i="14"/>
  <c r="O148" i="14"/>
  <c r="O149" i="14"/>
  <c r="E148" i="14"/>
  <c r="P148" i="14"/>
  <c r="P149" i="14"/>
  <c r="F148" i="14"/>
  <c r="Q148" i="14"/>
  <c r="Q149" i="14"/>
  <c r="G148" i="14"/>
  <c r="R148" i="14"/>
  <c r="R149" i="14"/>
  <c r="H148" i="14"/>
  <c r="S148" i="14"/>
  <c r="S149" i="14"/>
  <c r="I148" i="14"/>
  <c r="T148" i="14"/>
  <c r="T149" i="14"/>
  <c r="J148" i="14"/>
  <c r="U148" i="14"/>
  <c r="U149" i="14"/>
  <c r="K148" i="14"/>
  <c r="V148" i="14"/>
  <c r="V149" i="14"/>
  <c r="L148" i="14"/>
  <c r="W148" i="14"/>
  <c r="W149" i="14"/>
  <c r="X149" i="14"/>
  <c r="Y147" i="14"/>
  <c r="Y149" i="14"/>
  <c r="X144" i="14"/>
  <c r="B145" i="14"/>
  <c r="M145" i="14"/>
  <c r="M146" i="14"/>
  <c r="C145" i="14"/>
  <c r="N145" i="14"/>
  <c r="N146" i="14"/>
  <c r="D145" i="14"/>
  <c r="O145" i="14"/>
  <c r="O146" i="14"/>
  <c r="E145" i="14"/>
  <c r="P145" i="14"/>
  <c r="P146" i="14"/>
  <c r="F145" i="14"/>
  <c r="Q145" i="14"/>
  <c r="Q146" i="14"/>
  <c r="G145" i="14"/>
  <c r="R145" i="14"/>
  <c r="R146" i="14"/>
  <c r="H145" i="14"/>
  <c r="S145" i="14"/>
  <c r="S146" i="14"/>
  <c r="I145" i="14"/>
  <c r="T145" i="14"/>
  <c r="T146" i="14"/>
  <c r="J145" i="14"/>
  <c r="U145" i="14"/>
  <c r="U146" i="14"/>
  <c r="K145" i="14"/>
  <c r="V145" i="14"/>
  <c r="V146" i="14"/>
  <c r="L145" i="14"/>
  <c r="W145" i="14"/>
  <c r="W146" i="14"/>
  <c r="X146" i="14"/>
  <c r="Y144" i="14"/>
  <c r="Y146" i="14"/>
  <c r="X141" i="14"/>
  <c r="B142" i="14"/>
  <c r="M142" i="14"/>
  <c r="M143" i="14"/>
  <c r="C142" i="14"/>
  <c r="N142" i="14"/>
  <c r="N143" i="14"/>
  <c r="D142" i="14"/>
  <c r="O142" i="14"/>
  <c r="O143" i="14"/>
  <c r="E142" i="14"/>
  <c r="P142" i="14"/>
  <c r="P143" i="14"/>
  <c r="F142" i="14"/>
  <c r="Q142" i="14"/>
  <c r="Q143" i="14"/>
  <c r="G142" i="14"/>
  <c r="R142" i="14"/>
  <c r="R143" i="14"/>
  <c r="H142" i="14"/>
  <c r="S142" i="14"/>
  <c r="S143" i="14"/>
  <c r="I142" i="14"/>
  <c r="T142" i="14"/>
  <c r="T143" i="14"/>
  <c r="J142" i="14"/>
  <c r="U142" i="14"/>
  <c r="U143" i="14"/>
  <c r="K142" i="14"/>
  <c r="V142" i="14"/>
  <c r="V143" i="14"/>
  <c r="L142" i="14"/>
  <c r="W142" i="14"/>
  <c r="W143" i="14"/>
  <c r="X143" i="14"/>
  <c r="Y141" i="14"/>
  <c r="Y143" i="14"/>
  <c r="P89" i="21"/>
  <c r="B90" i="21"/>
  <c r="I90" i="21"/>
  <c r="I91" i="21"/>
  <c r="C90" i="21"/>
  <c r="J90" i="21"/>
  <c r="J91" i="21"/>
  <c r="D90" i="21"/>
  <c r="K90" i="21"/>
  <c r="K91" i="21"/>
  <c r="E90" i="21"/>
  <c r="L90" i="21"/>
  <c r="L91" i="21"/>
  <c r="F90" i="21"/>
  <c r="M90" i="21"/>
  <c r="M91" i="21"/>
  <c r="G90" i="21"/>
  <c r="N90" i="21"/>
  <c r="N91" i="21"/>
  <c r="H90" i="21"/>
  <c r="O90" i="21"/>
  <c r="O91" i="21"/>
  <c r="P91" i="21"/>
  <c r="Q89" i="21"/>
  <c r="Q91" i="21"/>
  <c r="Q86" i="21"/>
  <c r="Q84" i="21"/>
  <c r="P84" i="21"/>
  <c r="N151" i="16"/>
  <c r="O151" i="16"/>
  <c r="P151" i="16"/>
  <c r="Q151" i="16"/>
  <c r="R151" i="16"/>
  <c r="S151" i="16"/>
  <c r="T151" i="16"/>
  <c r="U151" i="16"/>
  <c r="V151" i="16"/>
  <c r="W151" i="16"/>
  <c r="M151" i="16"/>
  <c r="X151" i="16"/>
  <c r="L152" i="16"/>
  <c r="W152" i="16"/>
  <c r="W153" i="16"/>
  <c r="K152" i="16"/>
  <c r="V152" i="16"/>
  <c r="V153" i="16"/>
  <c r="J152" i="16"/>
  <c r="U152" i="16"/>
  <c r="U153" i="16"/>
  <c r="I152" i="16"/>
  <c r="T152" i="16"/>
  <c r="T153" i="16"/>
  <c r="H152" i="16"/>
  <c r="S152" i="16"/>
  <c r="S153" i="16"/>
  <c r="G152" i="16"/>
  <c r="R152" i="16"/>
  <c r="R153" i="16"/>
  <c r="F152" i="16"/>
  <c r="Q152" i="16"/>
  <c r="Q153" i="16"/>
  <c r="E152" i="16"/>
  <c r="P152" i="16"/>
  <c r="P153" i="16"/>
  <c r="D152" i="16"/>
  <c r="O152" i="16"/>
  <c r="O153" i="16"/>
  <c r="C152" i="16"/>
  <c r="N152" i="16"/>
  <c r="N153" i="16"/>
  <c r="B152" i="16"/>
  <c r="M152" i="16"/>
  <c r="M153" i="16"/>
  <c r="L149" i="16"/>
  <c r="W149" i="16"/>
  <c r="W150" i="16"/>
  <c r="K149" i="16"/>
  <c r="V149" i="16"/>
  <c r="V150" i="16"/>
  <c r="J149" i="16"/>
  <c r="U149" i="16"/>
  <c r="U150" i="16"/>
  <c r="I149" i="16"/>
  <c r="T149" i="16"/>
  <c r="T150" i="16"/>
  <c r="H149" i="16"/>
  <c r="S149" i="16"/>
  <c r="S150" i="16"/>
  <c r="G149" i="16"/>
  <c r="R149" i="16"/>
  <c r="R150" i="16"/>
  <c r="F149" i="16"/>
  <c r="Q149" i="16"/>
  <c r="Q150" i="16"/>
  <c r="E149" i="16"/>
  <c r="P149" i="16"/>
  <c r="P150" i="16"/>
  <c r="D149" i="16"/>
  <c r="O149" i="16"/>
  <c r="O150" i="16"/>
  <c r="C149" i="16"/>
  <c r="N149" i="16"/>
  <c r="N150" i="16"/>
  <c r="B149" i="16"/>
  <c r="M149" i="16"/>
  <c r="M150" i="16"/>
  <c r="L146" i="16"/>
  <c r="W146" i="16"/>
  <c r="W147" i="16"/>
  <c r="K146" i="16"/>
  <c r="V146" i="16"/>
  <c r="V147" i="16"/>
  <c r="J146" i="16"/>
  <c r="U146" i="16"/>
  <c r="U147" i="16"/>
  <c r="I146" i="16"/>
  <c r="T146" i="16"/>
  <c r="T147" i="16"/>
  <c r="H146" i="16"/>
  <c r="S146" i="16"/>
  <c r="S147" i="16"/>
  <c r="G146" i="16"/>
  <c r="R146" i="16"/>
  <c r="R147" i="16"/>
  <c r="F146" i="16"/>
  <c r="Q146" i="16"/>
  <c r="Q147" i="16"/>
  <c r="E146" i="16"/>
  <c r="P146" i="16"/>
  <c r="P147" i="16"/>
  <c r="D146" i="16"/>
  <c r="O146" i="16"/>
  <c r="O147" i="16"/>
  <c r="C146" i="16"/>
  <c r="N146" i="16"/>
  <c r="N147" i="16"/>
  <c r="B146" i="16"/>
  <c r="M146" i="16"/>
  <c r="M147" i="16"/>
  <c r="L143" i="16"/>
  <c r="W143" i="16"/>
  <c r="W144" i="16"/>
  <c r="K143" i="16"/>
  <c r="V143" i="16"/>
  <c r="V144" i="16"/>
  <c r="J143" i="16"/>
  <c r="U143" i="16"/>
  <c r="U144" i="16"/>
  <c r="I143" i="16"/>
  <c r="T143" i="16"/>
  <c r="T144" i="16"/>
  <c r="H143" i="16"/>
  <c r="S143" i="16"/>
  <c r="S144" i="16"/>
  <c r="G143" i="16"/>
  <c r="R143" i="16"/>
  <c r="R144" i="16"/>
  <c r="F143" i="16"/>
  <c r="Q143" i="16"/>
  <c r="Q144" i="16"/>
  <c r="E143" i="16"/>
  <c r="P143" i="16"/>
  <c r="P144" i="16"/>
  <c r="D143" i="16"/>
  <c r="O143" i="16"/>
  <c r="O144" i="16"/>
  <c r="C143" i="16"/>
  <c r="N143" i="16"/>
  <c r="N144" i="16"/>
  <c r="B143" i="16"/>
  <c r="M143" i="16"/>
  <c r="M144" i="16"/>
  <c r="L140" i="16"/>
  <c r="W140" i="16"/>
  <c r="W141" i="16"/>
  <c r="K140" i="16"/>
  <c r="V140" i="16"/>
  <c r="V141" i="16"/>
  <c r="J140" i="16"/>
  <c r="U140" i="16"/>
  <c r="U141" i="16"/>
  <c r="I140" i="16"/>
  <c r="T140" i="16"/>
  <c r="T141" i="16"/>
  <c r="H140" i="16"/>
  <c r="S140" i="16"/>
  <c r="S141" i="16"/>
  <c r="G140" i="16"/>
  <c r="R140" i="16"/>
  <c r="R141" i="16"/>
  <c r="F140" i="16"/>
  <c r="Q140" i="16"/>
  <c r="Q141" i="16"/>
  <c r="E140" i="16"/>
  <c r="P140" i="16"/>
  <c r="P141" i="16"/>
  <c r="D140" i="16"/>
  <c r="O140" i="16"/>
  <c r="O141" i="16"/>
  <c r="C140" i="16"/>
  <c r="N140" i="16"/>
  <c r="N141" i="16"/>
  <c r="B140" i="16"/>
  <c r="M140" i="16"/>
  <c r="M141" i="16"/>
  <c r="L137" i="16"/>
  <c r="W137" i="16"/>
  <c r="W138" i="16"/>
  <c r="K137" i="16"/>
  <c r="V137" i="16"/>
  <c r="V138" i="16"/>
  <c r="J137" i="16"/>
  <c r="U137" i="16"/>
  <c r="U138" i="16"/>
  <c r="I137" i="16"/>
  <c r="T137" i="16"/>
  <c r="T138" i="16"/>
  <c r="H137" i="16"/>
  <c r="S137" i="16"/>
  <c r="S138" i="16"/>
  <c r="G137" i="16"/>
  <c r="R137" i="16"/>
  <c r="R138" i="16"/>
  <c r="F137" i="16"/>
  <c r="Q137" i="16"/>
  <c r="Q138" i="16"/>
  <c r="E137" i="16"/>
  <c r="P137" i="16"/>
  <c r="P138" i="16"/>
  <c r="D137" i="16"/>
  <c r="O137" i="16"/>
  <c r="O138" i="16"/>
  <c r="C137" i="16"/>
  <c r="N137" i="16"/>
  <c r="N138" i="16"/>
  <c r="B137" i="16"/>
  <c r="M137" i="16"/>
  <c r="M138" i="16"/>
  <c r="L134" i="16"/>
  <c r="W134" i="16"/>
  <c r="W135" i="16"/>
  <c r="K134" i="16"/>
  <c r="V134" i="16"/>
  <c r="V135" i="16"/>
  <c r="J134" i="16"/>
  <c r="U134" i="16"/>
  <c r="U135" i="16"/>
  <c r="I134" i="16"/>
  <c r="T134" i="16"/>
  <c r="T135" i="16"/>
  <c r="H134" i="16"/>
  <c r="S134" i="16"/>
  <c r="S135" i="16"/>
  <c r="G134" i="16"/>
  <c r="R134" i="16"/>
  <c r="R135" i="16"/>
  <c r="F134" i="16"/>
  <c r="Q134" i="16"/>
  <c r="Q135" i="16"/>
  <c r="E134" i="16"/>
  <c r="P134" i="16"/>
  <c r="P135" i="16"/>
  <c r="D134" i="16"/>
  <c r="O134" i="16"/>
  <c r="O135" i="16"/>
  <c r="C134" i="16"/>
  <c r="N134" i="16"/>
  <c r="N135" i="16"/>
  <c r="B134" i="16"/>
  <c r="M134" i="16"/>
  <c r="M135" i="16"/>
  <c r="L131" i="16"/>
  <c r="W131" i="16"/>
  <c r="W132" i="16"/>
  <c r="K131" i="16"/>
  <c r="V131" i="16"/>
  <c r="V132" i="16"/>
  <c r="J131" i="16"/>
  <c r="U131" i="16"/>
  <c r="U132" i="16"/>
  <c r="I131" i="16"/>
  <c r="T131" i="16"/>
  <c r="T132" i="16"/>
  <c r="H131" i="16"/>
  <c r="S131" i="16"/>
  <c r="S132" i="16"/>
  <c r="G131" i="16"/>
  <c r="R131" i="16"/>
  <c r="R132" i="16"/>
  <c r="F131" i="16"/>
  <c r="Q131" i="16"/>
  <c r="Q132" i="16"/>
  <c r="E131" i="16"/>
  <c r="P131" i="16"/>
  <c r="P132" i="16"/>
  <c r="D131" i="16"/>
  <c r="O131" i="16"/>
  <c r="O132" i="16"/>
  <c r="C131" i="16"/>
  <c r="N131" i="16"/>
  <c r="N132" i="16"/>
  <c r="B131" i="16"/>
  <c r="M131" i="16"/>
  <c r="M132" i="16"/>
  <c r="L128" i="16"/>
  <c r="W128" i="16"/>
  <c r="W129" i="16"/>
  <c r="K128" i="16"/>
  <c r="V128" i="16"/>
  <c r="V129" i="16"/>
  <c r="J128" i="16"/>
  <c r="U128" i="16"/>
  <c r="U129" i="16"/>
  <c r="I128" i="16"/>
  <c r="T128" i="16"/>
  <c r="T129" i="16"/>
  <c r="H128" i="16"/>
  <c r="S128" i="16"/>
  <c r="S129" i="16"/>
  <c r="G128" i="16"/>
  <c r="R128" i="16"/>
  <c r="R129" i="16"/>
  <c r="F128" i="16"/>
  <c r="Q128" i="16"/>
  <c r="Q129" i="16"/>
  <c r="E128" i="16"/>
  <c r="P128" i="16"/>
  <c r="P129" i="16"/>
  <c r="D128" i="16"/>
  <c r="O128" i="16"/>
  <c r="O129" i="16"/>
  <c r="C128" i="16"/>
  <c r="N128" i="16"/>
  <c r="N129" i="16"/>
  <c r="B128" i="16"/>
  <c r="M128" i="16"/>
  <c r="M129" i="16"/>
  <c r="L125" i="16"/>
  <c r="W125" i="16"/>
  <c r="W126" i="16"/>
  <c r="K125" i="16"/>
  <c r="V125" i="16"/>
  <c r="V126" i="16"/>
  <c r="J125" i="16"/>
  <c r="U125" i="16"/>
  <c r="U126" i="16"/>
  <c r="I125" i="16"/>
  <c r="T125" i="16"/>
  <c r="T126" i="16"/>
  <c r="H125" i="16"/>
  <c r="S125" i="16"/>
  <c r="S126" i="16"/>
  <c r="G125" i="16"/>
  <c r="R125" i="16"/>
  <c r="R126" i="16"/>
  <c r="F125" i="16"/>
  <c r="Q125" i="16"/>
  <c r="Q126" i="16"/>
  <c r="E125" i="16"/>
  <c r="P125" i="16"/>
  <c r="P126" i="16"/>
  <c r="D125" i="16"/>
  <c r="O125" i="16"/>
  <c r="O126" i="16"/>
  <c r="C125" i="16"/>
  <c r="N125" i="16"/>
  <c r="N126" i="16"/>
  <c r="B125" i="16"/>
  <c r="M125" i="16"/>
  <c r="M126" i="16"/>
  <c r="L122" i="16"/>
  <c r="W122" i="16"/>
  <c r="W123" i="16"/>
  <c r="K122" i="16"/>
  <c r="V122" i="16"/>
  <c r="V123" i="16"/>
  <c r="J122" i="16"/>
  <c r="U122" i="16"/>
  <c r="U123" i="16"/>
  <c r="I122" i="16"/>
  <c r="T122" i="16"/>
  <c r="T123" i="16"/>
  <c r="H122" i="16"/>
  <c r="S122" i="16"/>
  <c r="S123" i="16"/>
  <c r="G122" i="16"/>
  <c r="R122" i="16"/>
  <c r="R123" i="16"/>
  <c r="F122" i="16"/>
  <c r="Q122" i="16"/>
  <c r="Q123" i="16"/>
  <c r="E122" i="16"/>
  <c r="P122" i="16"/>
  <c r="P123" i="16"/>
  <c r="D122" i="16"/>
  <c r="O122" i="16"/>
  <c r="O123" i="16"/>
  <c r="C122" i="16"/>
  <c r="N122" i="16"/>
  <c r="N123" i="16"/>
  <c r="B122" i="16"/>
  <c r="M122" i="16"/>
  <c r="M123" i="16"/>
  <c r="X153" i="16"/>
  <c r="Y151" i="16"/>
  <c r="Y153" i="16"/>
  <c r="X150" i="16"/>
  <c r="Y148" i="16"/>
  <c r="Y150" i="16"/>
  <c r="X148" i="16"/>
  <c r="X147" i="16"/>
  <c r="Y145" i="16"/>
  <c r="Y147" i="16"/>
  <c r="X145" i="16"/>
  <c r="X144" i="16"/>
  <c r="Y142" i="16"/>
  <c r="Y144" i="16"/>
  <c r="X142" i="16"/>
  <c r="X141" i="16"/>
  <c r="Y139" i="16"/>
  <c r="Y141" i="16"/>
  <c r="X139" i="16"/>
  <c r="X138" i="16"/>
  <c r="Y136" i="16"/>
  <c r="Y138" i="16"/>
  <c r="X136" i="16"/>
  <c r="X135" i="16"/>
  <c r="Y133" i="16"/>
  <c r="Y135" i="16"/>
  <c r="X133" i="16"/>
  <c r="X132" i="16"/>
  <c r="Y130" i="16"/>
  <c r="Y132" i="16"/>
  <c r="X130" i="16"/>
  <c r="X129" i="16"/>
  <c r="Y127" i="16"/>
  <c r="Y129" i="16"/>
  <c r="X127" i="16"/>
  <c r="X126" i="16"/>
  <c r="Y124" i="16"/>
  <c r="Y126" i="16"/>
  <c r="X124" i="16"/>
  <c r="X123" i="16"/>
  <c r="Y121" i="16"/>
  <c r="Y123" i="16"/>
  <c r="X121" i="16"/>
  <c r="Y186" i="16"/>
  <c r="Y183" i="16"/>
  <c r="Y180" i="16"/>
  <c r="Y177" i="16"/>
  <c r="Y174" i="16"/>
  <c r="Y171" i="16"/>
  <c r="Y168" i="16"/>
  <c r="Y165" i="16"/>
  <c r="Y162" i="16"/>
  <c r="Y159" i="16"/>
  <c r="X189" i="16"/>
  <c r="B190" i="16"/>
  <c r="M190" i="16"/>
  <c r="M191" i="16"/>
  <c r="C190" i="16"/>
  <c r="N190" i="16"/>
  <c r="N191" i="16"/>
  <c r="D190" i="16"/>
  <c r="O190" i="16"/>
  <c r="O191" i="16"/>
  <c r="E190" i="16"/>
  <c r="P190" i="16"/>
  <c r="P191" i="16"/>
  <c r="F190" i="16"/>
  <c r="Q190" i="16"/>
  <c r="Q191" i="16"/>
  <c r="G190" i="16"/>
  <c r="R190" i="16"/>
  <c r="R191" i="16"/>
  <c r="H190" i="16"/>
  <c r="S190" i="16"/>
  <c r="S191" i="16"/>
  <c r="I190" i="16"/>
  <c r="T190" i="16"/>
  <c r="T191" i="16"/>
  <c r="J190" i="16"/>
  <c r="U190" i="16"/>
  <c r="U191" i="16"/>
  <c r="K190" i="16"/>
  <c r="V190" i="16"/>
  <c r="V191" i="16"/>
  <c r="L190" i="16"/>
  <c r="W190" i="16"/>
  <c r="W191" i="16"/>
  <c r="X191" i="16"/>
  <c r="Y189" i="16"/>
  <c r="Y191" i="16"/>
  <c r="X186" i="16"/>
  <c r="B187" i="16"/>
  <c r="M187" i="16"/>
  <c r="M188" i="16"/>
  <c r="C187" i="16"/>
  <c r="N187" i="16"/>
  <c r="N188" i="16"/>
  <c r="D187" i="16"/>
  <c r="O187" i="16"/>
  <c r="O188" i="16"/>
  <c r="E187" i="16"/>
  <c r="P187" i="16"/>
  <c r="P188" i="16"/>
  <c r="F187" i="16"/>
  <c r="Q187" i="16"/>
  <c r="Q188" i="16"/>
  <c r="G187" i="16"/>
  <c r="R187" i="16"/>
  <c r="R188" i="16"/>
  <c r="H187" i="16"/>
  <c r="S187" i="16"/>
  <c r="S188" i="16"/>
  <c r="I187" i="16"/>
  <c r="T187" i="16"/>
  <c r="T188" i="16"/>
  <c r="J187" i="16"/>
  <c r="U187" i="16"/>
  <c r="U188" i="16"/>
  <c r="K187" i="16"/>
  <c r="V187" i="16"/>
  <c r="V188" i="16"/>
  <c r="L187" i="16"/>
  <c r="W187" i="16"/>
  <c r="W188" i="16"/>
  <c r="X188" i="16"/>
  <c r="Y188" i="16"/>
  <c r="X183" i="16"/>
  <c r="B184" i="16"/>
  <c r="M184" i="16"/>
  <c r="M185" i="16"/>
  <c r="C184" i="16"/>
  <c r="N184" i="16"/>
  <c r="N185" i="16"/>
  <c r="D184" i="16"/>
  <c r="O184" i="16"/>
  <c r="O185" i="16"/>
  <c r="E184" i="16"/>
  <c r="P184" i="16"/>
  <c r="P185" i="16"/>
  <c r="F184" i="16"/>
  <c r="Q184" i="16"/>
  <c r="Q185" i="16"/>
  <c r="G184" i="16"/>
  <c r="R184" i="16"/>
  <c r="R185" i="16"/>
  <c r="H184" i="16"/>
  <c r="S184" i="16"/>
  <c r="S185" i="16"/>
  <c r="I184" i="16"/>
  <c r="T184" i="16"/>
  <c r="T185" i="16"/>
  <c r="J184" i="16"/>
  <c r="U184" i="16"/>
  <c r="U185" i="16"/>
  <c r="K184" i="16"/>
  <c r="V184" i="16"/>
  <c r="V185" i="16"/>
  <c r="L184" i="16"/>
  <c r="W184" i="16"/>
  <c r="W185" i="16"/>
  <c r="X185" i="16"/>
  <c r="Y185" i="16"/>
  <c r="X180" i="16"/>
  <c r="B181" i="16"/>
  <c r="M181" i="16"/>
  <c r="M182" i="16"/>
  <c r="C181" i="16"/>
  <c r="N181" i="16"/>
  <c r="N182" i="16"/>
  <c r="D181" i="16"/>
  <c r="O181" i="16"/>
  <c r="O182" i="16"/>
  <c r="E181" i="16"/>
  <c r="P181" i="16"/>
  <c r="P182" i="16"/>
  <c r="F181" i="16"/>
  <c r="Q181" i="16"/>
  <c r="Q182" i="16"/>
  <c r="G181" i="16"/>
  <c r="R181" i="16"/>
  <c r="R182" i="16"/>
  <c r="H181" i="16"/>
  <c r="S181" i="16"/>
  <c r="S182" i="16"/>
  <c r="I181" i="16"/>
  <c r="T181" i="16"/>
  <c r="T182" i="16"/>
  <c r="J181" i="16"/>
  <c r="U181" i="16"/>
  <c r="U182" i="16"/>
  <c r="K181" i="16"/>
  <c r="V181" i="16"/>
  <c r="V182" i="16"/>
  <c r="L181" i="16"/>
  <c r="W181" i="16"/>
  <c r="W182" i="16"/>
  <c r="X182" i="16"/>
  <c r="Y182" i="16"/>
  <c r="X177" i="16"/>
  <c r="B178" i="16"/>
  <c r="M178" i="16"/>
  <c r="M179" i="16"/>
  <c r="C178" i="16"/>
  <c r="N178" i="16"/>
  <c r="N179" i="16"/>
  <c r="D178" i="16"/>
  <c r="O178" i="16"/>
  <c r="O179" i="16"/>
  <c r="E178" i="16"/>
  <c r="P178" i="16"/>
  <c r="P179" i="16"/>
  <c r="F178" i="16"/>
  <c r="Q178" i="16"/>
  <c r="Q179" i="16"/>
  <c r="G178" i="16"/>
  <c r="R178" i="16"/>
  <c r="R179" i="16"/>
  <c r="H178" i="16"/>
  <c r="S178" i="16"/>
  <c r="S179" i="16"/>
  <c r="I178" i="16"/>
  <c r="T178" i="16"/>
  <c r="T179" i="16"/>
  <c r="J178" i="16"/>
  <c r="U178" i="16"/>
  <c r="U179" i="16"/>
  <c r="K178" i="16"/>
  <c r="V178" i="16"/>
  <c r="V179" i="16"/>
  <c r="L178" i="16"/>
  <c r="W178" i="16"/>
  <c r="W179" i="16"/>
  <c r="X179" i="16"/>
  <c r="Y179" i="16"/>
  <c r="X174" i="16"/>
  <c r="B175" i="16"/>
  <c r="M175" i="16"/>
  <c r="M176" i="16"/>
  <c r="C175" i="16"/>
  <c r="N175" i="16"/>
  <c r="N176" i="16"/>
  <c r="D175" i="16"/>
  <c r="O175" i="16"/>
  <c r="O176" i="16"/>
  <c r="E175" i="16"/>
  <c r="P175" i="16"/>
  <c r="P176" i="16"/>
  <c r="F175" i="16"/>
  <c r="Q175" i="16"/>
  <c r="Q176" i="16"/>
  <c r="G175" i="16"/>
  <c r="R175" i="16"/>
  <c r="R176" i="16"/>
  <c r="H175" i="16"/>
  <c r="S175" i="16"/>
  <c r="S176" i="16"/>
  <c r="I175" i="16"/>
  <c r="T175" i="16"/>
  <c r="T176" i="16"/>
  <c r="J175" i="16"/>
  <c r="U175" i="16"/>
  <c r="U176" i="16"/>
  <c r="K175" i="16"/>
  <c r="V175" i="16"/>
  <c r="V176" i="16"/>
  <c r="L175" i="16"/>
  <c r="W175" i="16"/>
  <c r="W176" i="16"/>
  <c r="X176" i="16"/>
  <c r="Y176" i="16"/>
  <c r="X171" i="16"/>
  <c r="B172" i="16"/>
  <c r="M172" i="16"/>
  <c r="M173" i="16"/>
  <c r="C172" i="16"/>
  <c r="N172" i="16"/>
  <c r="N173" i="16"/>
  <c r="D172" i="16"/>
  <c r="O172" i="16"/>
  <c r="O173" i="16"/>
  <c r="E172" i="16"/>
  <c r="P172" i="16"/>
  <c r="P173" i="16"/>
  <c r="F172" i="16"/>
  <c r="Q172" i="16"/>
  <c r="Q173" i="16"/>
  <c r="G172" i="16"/>
  <c r="R172" i="16"/>
  <c r="R173" i="16"/>
  <c r="H172" i="16"/>
  <c r="S172" i="16"/>
  <c r="S173" i="16"/>
  <c r="I172" i="16"/>
  <c r="T172" i="16"/>
  <c r="T173" i="16"/>
  <c r="J172" i="16"/>
  <c r="U172" i="16"/>
  <c r="U173" i="16"/>
  <c r="K172" i="16"/>
  <c r="V172" i="16"/>
  <c r="V173" i="16"/>
  <c r="L172" i="16"/>
  <c r="W172" i="16"/>
  <c r="W173" i="16"/>
  <c r="X173" i="16"/>
  <c r="Y173" i="16"/>
  <c r="X168" i="16"/>
  <c r="B169" i="16"/>
  <c r="M169" i="16"/>
  <c r="M170" i="16"/>
  <c r="C169" i="16"/>
  <c r="N169" i="16"/>
  <c r="N170" i="16"/>
  <c r="D169" i="16"/>
  <c r="O169" i="16"/>
  <c r="O170" i="16"/>
  <c r="E169" i="16"/>
  <c r="P169" i="16"/>
  <c r="P170" i="16"/>
  <c r="F169" i="16"/>
  <c r="Q169" i="16"/>
  <c r="Q170" i="16"/>
  <c r="G169" i="16"/>
  <c r="R169" i="16"/>
  <c r="R170" i="16"/>
  <c r="H169" i="16"/>
  <c r="S169" i="16"/>
  <c r="S170" i="16"/>
  <c r="I169" i="16"/>
  <c r="T169" i="16"/>
  <c r="T170" i="16"/>
  <c r="J169" i="16"/>
  <c r="U169" i="16"/>
  <c r="U170" i="16"/>
  <c r="K169" i="16"/>
  <c r="V169" i="16"/>
  <c r="V170" i="16"/>
  <c r="L169" i="16"/>
  <c r="W169" i="16"/>
  <c r="W170" i="16"/>
  <c r="X170" i="16"/>
  <c r="Y170" i="16"/>
  <c r="X165" i="16"/>
  <c r="B166" i="16"/>
  <c r="M166" i="16"/>
  <c r="M167" i="16"/>
  <c r="C166" i="16"/>
  <c r="N166" i="16"/>
  <c r="N167" i="16"/>
  <c r="D166" i="16"/>
  <c r="O166" i="16"/>
  <c r="O167" i="16"/>
  <c r="E166" i="16"/>
  <c r="P166" i="16"/>
  <c r="P167" i="16"/>
  <c r="F166" i="16"/>
  <c r="Q166" i="16"/>
  <c r="Q167" i="16"/>
  <c r="G166" i="16"/>
  <c r="R166" i="16"/>
  <c r="R167" i="16"/>
  <c r="H166" i="16"/>
  <c r="S166" i="16"/>
  <c r="S167" i="16"/>
  <c r="I166" i="16"/>
  <c r="T166" i="16"/>
  <c r="T167" i="16"/>
  <c r="J166" i="16"/>
  <c r="U166" i="16"/>
  <c r="U167" i="16"/>
  <c r="K166" i="16"/>
  <c r="V166" i="16"/>
  <c r="V167" i="16"/>
  <c r="L166" i="16"/>
  <c r="W166" i="16"/>
  <c r="W167" i="16"/>
  <c r="X167" i="16"/>
  <c r="Y167" i="16"/>
  <c r="X162" i="16"/>
  <c r="B163" i="16"/>
  <c r="M163" i="16"/>
  <c r="M164" i="16"/>
  <c r="C163" i="16"/>
  <c r="N163" i="16"/>
  <c r="N164" i="16"/>
  <c r="D163" i="16"/>
  <c r="O163" i="16"/>
  <c r="O164" i="16"/>
  <c r="E163" i="16"/>
  <c r="P163" i="16"/>
  <c r="P164" i="16"/>
  <c r="F163" i="16"/>
  <c r="Q163" i="16"/>
  <c r="Q164" i="16"/>
  <c r="G163" i="16"/>
  <c r="R163" i="16"/>
  <c r="R164" i="16"/>
  <c r="H163" i="16"/>
  <c r="S163" i="16"/>
  <c r="S164" i="16"/>
  <c r="I163" i="16"/>
  <c r="T163" i="16"/>
  <c r="T164" i="16"/>
  <c r="J163" i="16"/>
  <c r="U163" i="16"/>
  <c r="U164" i="16"/>
  <c r="K163" i="16"/>
  <c r="V163" i="16"/>
  <c r="V164" i="16"/>
  <c r="L163" i="16"/>
  <c r="W163" i="16"/>
  <c r="W164" i="16"/>
  <c r="X164" i="16"/>
  <c r="Y164" i="16"/>
  <c r="X159" i="16"/>
  <c r="B160" i="16"/>
  <c r="M160" i="16"/>
  <c r="M161" i="16"/>
  <c r="C160" i="16"/>
  <c r="N160" i="16"/>
  <c r="N161" i="16"/>
  <c r="D160" i="16"/>
  <c r="O160" i="16"/>
  <c r="O161" i="16"/>
  <c r="E160" i="16"/>
  <c r="P160" i="16"/>
  <c r="P161" i="16"/>
  <c r="F160" i="16"/>
  <c r="Q160" i="16"/>
  <c r="Q161" i="16"/>
  <c r="G160" i="16"/>
  <c r="R160" i="16"/>
  <c r="R161" i="16"/>
  <c r="H160" i="16"/>
  <c r="S160" i="16"/>
  <c r="S161" i="16"/>
  <c r="I160" i="16"/>
  <c r="T160" i="16"/>
  <c r="T161" i="16"/>
  <c r="J160" i="16"/>
  <c r="U160" i="16"/>
  <c r="U161" i="16"/>
  <c r="K160" i="16"/>
  <c r="V160" i="16"/>
  <c r="V161" i="16"/>
  <c r="L160" i="16"/>
  <c r="W160" i="16"/>
  <c r="W161" i="16"/>
  <c r="X161" i="16"/>
  <c r="Y161" i="16"/>
  <c r="M108" i="16"/>
  <c r="M109" i="16"/>
  <c r="M110" i="16"/>
  <c r="M111" i="16"/>
  <c r="M107" i="16"/>
  <c r="C39" i="18"/>
  <c r="D39" i="18"/>
  <c r="E39" i="18"/>
  <c r="F39" i="18"/>
  <c r="G39" i="18"/>
  <c r="H39" i="18"/>
  <c r="I39" i="18"/>
  <c r="J39" i="18"/>
  <c r="K39" i="18"/>
  <c r="L39" i="18"/>
  <c r="B39" i="18"/>
  <c r="C8" i="12"/>
  <c r="D8" i="12"/>
  <c r="E8" i="12"/>
  <c r="F8" i="12"/>
  <c r="G8" i="12"/>
  <c r="H8" i="12"/>
  <c r="I8" i="12"/>
  <c r="J8" i="12"/>
  <c r="K8" i="12"/>
  <c r="B8" i="12"/>
  <c r="H16" i="13"/>
  <c r="H17" i="13"/>
  <c r="H18" i="13"/>
  <c r="F19" i="13"/>
  <c r="H19" i="13"/>
  <c r="F20" i="13"/>
  <c r="H20" i="13"/>
  <c r="H21" i="13"/>
  <c r="H22" i="13"/>
  <c r="H23" i="13"/>
  <c r="H24" i="13"/>
  <c r="H25" i="13"/>
  <c r="H15" i="13"/>
  <c r="C8" i="15"/>
  <c r="D8" i="15"/>
  <c r="E8" i="15"/>
  <c r="F8" i="15"/>
  <c r="G8" i="15"/>
  <c r="H8" i="15"/>
  <c r="I8" i="15"/>
  <c r="J8" i="15"/>
  <c r="K8" i="15"/>
  <c r="L8" i="15"/>
  <c r="B8" i="15"/>
  <c r="C6" i="17"/>
  <c r="D6" i="17"/>
  <c r="E6" i="17"/>
  <c r="F6" i="17"/>
  <c r="G6" i="17"/>
  <c r="H6" i="17"/>
  <c r="I6" i="17"/>
  <c r="J6" i="17"/>
  <c r="K6" i="17"/>
  <c r="L6" i="17"/>
  <c r="B6" i="17"/>
  <c r="C32" i="14"/>
  <c r="D32" i="14"/>
  <c r="E32" i="14"/>
  <c r="F32" i="14"/>
  <c r="G32" i="14"/>
  <c r="H32" i="14"/>
  <c r="I32" i="14"/>
  <c r="J32" i="14"/>
  <c r="K32" i="14"/>
  <c r="L32" i="14"/>
  <c r="B32" i="14"/>
  <c r="G8" i="21"/>
  <c r="H6" i="21"/>
  <c r="H8" i="21"/>
  <c r="I6" i="21"/>
  <c r="I8" i="21"/>
  <c r="J6" i="21"/>
  <c r="J8" i="21"/>
  <c r="K6" i="21"/>
  <c r="K8" i="21"/>
  <c r="L6" i="21"/>
  <c r="L8" i="21"/>
  <c r="F8" i="21"/>
  <c r="C93" i="16"/>
  <c r="D93" i="16"/>
  <c r="E93" i="16"/>
  <c r="F93" i="16"/>
  <c r="G93" i="16"/>
  <c r="H93" i="16"/>
  <c r="I93" i="16"/>
  <c r="J93" i="16"/>
  <c r="K93" i="16"/>
  <c r="L93" i="16"/>
  <c r="B93" i="16"/>
  <c r="F66" i="13"/>
  <c r="F65" i="13"/>
  <c r="L63" i="21"/>
  <c r="K63" i="21"/>
  <c r="J63" i="21"/>
  <c r="I63" i="21"/>
  <c r="H63" i="21"/>
  <c r="L38" i="21"/>
  <c r="K38" i="21"/>
  <c r="J38" i="21"/>
  <c r="I38" i="21"/>
  <c r="H38" i="21"/>
  <c r="G38" i="21"/>
  <c r="F38" i="21"/>
  <c r="L14" i="21"/>
  <c r="L22" i="21"/>
  <c r="L37" i="21"/>
  <c r="K14" i="21"/>
  <c r="K22" i="21"/>
  <c r="K37" i="21"/>
  <c r="J14" i="21"/>
  <c r="J22" i="21"/>
  <c r="J37" i="21"/>
  <c r="I14" i="21"/>
  <c r="I22" i="21"/>
  <c r="I37" i="21"/>
  <c r="H14" i="21"/>
  <c r="H22" i="21"/>
  <c r="H37" i="21"/>
  <c r="G37" i="21"/>
  <c r="F37" i="21"/>
  <c r="L36" i="21"/>
  <c r="K36" i="21"/>
  <c r="J36" i="21"/>
  <c r="I36" i="21"/>
  <c r="H36" i="21"/>
  <c r="G36" i="21"/>
  <c r="F36" i="21"/>
  <c r="L35" i="21"/>
  <c r="K35" i="21"/>
  <c r="J35" i="21"/>
  <c r="I35" i="21"/>
  <c r="H35" i="21"/>
  <c r="G35" i="21"/>
  <c r="F35" i="21"/>
  <c r="L34" i="21"/>
  <c r="K34" i="21"/>
  <c r="J34" i="21"/>
  <c r="I34" i="21"/>
  <c r="H34" i="21"/>
  <c r="G34" i="21"/>
  <c r="F34" i="21"/>
  <c r="L30" i="21"/>
  <c r="K30" i="21"/>
  <c r="J30" i="21"/>
  <c r="I30" i="21"/>
  <c r="H30" i="21"/>
  <c r="G30" i="21"/>
  <c r="F30" i="21"/>
  <c r="L29" i="21"/>
  <c r="K29" i="21"/>
  <c r="J29" i="21"/>
  <c r="I29" i="21"/>
  <c r="H29" i="21"/>
  <c r="G29" i="21"/>
  <c r="F29" i="21"/>
  <c r="L28" i="21"/>
  <c r="K28" i="21"/>
  <c r="J28" i="21"/>
  <c r="I28" i="21"/>
  <c r="H28" i="21"/>
  <c r="G28" i="21"/>
  <c r="F28" i="21"/>
  <c r="L27" i="21"/>
  <c r="K27" i="21"/>
  <c r="J27" i="21"/>
  <c r="I27" i="21"/>
  <c r="H27" i="21"/>
  <c r="G27" i="21"/>
  <c r="F27" i="21"/>
  <c r="L26" i="21"/>
  <c r="K26" i="21"/>
  <c r="J26" i="21"/>
  <c r="I26" i="21"/>
  <c r="H26" i="21"/>
  <c r="G26" i="21"/>
  <c r="F26" i="21"/>
  <c r="P20" i="19"/>
  <c r="Q20" i="19"/>
  <c r="R20" i="19"/>
  <c r="S20" i="19"/>
  <c r="T20" i="19"/>
  <c r="U20" i="19"/>
  <c r="V20" i="19"/>
  <c r="W20" i="19"/>
  <c r="X20" i="19"/>
  <c r="Y20" i="19"/>
  <c r="P21" i="19"/>
  <c r="Q21" i="19"/>
  <c r="R21" i="19"/>
  <c r="S21" i="19"/>
  <c r="T21" i="19"/>
  <c r="U21" i="19"/>
  <c r="V21" i="19"/>
  <c r="W21" i="19"/>
  <c r="X21" i="19"/>
  <c r="Y21" i="19"/>
  <c r="P22" i="19"/>
  <c r="Q22" i="19"/>
  <c r="R22" i="19"/>
  <c r="S22" i="19"/>
  <c r="T22" i="19"/>
  <c r="U22" i="19"/>
  <c r="V22" i="19"/>
  <c r="W22" i="19"/>
  <c r="X22" i="19"/>
  <c r="Y22" i="19"/>
  <c r="P23" i="19"/>
  <c r="Q23" i="19"/>
  <c r="R23" i="19"/>
  <c r="S23" i="19"/>
  <c r="T23" i="19"/>
  <c r="U23" i="19"/>
  <c r="V23" i="19"/>
  <c r="W23" i="19"/>
  <c r="X23" i="19"/>
  <c r="Y23" i="19"/>
  <c r="P24" i="19"/>
  <c r="Q24" i="19"/>
  <c r="R24" i="19"/>
  <c r="S24" i="19"/>
  <c r="T24" i="19"/>
  <c r="U24" i="19"/>
  <c r="V24" i="19"/>
  <c r="W24" i="19"/>
  <c r="X24" i="19"/>
  <c r="Y24" i="19"/>
  <c r="P25" i="19"/>
  <c r="Q25" i="19"/>
  <c r="R25" i="19"/>
  <c r="S25" i="19"/>
  <c r="T25" i="19"/>
  <c r="U25" i="19"/>
  <c r="V25" i="19"/>
  <c r="W25" i="19"/>
  <c r="X25" i="19"/>
  <c r="Y25" i="19"/>
  <c r="P26" i="19"/>
  <c r="Q26" i="19"/>
  <c r="R26" i="19"/>
  <c r="S26" i="19"/>
  <c r="T26" i="19"/>
  <c r="U26" i="19"/>
  <c r="V26" i="19"/>
  <c r="W26" i="19"/>
  <c r="X26" i="19"/>
  <c r="Y26" i="19"/>
  <c r="P27" i="19"/>
  <c r="Q27" i="19"/>
  <c r="R27" i="19"/>
  <c r="S27" i="19"/>
  <c r="T27" i="19"/>
  <c r="U27" i="19"/>
  <c r="V27" i="19"/>
  <c r="W27" i="19"/>
  <c r="X27" i="19"/>
  <c r="Y27" i="19"/>
  <c r="P28" i="19"/>
  <c r="Q28" i="19"/>
  <c r="R28" i="19"/>
  <c r="S28" i="19"/>
  <c r="T28" i="19"/>
  <c r="U28" i="19"/>
  <c r="V28" i="19"/>
  <c r="W28" i="19"/>
  <c r="X28" i="19"/>
  <c r="Y28" i="19"/>
  <c r="P29" i="19"/>
  <c r="Q29" i="19"/>
  <c r="R29" i="19"/>
  <c r="S29" i="19"/>
  <c r="T29" i="19"/>
  <c r="U29" i="19"/>
  <c r="V29" i="19"/>
  <c r="W29" i="19"/>
  <c r="X29" i="19"/>
  <c r="Y29" i="19"/>
  <c r="P30" i="19"/>
  <c r="Q30" i="19"/>
  <c r="R30" i="19"/>
  <c r="S30" i="19"/>
  <c r="T30" i="19"/>
  <c r="U30" i="19"/>
  <c r="V30" i="19"/>
  <c r="W30" i="19"/>
  <c r="X30" i="19"/>
  <c r="Y30" i="19"/>
  <c r="P31" i="19"/>
  <c r="Q31" i="19"/>
  <c r="R31" i="19"/>
  <c r="S31" i="19"/>
  <c r="T31" i="19"/>
  <c r="U31" i="19"/>
  <c r="V31" i="19"/>
  <c r="W31" i="19"/>
  <c r="X31" i="19"/>
  <c r="Y31" i="19"/>
  <c r="P32" i="19"/>
  <c r="Q32" i="19"/>
  <c r="R32" i="19"/>
  <c r="S32" i="19"/>
  <c r="T32" i="19"/>
  <c r="U32" i="19"/>
  <c r="V32" i="19"/>
  <c r="W32" i="19"/>
  <c r="X32" i="19"/>
  <c r="Y32" i="19"/>
  <c r="P33" i="19"/>
  <c r="Q33" i="19"/>
  <c r="R33" i="19"/>
  <c r="S33" i="19"/>
  <c r="T33" i="19"/>
  <c r="U33" i="19"/>
  <c r="V33" i="19"/>
  <c r="W33" i="19"/>
  <c r="X33" i="19"/>
  <c r="Y33" i="19"/>
  <c r="P34" i="19"/>
  <c r="Q34" i="19"/>
  <c r="R34" i="19"/>
  <c r="S34" i="19"/>
  <c r="T34" i="19"/>
  <c r="U34" i="19"/>
  <c r="V34" i="19"/>
  <c r="W34" i="19"/>
  <c r="X34" i="19"/>
  <c r="Y34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20" i="19"/>
  <c r="P2" i="19"/>
  <c r="Q2" i="19"/>
  <c r="R2" i="19"/>
  <c r="S2" i="19"/>
  <c r="T2" i="19"/>
  <c r="U2" i="19"/>
  <c r="V2" i="19"/>
  <c r="W2" i="19"/>
  <c r="X2" i="19"/>
  <c r="Y2" i="19"/>
  <c r="P3" i="19"/>
  <c r="Q3" i="19"/>
  <c r="R3" i="19"/>
  <c r="S3" i="19"/>
  <c r="T3" i="19"/>
  <c r="U3" i="19"/>
  <c r="V3" i="19"/>
  <c r="W3" i="19"/>
  <c r="X3" i="19"/>
  <c r="Y3" i="19"/>
  <c r="P4" i="19"/>
  <c r="Q4" i="19"/>
  <c r="R4" i="19"/>
  <c r="S4" i="19"/>
  <c r="T4" i="19"/>
  <c r="U4" i="19"/>
  <c r="V4" i="19"/>
  <c r="W4" i="19"/>
  <c r="X4" i="19"/>
  <c r="Y4" i="19"/>
  <c r="P5" i="19"/>
  <c r="Q5" i="19"/>
  <c r="R5" i="19"/>
  <c r="S5" i="19"/>
  <c r="T5" i="19"/>
  <c r="U5" i="19"/>
  <c r="V5" i="19"/>
  <c r="W5" i="19"/>
  <c r="X5" i="19"/>
  <c r="Y5" i="19"/>
  <c r="P6" i="19"/>
  <c r="Q6" i="19"/>
  <c r="R6" i="19"/>
  <c r="S6" i="19"/>
  <c r="T6" i="19"/>
  <c r="U6" i="19"/>
  <c r="V6" i="19"/>
  <c r="W6" i="19"/>
  <c r="X6" i="19"/>
  <c r="Y6" i="19"/>
  <c r="P7" i="19"/>
  <c r="Q7" i="19"/>
  <c r="R7" i="19"/>
  <c r="S7" i="19"/>
  <c r="T7" i="19"/>
  <c r="U7" i="19"/>
  <c r="V7" i="19"/>
  <c r="W7" i="19"/>
  <c r="X7" i="19"/>
  <c r="Y7" i="19"/>
  <c r="P8" i="19"/>
  <c r="Q8" i="19"/>
  <c r="R8" i="19"/>
  <c r="S8" i="19"/>
  <c r="T8" i="19"/>
  <c r="U8" i="19"/>
  <c r="V8" i="19"/>
  <c r="W8" i="19"/>
  <c r="X8" i="19"/>
  <c r="Y8" i="19"/>
  <c r="P9" i="19"/>
  <c r="Q9" i="19"/>
  <c r="R9" i="19"/>
  <c r="S9" i="19"/>
  <c r="T9" i="19"/>
  <c r="U9" i="19"/>
  <c r="V9" i="19"/>
  <c r="W9" i="19"/>
  <c r="X9" i="19"/>
  <c r="Y9" i="19"/>
  <c r="P10" i="19"/>
  <c r="Q10" i="19"/>
  <c r="R10" i="19"/>
  <c r="S10" i="19"/>
  <c r="T10" i="19"/>
  <c r="U10" i="19"/>
  <c r="V10" i="19"/>
  <c r="W10" i="19"/>
  <c r="X10" i="19"/>
  <c r="Y10" i="19"/>
  <c r="P11" i="19"/>
  <c r="Q11" i="19"/>
  <c r="R11" i="19"/>
  <c r="S11" i="19"/>
  <c r="T11" i="19"/>
  <c r="U11" i="19"/>
  <c r="V11" i="19"/>
  <c r="W11" i="19"/>
  <c r="X11" i="19"/>
  <c r="Y11" i="19"/>
  <c r="P12" i="19"/>
  <c r="Q12" i="19"/>
  <c r="R12" i="19"/>
  <c r="S12" i="19"/>
  <c r="T12" i="19"/>
  <c r="U12" i="19"/>
  <c r="V12" i="19"/>
  <c r="W12" i="19"/>
  <c r="X12" i="19"/>
  <c r="Y12" i="19"/>
  <c r="P13" i="19"/>
  <c r="Q13" i="19"/>
  <c r="R13" i="19"/>
  <c r="S13" i="19"/>
  <c r="T13" i="19"/>
  <c r="U13" i="19"/>
  <c r="V13" i="19"/>
  <c r="W13" i="19"/>
  <c r="X13" i="19"/>
  <c r="Y13" i="19"/>
  <c r="P14" i="19"/>
  <c r="Q14" i="19"/>
  <c r="R14" i="19"/>
  <c r="S14" i="19"/>
  <c r="T14" i="19"/>
  <c r="U14" i="19"/>
  <c r="V14" i="19"/>
  <c r="W14" i="19"/>
  <c r="X14" i="19"/>
  <c r="Y14" i="19"/>
  <c r="P15" i="19"/>
  <c r="Q15" i="19"/>
  <c r="R15" i="19"/>
  <c r="S15" i="19"/>
  <c r="T15" i="19"/>
  <c r="U15" i="19"/>
  <c r="V15" i="19"/>
  <c r="W15" i="19"/>
  <c r="X15" i="19"/>
  <c r="Y15" i="19"/>
  <c r="P16" i="19"/>
  <c r="Q16" i="19"/>
  <c r="R16" i="19"/>
  <c r="S16" i="19"/>
  <c r="T16" i="19"/>
  <c r="U16" i="19"/>
  <c r="V16" i="19"/>
  <c r="W16" i="19"/>
  <c r="X16" i="19"/>
  <c r="Y16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2" i="19"/>
  <c r="C39" i="20"/>
  <c r="D39" i="20"/>
  <c r="E39" i="20"/>
  <c r="F39" i="20"/>
  <c r="C40" i="20"/>
  <c r="D40" i="20"/>
  <c r="E40" i="20"/>
  <c r="F40" i="20"/>
  <c r="C41" i="20"/>
  <c r="D41" i="20"/>
  <c r="E41" i="20"/>
  <c r="F41" i="20"/>
  <c r="C42" i="20"/>
  <c r="D42" i="20"/>
  <c r="E42" i="20"/>
  <c r="F42" i="20"/>
  <c r="C43" i="20"/>
  <c r="D43" i="20"/>
  <c r="E43" i="20"/>
  <c r="F43" i="20"/>
  <c r="C44" i="20"/>
  <c r="D44" i="20"/>
  <c r="E44" i="20"/>
  <c r="F44" i="20"/>
  <c r="C45" i="20"/>
  <c r="D45" i="20"/>
  <c r="E45" i="20"/>
  <c r="F45" i="20"/>
  <c r="B40" i="20"/>
  <c r="B41" i="20"/>
  <c r="B42" i="20"/>
  <c r="B43" i="20"/>
  <c r="B44" i="20"/>
  <c r="B45" i="20"/>
  <c r="B39" i="20"/>
  <c r="C30" i="20"/>
  <c r="D30" i="20"/>
  <c r="E30" i="20"/>
  <c r="F30" i="20"/>
  <c r="C31" i="20"/>
  <c r="D31" i="20"/>
  <c r="E31" i="20"/>
  <c r="F31" i="20"/>
  <c r="C32" i="20"/>
  <c r="D32" i="20"/>
  <c r="E32" i="20"/>
  <c r="F32" i="20"/>
  <c r="C33" i="20"/>
  <c r="D33" i="20"/>
  <c r="E33" i="20"/>
  <c r="F33" i="20"/>
  <c r="C34" i="20"/>
  <c r="D34" i="20"/>
  <c r="E34" i="20"/>
  <c r="F34" i="20"/>
  <c r="C35" i="20"/>
  <c r="D35" i="20"/>
  <c r="E35" i="20"/>
  <c r="F35" i="20"/>
  <c r="C36" i="20"/>
  <c r="D36" i="20"/>
  <c r="E36" i="20"/>
  <c r="F36" i="20"/>
  <c r="B31" i="20"/>
  <c r="B32" i="20"/>
  <c r="B33" i="20"/>
  <c r="B34" i="20"/>
  <c r="B35" i="20"/>
  <c r="B36" i="20"/>
  <c r="B30" i="20"/>
  <c r="K53" i="19"/>
  <c r="E27" i="20"/>
  <c r="C27" i="20"/>
  <c r="D27" i="20"/>
  <c r="F27" i="20"/>
  <c r="B27" i="20"/>
  <c r="C18" i="20"/>
  <c r="D18" i="20"/>
  <c r="E18" i="20"/>
  <c r="F18" i="20"/>
  <c r="B18" i="20"/>
  <c r="C9" i="20"/>
  <c r="D9" i="20"/>
  <c r="E9" i="20"/>
  <c r="F9" i="20"/>
  <c r="B9" i="20"/>
  <c r="C53" i="19"/>
  <c r="D53" i="19"/>
  <c r="E53" i="19"/>
  <c r="F53" i="19"/>
  <c r="G53" i="19"/>
  <c r="H53" i="19"/>
  <c r="I53" i="19"/>
  <c r="J53" i="19"/>
  <c r="L53" i="19"/>
  <c r="B53" i="19"/>
  <c r="C41" i="18"/>
  <c r="D41" i="18"/>
  <c r="E41" i="18"/>
  <c r="F41" i="18"/>
  <c r="G41" i="18"/>
  <c r="H41" i="18"/>
  <c r="I41" i="18"/>
  <c r="J41" i="18"/>
  <c r="K41" i="18"/>
  <c r="L41" i="18"/>
  <c r="C42" i="18"/>
  <c r="D42" i="18"/>
  <c r="E22" i="18"/>
  <c r="E42" i="18"/>
  <c r="F22" i="18"/>
  <c r="F42" i="18"/>
  <c r="G22" i="18"/>
  <c r="G42" i="18"/>
  <c r="H22" i="18"/>
  <c r="H42" i="18"/>
  <c r="I22" i="18"/>
  <c r="I42" i="18"/>
  <c r="J22" i="18"/>
  <c r="J42" i="18"/>
  <c r="K22" i="18"/>
  <c r="K42" i="18"/>
  <c r="L22" i="18"/>
  <c r="L42" i="18"/>
  <c r="C43" i="18"/>
  <c r="D43" i="18"/>
  <c r="E23" i="18"/>
  <c r="E43" i="18"/>
  <c r="F23" i="18"/>
  <c r="F43" i="18"/>
  <c r="G23" i="18"/>
  <c r="G43" i="18"/>
  <c r="H23" i="18"/>
  <c r="H43" i="18"/>
  <c r="I23" i="18"/>
  <c r="I43" i="18"/>
  <c r="J23" i="18"/>
  <c r="J43" i="18"/>
  <c r="K23" i="18"/>
  <c r="K43" i="18"/>
  <c r="L23" i="18"/>
  <c r="L43" i="18"/>
  <c r="C44" i="18"/>
  <c r="D44" i="18"/>
  <c r="E44" i="18"/>
  <c r="F44" i="18"/>
  <c r="G44" i="18"/>
  <c r="H44" i="18"/>
  <c r="I44" i="18"/>
  <c r="J44" i="18"/>
  <c r="K44" i="18"/>
  <c r="L44" i="18"/>
  <c r="C45" i="18"/>
  <c r="D45" i="18"/>
  <c r="E45" i="18"/>
  <c r="F45" i="18"/>
  <c r="G45" i="18"/>
  <c r="H45" i="18"/>
  <c r="I45" i="18"/>
  <c r="J45" i="18"/>
  <c r="K45" i="18"/>
  <c r="L45" i="18"/>
  <c r="C46" i="18"/>
  <c r="D46" i="18"/>
  <c r="E46" i="18"/>
  <c r="F46" i="18"/>
  <c r="G46" i="18"/>
  <c r="H46" i="18"/>
  <c r="I46" i="18"/>
  <c r="J46" i="18"/>
  <c r="K46" i="18"/>
  <c r="L46" i="18"/>
  <c r="C47" i="18"/>
  <c r="D47" i="18"/>
  <c r="E47" i="18"/>
  <c r="F47" i="18"/>
  <c r="G47" i="18"/>
  <c r="H47" i="18"/>
  <c r="I47" i="18"/>
  <c r="J47" i="18"/>
  <c r="K47" i="18"/>
  <c r="L47" i="18"/>
  <c r="B42" i="18"/>
  <c r="B43" i="18"/>
  <c r="B44" i="18"/>
  <c r="B45" i="18"/>
  <c r="B46" i="18"/>
  <c r="B47" i="18"/>
  <c r="B41" i="18"/>
  <c r="C31" i="18"/>
  <c r="D31" i="18"/>
  <c r="E31" i="18"/>
  <c r="F31" i="18"/>
  <c r="G31" i="18"/>
  <c r="H31" i="18"/>
  <c r="I31" i="18"/>
  <c r="J31" i="18"/>
  <c r="K31" i="18"/>
  <c r="L31" i="18"/>
  <c r="C32" i="18"/>
  <c r="D32" i="18"/>
  <c r="E32" i="18"/>
  <c r="F32" i="18"/>
  <c r="G32" i="18"/>
  <c r="H32" i="18"/>
  <c r="I32" i="18"/>
  <c r="J32" i="18"/>
  <c r="K32" i="18"/>
  <c r="L32" i="18"/>
  <c r="C33" i="18"/>
  <c r="D33" i="18"/>
  <c r="E33" i="18"/>
  <c r="F33" i="18"/>
  <c r="G33" i="18"/>
  <c r="H33" i="18"/>
  <c r="I33" i="18"/>
  <c r="J33" i="18"/>
  <c r="K33" i="18"/>
  <c r="L33" i="18"/>
  <c r="C34" i="18"/>
  <c r="D34" i="18"/>
  <c r="E34" i="18"/>
  <c r="F34" i="18"/>
  <c r="G34" i="18"/>
  <c r="H34" i="18"/>
  <c r="I34" i="18"/>
  <c r="J34" i="18"/>
  <c r="K34" i="18"/>
  <c r="L34" i="18"/>
  <c r="C35" i="18"/>
  <c r="D35" i="18"/>
  <c r="E35" i="18"/>
  <c r="F35" i="18"/>
  <c r="G35" i="18"/>
  <c r="H35" i="18"/>
  <c r="I35" i="18"/>
  <c r="J35" i="18"/>
  <c r="K35" i="18"/>
  <c r="L35" i="18"/>
  <c r="C36" i="18"/>
  <c r="D36" i="18"/>
  <c r="E36" i="18"/>
  <c r="F36" i="18"/>
  <c r="G36" i="18"/>
  <c r="H36" i="18"/>
  <c r="I36" i="18"/>
  <c r="J36" i="18"/>
  <c r="K36" i="18"/>
  <c r="L36" i="18"/>
  <c r="C37" i="18"/>
  <c r="D37" i="18"/>
  <c r="E37" i="18"/>
  <c r="F37" i="18"/>
  <c r="G37" i="18"/>
  <c r="H37" i="18"/>
  <c r="I37" i="18"/>
  <c r="J37" i="18"/>
  <c r="K37" i="18"/>
  <c r="L37" i="18"/>
  <c r="B32" i="18"/>
  <c r="B33" i="18"/>
  <c r="B34" i="18"/>
  <c r="B35" i="18"/>
  <c r="B36" i="18"/>
  <c r="B37" i="18"/>
  <c r="B31" i="18"/>
  <c r="I28" i="18"/>
  <c r="C28" i="18"/>
  <c r="D28" i="18"/>
  <c r="E28" i="18"/>
  <c r="F28" i="18"/>
  <c r="G28" i="18"/>
  <c r="H28" i="18"/>
  <c r="J28" i="18"/>
  <c r="K28" i="18"/>
  <c r="L28" i="18"/>
  <c r="B28" i="18"/>
  <c r="C26" i="17"/>
  <c r="D26" i="17"/>
  <c r="E26" i="17"/>
  <c r="F26" i="17"/>
  <c r="G26" i="17"/>
  <c r="H26" i="17"/>
  <c r="I26" i="17"/>
  <c r="J26" i="17"/>
  <c r="K26" i="17"/>
  <c r="L26" i="17"/>
  <c r="C27" i="17"/>
  <c r="D27" i="17"/>
  <c r="E27" i="17"/>
  <c r="F27" i="17"/>
  <c r="G27" i="17"/>
  <c r="H27" i="17"/>
  <c r="I27" i="17"/>
  <c r="J27" i="17"/>
  <c r="K27" i="17"/>
  <c r="L27" i="17"/>
  <c r="C28" i="17"/>
  <c r="D28" i="17"/>
  <c r="E28" i="17"/>
  <c r="F28" i="17"/>
  <c r="G28" i="17"/>
  <c r="H28" i="17"/>
  <c r="I28" i="17"/>
  <c r="J28" i="17"/>
  <c r="K28" i="17"/>
  <c r="L28" i="17"/>
  <c r="C29" i="17"/>
  <c r="D29" i="17"/>
  <c r="E29" i="17"/>
  <c r="F29" i="17"/>
  <c r="G29" i="17"/>
  <c r="H29" i="17"/>
  <c r="I29" i="17"/>
  <c r="J29" i="17"/>
  <c r="K29" i="17"/>
  <c r="L29" i="17"/>
  <c r="B27" i="17"/>
  <c r="B28" i="17"/>
  <c r="B29" i="17"/>
  <c r="B26" i="17"/>
  <c r="C20" i="17"/>
  <c r="D20" i="17"/>
  <c r="E20" i="17"/>
  <c r="F20" i="17"/>
  <c r="G20" i="17"/>
  <c r="H20" i="17"/>
  <c r="I20" i="17"/>
  <c r="J20" i="17"/>
  <c r="K20" i="17"/>
  <c r="L20" i="17"/>
  <c r="C21" i="17"/>
  <c r="D21" i="17"/>
  <c r="E21" i="17"/>
  <c r="F21" i="17"/>
  <c r="G21" i="17"/>
  <c r="H21" i="17"/>
  <c r="I21" i="17"/>
  <c r="J21" i="17"/>
  <c r="K21" i="17"/>
  <c r="L21" i="17"/>
  <c r="C22" i="17"/>
  <c r="D22" i="17"/>
  <c r="E22" i="17"/>
  <c r="F22" i="17"/>
  <c r="G22" i="17"/>
  <c r="H22" i="17"/>
  <c r="I22" i="17"/>
  <c r="J22" i="17"/>
  <c r="K22" i="17"/>
  <c r="L22" i="17"/>
  <c r="C23" i="17"/>
  <c r="D23" i="17"/>
  <c r="E23" i="17"/>
  <c r="F23" i="17"/>
  <c r="G23" i="17"/>
  <c r="H23" i="17"/>
  <c r="I23" i="17"/>
  <c r="J23" i="17"/>
  <c r="K23" i="17"/>
  <c r="L23" i="17"/>
  <c r="B21" i="17"/>
  <c r="B22" i="17"/>
  <c r="B23" i="17"/>
  <c r="B20" i="17"/>
  <c r="C46" i="16"/>
  <c r="D46" i="16"/>
  <c r="E46" i="16"/>
  <c r="F46" i="16"/>
  <c r="G46" i="16"/>
  <c r="H46" i="16"/>
  <c r="I46" i="16"/>
  <c r="J46" i="16"/>
  <c r="K46" i="16"/>
  <c r="L46" i="16"/>
  <c r="C47" i="16"/>
  <c r="D47" i="16"/>
  <c r="E47" i="16"/>
  <c r="F47" i="16"/>
  <c r="G47" i="16"/>
  <c r="H47" i="16"/>
  <c r="I47" i="16"/>
  <c r="J47" i="16"/>
  <c r="K47" i="16"/>
  <c r="L47" i="16"/>
  <c r="C48" i="16"/>
  <c r="D48" i="16"/>
  <c r="E48" i="16"/>
  <c r="F48" i="16"/>
  <c r="G48" i="16"/>
  <c r="H48" i="16"/>
  <c r="I48" i="16"/>
  <c r="J48" i="16"/>
  <c r="K48" i="16"/>
  <c r="L48" i="16"/>
  <c r="C49" i="16"/>
  <c r="D49" i="16"/>
  <c r="E49" i="16"/>
  <c r="F49" i="16"/>
  <c r="G49" i="16"/>
  <c r="H49" i="16"/>
  <c r="I49" i="16"/>
  <c r="J49" i="16"/>
  <c r="K49" i="16"/>
  <c r="L49" i="16"/>
  <c r="C50" i="16"/>
  <c r="D50" i="16"/>
  <c r="E50" i="16"/>
  <c r="F50" i="16"/>
  <c r="G50" i="16"/>
  <c r="H50" i="16"/>
  <c r="I50" i="16"/>
  <c r="J50" i="16"/>
  <c r="K50" i="16"/>
  <c r="L50" i="16"/>
  <c r="C51" i="16"/>
  <c r="D51" i="16"/>
  <c r="E51" i="16"/>
  <c r="F51" i="16"/>
  <c r="G51" i="16"/>
  <c r="H51" i="16"/>
  <c r="I51" i="16"/>
  <c r="J51" i="16"/>
  <c r="K51" i="16"/>
  <c r="L51" i="16"/>
  <c r="C52" i="16"/>
  <c r="D52" i="16"/>
  <c r="E52" i="16"/>
  <c r="F52" i="16"/>
  <c r="G52" i="16"/>
  <c r="H52" i="16"/>
  <c r="I52" i="16"/>
  <c r="J52" i="16"/>
  <c r="K52" i="16"/>
  <c r="L52" i="16"/>
  <c r="C31" i="16"/>
  <c r="C53" i="16"/>
  <c r="D31" i="16"/>
  <c r="D53" i="16"/>
  <c r="E31" i="16"/>
  <c r="E53" i="16"/>
  <c r="F31" i="16"/>
  <c r="F53" i="16"/>
  <c r="G31" i="16"/>
  <c r="G53" i="16"/>
  <c r="H31" i="16"/>
  <c r="H53" i="16"/>
  <c r="I31" i="16"/>
  <c r="I53" i="16"/>
  <c r="J31" i="16"/>
  <c r="J53" i="16"/>
  <c r="K31" i="16"/>
  <c r="K53" i="16"/>
  <c r="L31" i="16"/>
  <c r="L53" i="16"/>
  <c r="C54" i="16"/>
  <c r="D54" i="16"/>
  <c r="E54" i="16"/>
  <c r="F54" i="16"/>
  <c r="G54" i="16"/>
  <c r="H54" i="16"/>
  <c r="I54" i="16"/>
  <c r="J54" i="16"/>
  <c r="K54" i="16"/>
  <c r="L54" i="16"/>
  <c r="B47" i="16"/>
  <c r="B48" i="16"/>
  <c r="B49" i="16"/>
  <c r="B50" i="16"/>
  <c r="B51" i="16"/>
  <c r="B52" i="16"/>
  <c r="B31" i="16"/>
  <c r="B53" i="16"/>
  <c r="B32" i="16"/>
  <c r="B54" i="16"/>
  <c r="B46" i="16"/>
  <c r="C35" i="16"/>
  <c r="D35" i="16"/>
  <c r="E35" i="16"/>
  <c r="F35" i="16"/>
  <c r="G35" i="16"/>
  <c r="H35" i="16"/>
  <c r="I35" i="16"/>
  <c r="J35" i="16"/>
  <c r="K35" i="16"/>
  <c r="L35" i="16"/>
  <c r="C36" i="16"/>
  <c r="D36" i="16"/>
  <c r="E36" i="16"/>
  <c r="F36" i="16"/>
  <c r="G36" i="16"/>
  <c r="H36" i="16"/>
  <c r="I36" i="16"/>
  <c r="J36" i="16"/>
  <c r="K36" i="16"/>
  <c r="L36" i="16"/>
  <c r="C37" i="16"/>
  <c r="D37" i="16"/>
  <c r="E37" i="16"/>
  <c r="F37" i="16"/>
  <c r="G37" i="16"/>
  <c r="H37" i="16"/>
  <c r="I37" i="16"/>
  <c r="J37" i="16"/>
  <c r="K37" i="16"/>
  <c r="L37" i="16"/>
  <c r="C38" i="16"/>
  <c r="D38" i="16"/>
  <c r="E38" i="16"/>
  <c r="F38" i="16"/>
  <c r="G38" i="16"/>
  <c r="H38" i="16"/>
  <c r="I38" i="16"/>
  <c r="J38" i="16"/>
  <c r="K38" i="16"/>
  <c r="L38" i="16"/>
  <c r="C39" i="16"/>
  <c r="D39" i="16"/>
  <c r="E39" i="16"/>
  <c r="F39" i="16"/>
  <c r="G39" i="16"/>
  <c r="H39" i="16"/>
  <c r="I39" i="16"/>
  <c r="J39" i="16"/>
  <c r="K39" i="16"/>
  <c r="L39" i="16"/>
  <c r="C40" i="16"/>
  <c r="D40" i="16"/>
  <c r="E40" i="16"/>
  <c r="F40" i="16"/>
  <c r="G40" i="16"/>
  <c r="H40" i="16"/>
  <c r="I40" i="16"/>
  <c r="J40" i="16"/>
  <c r="K40" i="16"/>
  <c r="L40" i="16"/>
  <c r="C41" i="16"/>
  <c r="D41" i="16"/>
  <c r="E41" i="16"/>
  <c r="F41" i="16"/>
  <c r="G41" i="16"/>
  <c r="H41" i="16"/>
  <c r="I41" i="16"/>
  <c r="J41" i="16"/>
  <c r="K41" i="16"/>
  <c r="L41" i="16"/>
  <c r="C42" i="16"/>
  <c r="D42" i="16"/>
  <c r="E42" i="16"/>
  <c r="F42" i="16"/>
  <c r="G42" i="16"/>
  <c r="H42" i="16"/>
  <c r="I42" i="16"/>
  <c r="J42" i="16"/>
  <c r="K42" i="16"/>
  <c r="L42" i="16"/>
  <c r="C43" i="16"/>
  <c r="D43" i="16"/>
  <c r="E43" i="16"/>
  <c r="F43" i="16"/>
  <c r="G43" i="16"/>
  <c r="H43" i="16"/>
  <c r="I43" i="16"/>
  <c r="J43" i="16"/>
  <c r="K43" i="16"/>
  <c r="L43" i="16"/>
  <c r="B36" i="16"/>
  <c r="B37" i="16"/>
  <c r="B38" i="16"/>
  <c r="B39" i="16"/>
  <c r="B40" i="16"/>
  <c r="B41" i="16"/>
  <c r="B42" i="16"/>
  <c r="B43" i="16"/>
  <c r="B35" i="16"/>
  <c r="C18" i="15"/>
  <c r="C35" i="15"/>
  <c r="D18" i="15"/>
  <c r="D35" i="15"/>
  <c r="E18" i="15"/>
  <c r="E35" i="15"/>
  <c r="F18" i="15"/>
  <c r="F35" i="15"/>
  <c r="G18" i="15"/>
  <c r="G35" i="15"/>
  <c r="H18" i="15"/>
  <c r="H35" i="15"/>
  <c r="I18" i="15"/>
  <c r="I35" i="15"/>
  <c r="J18" i="15"/>
  <c r="J35" i="15"/>
  <c r="K18" i="15"/>
  <c r="K35" i="15"/>
  <c r="L18" i="15"/>
  <c r="L35" i="15"/>
  <c r="C19" i="15"/>
  <c r="C36" i="15"/>
  <c r="D19" i="15"/>
  <c r="D36" i="15"/>
  <c r="E19" i="15"/>
  <c r="E36" i="15"/>
  <c r="F19" i="15"/>
  <c r="F36" i="15"/>
  <c r="G19" i="15"/>
  <c r="G36" i="15"/>
  <c r="H19" i="15"/>
  <c r="H36" i="15"/>
  <c r="I19" i="15"/>
  <c r="I36" i="15"/>
  <c r="J19" i="15"/>
  <c r="J36" i="15"/>
  <c r="K19" i="15"/>
  <c r="K36" i="15"/>
  <c r="L19" i="15"/>
  <c r="L36" i="15"/>
  <c r="C20" i="15"/>
  <c r="C37" i="15"/>
  <c r="D20" i="15"/>
  <c r="D37" i="15"/>
  <c r="E20" i="15"/>
  <c r="E37" i="15"/>
  <c r="F20" i="15"/>
  <c r="F37" i="15"/>
  <c r="G20" i="15"/>
  <c r="G37" i="15"/>
  <c r="H20" i="15"/>
  <c r="H37" i="15"/>
  <c r="I20" i="15"/>
  <c r="I37" i="15"/>
  <c r="J20" i="15"/>
  <c r="J37" i="15"/>
  <c r="K20" i="15"/>
  <c r="K37" i="15"/>
  <c r="L20" i="15"/>
  <c r="L37" i="15"/>
  <c r="C21" i="15"/>
  <c r="C38" i="15"/>
  <c r="D21" i="15"/>
  <c r="D38" i="15"/>
  <c r="E21" i="15"/>
  <c r="E38" i="15"/>
  <c r="F21" i="15"/>
  <c r="F38" i="15"/>
  <c r="G21" i="15"/>
  <c r="G38" i="15"/>
  <c r="H21" i="15"/>
  <c r="H38" i="15"/>
  <c r="I21" i="15"/>
  <c r="I38" i="15"/>
  <c r="J21" i="15"/>
  <c r="J38" i="15"/>
  <c r="K21" i="15"/>
  <c r="K38" i="15"/>
  <c r="L21" i="15"/>
  <c r="L38" i="15"/>
  <c r="C22" i="15"/>
  <c r="C39" i="15"/>
  <c r="D22" i="15"/>
  <c r="D39" i="15"/>
  <c r="E22" i="15"/>
  <c r="E39" i="15"/>
  <c r="F22" i="15"/>
  <c r="F39" i="15"/>
  <c r="G22" i="15"/>
  <c r="G39" i="15"/>
  <c r="H22" i="15"/>
  <c r="H39" i="15"/>
  <c r="I22" i="15"/>
  <c r="I39" i="15"/>
  <c r="J22" i="15"/>
  <c r="J39" i="15"/>
  <c r="K22" i="15"/>
  <c r="K39" i="15"/>
  <c r="L22" i="15"/>
  <c r="L39" i="15"/>
  <c r="C23" i="15"/>
  <c r="C40" i="15"/>
  <c r="D23" i="15"/>
  <c r="D40" i="15"/>
  <c r="E23" i="15"/>
  <c r="E40" i="15"/>
  <c r="F23" i="15"/>
  <c r="F40" i="15"/>
  <c r="G23" i="15"/>
  <c r="G40" i="15"/>
  <c r="H23" i="15"/>
  <c r="H40" i="15"/>
  <c r="I23" i="15"/>
  <c r="I40" i="15"/>
  <c r="J23" i="15"/>
  <c r="J40" i="15"/>
  <c r="K23" i="15"/>
  <c r="K40" i="15"/>
  <c r="L23" i="15"/>
  <c r="L40" i="15"/>
  <c r="B19" i="15"/>
  <c r="B36" i="15"/>
  <c r="B20" i="15"/>
  <c r="B37" i="15"/>
  <c r="B21" i="15"/>
  <c r="B38" i="15"/>
  <c r="B22" i="15"/>
  <c r="B39" i="15"/>
  <c r="B23" i="15"/>
  <c r="B40" i="15"/>
  <c r="B18" i="15"/>
  <c r="B35" i="15"/>
  <c r="C27" i="15"/>
  <c r="D27" i="15"/>
  <c r="E27" i="15"/>
  <c r="F27" i="15"/>
  <c r="G27" i="15"/>
  <c r="H27" i="15"/>
  <c r="I27" i="15"/>
  <c r="J27" i="15"/>
  <c r="K27" i="15"/>
  <c r="L27" i="15"/>
  <c r="C28" i="15"/>
  <c r="D28" i="15"/>
  <c r="E28" i="15"/>
  <c r="F28" i="15"/>
  <c r="G28" i="15"/>
  <c r="H28" i="15"/>
  <c r="I28" i="15"/>
  <c r="J28" i="15"/>
  <c r="K28" i="15"/>
  <c r="L28" i="15"/>
  <c r="C29" i="15"/>
  <c r="D29" i="15"/>
  <c r="E29" i="15"/>
  <c r="F29" i="15"/>
  <c r="G29" i="15"/>
  <c r="H29" i="15"/>
  <c r="I29" i="15"/>
  <c r="J29" i="15"/>
  <c r="K29" i="15"/>
  <c r="L29" i="15"/>
  <c r="C30" i="15"/>
  <c r="D30" i="15"/>
  <c r="E30" i="15"/>
  <c r="F30" i="15"/>
  <c r="G30" i="15"/>
  <c r="H30" i="15"/>
  <c r="I30" i="15"/>
  <c r="J30" i="15"/>
  <c r="K30" i="15"/>
  <c r="L30" i="15"/>
  <c r="C31" i="15"/>
  <c r="D31" i="15"/>
  <c r="E31" i="15"/>
  <c r="F31" i="15"/>
  <c r="G31" i="15"/>
  <c r="H31" i="15"/>
  <c r="I31" i="15"/>
  <c r="J31" i="15"/>
  <c r="K31" i="15"/>
  <c r="L31" i="15"/>
  <c r="C32" i="15"/>
  <c r="D32" i="15"/>
  <c r="E32" i="15"/>
  <c r="F32" i="15"/>
  <c r="G32" i="15"/>
  <c r="H32" i="15"/>
  <c r="I32" i="15"/>
  <c r="J32" i="15"/>
  <c r="K32" i="15"/>
  <c r="L32" i="15"/>
  <c r="B28" i="15"/>
  <c r="B29" i="15"/>
  <c r="B30" i="15"/>
  <c r="B31" i="15"/>
  <c r="B32" i="15"/>
  <c r="B27" i="15"/>
  <c r="E24" i="15"/>
  <c r="F24" i="15"/>
  <c r="G24" i="15"/>
  <c r="H24" i="15"/>
  <c r="I24" i="15"/>
  <c r="J24" i="15"/>
  <c r="K24" i="15"/>
  <c r="L24" i="15"/>
  <c r="C24" i="15"/>
  <c r="D24" i="15"/>
  <c r="B24" i="15"/>
  <c r="C70" i="14"/>
  <c r="D70" i="14"/>
  <c r="E70" i="14"/>
  <c r="F70" i="14"/>
  <c r="G70" i="14"/>
  <c r="H70" i="14"/>
  <c r="I70" i="14"/>
  <c r="J70" i="14"/>
  <c r="K70" i="14"/>
  <c r="L70" i="14"/>
  <c r="C71" i="14"/>
  <c r="D71" i="14"/>
  <c r="E71" i="14"/>
  <c r="F71" i="14"/>
  <c r="G71" i="14"/>
  <c r="H71" i="14"/>
  <c r="I71" i="14"/>
  <c r="J71" i="14"/>
  <c r="K71" i="14"/>
  <c r="L71" i="14"/>
  <c r="C72" i="14"/>
  <c r="D72" i="14"/>
  <c r="E72" i="14"/>
  <c r="F72" i="14"/>
  <c r="G72" i="14"/>
  <c r="H72" i="14"/>
  <c r="I72" i="14"/>
  <c r="J72" i="14"/>
  <c r="K72" i="14"/>
  <c r="L72" i="14"/>
  <c r="H73" i="14"/>
  <c r="I73" i="14"/>
  <c r="J73" i="14"/>
  <c r="K73" i="14"/>
  <c r="L73" i="14"/>
  <c r="C74" i="14"/>
  <c r="D74" i="14"/>
  <c r="E74" i="14"/>
  <c r="F74" i="14"/>
  <c r="G74" i="14"/>
  <c r="H74" i="14"/>
  <c r="I74" i="14"/>
  <c r="J74" i="14"/>
  <c r="K74" i="14"/>
  <c r="L74" i="14"/>
  <c r="C75" i="14"/>
  <c r="D75" i="14"/>
  <c r="E75" i="14"/>
  <c r="F75" i="14"/>
  <c r="G75" i="14"/>
  <c r="H75" i="14"/>
  <c r="I75" i="14"/>
  <c r="J75" i="14"/>
  <c r="K75" i="14"/>
  <c r="L75" i="14"/>
  <c r="C76" i="14"/>
  <c r="D76" i="14"/>
  <c r="E76" i="14"/>
  <c r="F76" i="14"/>
  <c r="G76" i="14"/>
  <c r="H76" i="14"/>
  <c r="I76" i="14"/>
  <c r="J76" i="14"/>
  <c r="K76" i="14"/>
  <c r="L76" i="14"/>
  <c r="C77" i="14"/>
  <c r="D77" i="14"/>
  <c r="E77" i="14"/>
  <c r="F77" i="14"/>
  <c r="G77" i="14"/>
  <c r="H77" i="14"/>
  <c r="I77" i="14"/>
  <c r="J77" i="14"/>
  <c r="K77" i="14"/>
  <c r="L77" i="14"/>
  <c r="C78" i="14"/>
  <c r="D78" i="14"/>
  <c r="E78" i="14"/>
  <c r="F78" i="14"/>
  <c r="G78" i="14"/>
  <c r="H78" i="14"/>
  <c r="I78" i="14"/>
  <c r="J78" i="14"/>
  <c r="K78" i="14"/>
  <c r="L78" i="14"/>
  <c r="E79" i="14"/>
  <c r="F79" i="14"/>
  <c r="G79" i="14"/>
  <c r="H79" i="14"/>
  <c r="I79" i="14"/>
  <c r="J79" i="14"/>
  <c r="K79" i="14"/>
  <c r="L79" i="14"/>
  <c r="C80" i="14"/>
  <c r="D80" i="14"/>
  <c r="E80" i="14"/>
  <c r="F80" i="14"/>
  <c r="G80" i="14"/>
  <c r="H80" i="14"/>
  <c r="I80" i="14"/>
  <c r="J80" i="14"/>
  <c r="K80" i="14"/>
  <c r="L80" i="14"/>
  <c r="C81" i="14"/>
  <c r="D81" i="14"/>
  <c r="E81" i="14"/>
  <c r="F81" i="14"/>
  <c r="G81" i="14"/>
  <c r="H81" i="14"/>
  <c r="I81" i="14"/>
  <c r="J81" i="14"/>
  <c r="K81" i="14"/>
  <c r="L81" i="14"/>
  <c r="C82" i="14"/>
  <c r="D82" i="14"/>
  <c r="E82" i="14"/>
  <c r="F82" i="14"/>
  <c r="G82" i="14"/>
  <c r="H82" i="14"/>
  <c r="I82" i="14"/>
  <c r="J82" i="14"/>
  <c r="K82" i="14"/>
  <c r="L82" i="14"/>
  <c r="H83" i="14"/>
  <c r="I83" i="14"/>
  <c r="J83" i="14"/>
  <c r="K83" i="14"/>
  <c r="L83" i="14"/>
  <c r="B71" i="14"/>
  <c r="B72" i="14"/>
  <c r="B74" i="14"/>
  <c r="B75" i="14"/>
  <c r="B76" i="14"/>
  <c r="B77" i="14"/>
  <c r="B78" i="14"/>
  <c r="B80" i="14"/>
  <c r="B81" i="14"/>
  <c r="B82" i="14"/>
  <c r="B70" i="14"/>
  <c r="C54" i="14"/>
  <c r="D54" i="14"/>
  <c r="E54" i="14"/>
  <c r="F54" i="14"/>
  <c r="G54" i="14"/>
  <c r="H54" i="14"/>
  <c r="I54" i="14"/>
  <c r="J54" i="14"/>
  <c r="K54" i="14"/>
  <c r="L54" i="14"/>
  <c r="C55" i="14"/>
  <c r="D55" i="14"/>
  <c r="E55" i="14"/>
  <c r="F55" i="14"/>
  <c r="G55" i="14"/>
  <c r="H55" i="14"/>
  <c r="I55" i="14"/>
  <c r="J55" i="14"/>
  <c r="K55" i="14"/>
  <c r="L55" i="14"/>
  <c r="C56" i="14"/>
  <c r="D56" i="14"/>
  <c r="E56" i="14"/>
  <c r="F56" i="14"/>
  <c r="G56" i="14"/>
  <c r="H56" i="14"/>
  <c r="I56" i="14"/>
  <c r="J56" i="14"/>
  <c r="K56" i="14"/>
  <c r="L56" i="14"/>
  <c r="H57" i="14"/>
  <c r="I57" i="14"/>
  <c r="J57" i="14"/>
  <c r="K57" i="14"/>
  <c r="L57" i="14"/>
  <c r="C58" i="14"/>
  <c r="D58" i="14"/>
  <c r="E58" i="14"/>
  <c r="F58" i="14"/>
  <c r="G58" i="14"/>
  <c r="H58" i="14"/>
  <c r="I58" i="14"/>
  <c r="J58" i="14"/>
  <c r="K58" i="14"/>
  <c r="L58" i="14"/>
  <c r="C59" i="14"/>
  <c r="D59" i="14"/>
  <c r="E59" i="14"/>
  <c r="F59" i="14"/>
  <c r="G59" i="14"/>
  <c r="H59" i="14"/>
  <c r="I59" i="14"/>
  <c r="J59" i="14"/>
  <c r="K59" i="14"/>
  <c r="L59" i="14"/>
  <c r="C60" i="14"/>
  <c r="D60" i="14"/>
  <c r="E60" i="14"/>
  <c r="F60" i="14"/>
  <c r="G60" i="14"/>
  <c r="H60" i="14"/>
  <c r="I60" i="14"/>
  <c r="J60" i="14"/>
  <c r="K60" i="14"/>
  <c r="L60" i="14"/>
  <c r="C61" i="14"/>
  <c r="D61" i="14"/>
  <c r="E61" i="14"/>
  <c r="F61" i="14"/>
  <c r="G61" i="14"/>
  <c r="H61" i="14"/>
  <c r="I61" i="14"/>
  <c r="J61" i="14"/>
  <c r="K61" i="14"/>
  <c r="L61" i="14"/>
  <c r="C62" i="14"/>
  <c r="D62" i="14"/>
  <c r="E62" i="14"/>
  <c r="F62" i="14"/>
  <c r="G62" i="14"/>
  <c r="H62" i="14"/>
  <c r="I62" i="14"/>
  <c r="J62" i="14"/>
  <c r="K62" i="14"/>
  <c r="L62" i="14"/>
  <c r="E63" i="14"/>
  <c r="F63" i="14"/>
  <c r="G63" i="14"/>
  <c r="H63" i="14"/>
  <c r="I63" i="14"/>
  <c r="J63" i="14"/>
  <c r="K63" i="14"/>
  <c r="L63" i="14"/>
  <c r="C64" i="14"/>
  <c r="D64" i="14"/>
  <c r="E64" i="14"/>
  <c r="F64" i="14"/>
  <c r="G64" i="14"/>
  <c r="H64" i="14"/>
  <c r="I64" i="14"/>
  <c r="J64" i="14"/>
  <c r="K64" i="14"/>
  <c r="L64" i="14"/>
  <c r="C65" i="14"/>
  <c r="D65" i="14"/>
  <c r="E65" i="14"/>
  <c r="F65" i="14"/>
  <c r="G65" i="14"/>
  <c r="H65" i="14"/>
  <c r="I65" i="14"/>
  <c r="J65" i="14"/>
  <c r="K65" i="14"/>
  <c r="L65" i="14"/>
  <c r="C66" i="14"/>
  <c r="D66" i="14"/>
  <c r="E66" i="14"/>
  <c r="F66" i="14"/>
  <c r="G66" i="14"/>
  <c r="H66" i="14"/>
  <c r="I66" i="14"/>
  <c r="J66" i="14"/>
  <c r="K66" i="14"/>
  <c r="L66" i="14"/>
  <c r="H67" i="14"/>
  <c r="I67" i="14"/>
  <c r="J67" i="14"/>
  <c r="K67" i="14"/>
  <c r="L67" i="14"/>
  <c r="B55" i="14"/>
  <c r="B56" i="14"/>
  <c r="B58" i="14"/>
  <c r="B59" i="14"/>
  <c r="B60" i="14"/>
  <c r="B61" i="14"/>
  <c r="B62" i="14"/>
  <c r="B64" i="14"/>
  <c r="B65" i="14"/>
  <c r="B66" i="14"/>
  <c r="B54" i="14"/>
  <c r="C51" i="14"/>
  <c r="D51" i="14"/>
  <c r="E51" i="14"/>
  <c r="F51" i="14"/>
  <c r="G51" i="14"/>
  <c r="H51" i="14"/>
  <c r="I51" i="14"/>
  <c r="J51" i="14"/>
  <c r="K51" i="14"/>
  <c r="L51" i="14"/>
  <c r="B51" i="14"/>
  <c r="K15" i="13"/>
  <c r="M15" i="13"/>
  <c r="N15" i="13"/>
  <c r="O15" i="13"/>
  <c r="K16" i="13"/>
  <c r="M16" i="13"/>
  <c r="N16" i="13"/>
  <c r="O16" i="13"/>
  <c r="K17" i="13"/>
  <c r="M17" i="13"/>
  <c r="N17" i="13"/>
  <c r="O17" i="13"/>
  <c r="K18" i="13"/>
  <c r="M18" i="13"/>
  <c r="N18" i="13"/>
  <c r="O18" i="13"/>
  <c r="K19" i="13"/>
  <c r="F6" i="13"/>
  <c r="N19" i="13"/>
  <c r="O19" i="13"/>
  <c r="K20" i="13"/>
  <c r="F7" i="13"/>
  <c r="N20" i="13"/>
  <c r="O20" i="13"/>
  <c r="K21" i="13"/>
  <c r="L21" i="13"/>
  <c r="N21" i="13"/>
  <c r="O21" i="13"/>
  <c r="K22" i="13"/>
  <c r="L22" i="13"/>
  <c r="N22" i="13"/>
  <c r="O22" i="13"/>
  <c r="K23" i="13"/>
  <c r="L23" i="13"/>
  <c r="N23" i="13"/>
  <c r="O23" i="13"/>
  <c r="K24" i="13"/>
  <c r="L24" i="13"/>
  <c r="N24" i="13"/>
  <c r="O24" i="13"/>
  <c r="K25" i="13"/>
  <c r="L25" i="13"/>
  <c r="N25" i="13"/>
  <c r="O25" i="13"/>
  <c r="J16" i="13"/>
  <c r="J17" i="13"/>
  <c r="J18" i="13"/>
  <c r="J19" i="13"/>
  <c r="J20" i="13"/>
  <c r="J21" i="13"/>
  <c r="J22" i="13"/>
  <c r="J23" i="13"/>
  <c r="J24" i="13"/>
  <c r="J25" i="13"/>
  <c r="J15" i="13"/>
  <c r="K2" i="13"/>
  <c r="M2" i="13"/>
  <c r="N2" i="13"/>
  <c r="O2" i="13"/>
  <c r="K3" i="13"/>
  <c r="M3" i="13"/>
  <c r="N3" i="13"/>
  <c r="O3" i="13"/>
  <c r="K4" i="13"/>
  <c r="M4" i="13"/>
  <c r="N4" i="13"/>
  <c r="O4" i="13"/>
  <c r="K5" i="13"/>
  <c r="M5" i="13"/>
  <c r="N5" i="13"/>
  <c r="O5" i="13"/>
  <c r="K6" i="13"/>
  <c r="N6" i="13"/>
  <c r="O6" i="13"/>
  <c r="K7" i="13"/>
  <c r="N7" i="13"/>
  <c r="O7" i="13"/>
  <c r="K8" i="13"/>
  <c r="L8" i="13"/>
  <c r="N8" i="13"/>
  <c r="O8" i="13"/>
  <c r="K9" i="13"/>
  <c r="L9" i="13"/>
  <c r="N9" i="13"/>
  <c r="O9" i="13"/>
  <c r="K10" i="13"/>
  <c r="L10" i="13"/>
  <c r="N10" i="13"/>
  <c r="O10" i="13"/>
  <c r="K11" i="13"/>
  <c r="L11" i="13"/>
  <c r="N11" i="13"/>
  <c r="O11" i="13"/>
  <c r="K12" i="13"/>
  <c r="L12" i="13"/>
  <c r="N12" i="13"/>
  <c r="O12" i="13"/>
  <c r="J3" i="13"/>
  <c r="J4" i="13"/>
  <c r="J5" i="13"/>
  <c r="J6" i="13"/>
  <c r="J7" i="13"/>
  <c r="J8" i="13"/>
  <c r="J9" i="13"/>
  <c r="J10" i="13"/>
  <c r="J11" i="13"/>
  <c r="J12" i="13"/>
  <c r="J2" i="13"/>
  <c r="I33" i="13"/>
  <c r="I32" i="13"/>
  <c r="B18" i="18"/>
  <c r="C35" i="19"/>
  <c r="B35" i="19"/>
  <c r="B33" i="12"/>
  <c r="C33" i="12"/>
  <c r="D33" i="12"/>
  <c r="E33" i="12"/>
  <c r="F33" i="12"/>
  <c r="G33" i="12"/>
  <c r="H33" i="12"/>
  <c r="I33" i="12"/>
  <c r="J33" i="12"/>
  <c r="K33" i="12"/>
  <c r="B34" i="12"/>
  <c r="C34" i="12"/>
  <c r="D34" i="12"/>
  <c r="E34" i="12"/>
  <c r="F34" i="12"/>
  <c r="G34" i="12"/>
  <c r="H34" i="12"/>
  <c r="I34" i="12"/>
  <c r="J34" i="12"/>
  <c r="K34" i="12"/>
  <c r="B20" i="12"/>
  <c r="B35" i="12"/>
  <c r="C20" i="12"/>
  <c r="C35" i="12"/>
  <c r="D35" i="12"/>
  <c r="E35" i="12"/>
  <c r="F35" i="12"/>
  <c r="G35" i="12"/>
  <c r="H35" i="12"/>
  <c r="I35" i="12"/>
  <c r="J35" i="12"/>
  <c r="K35" i="12"/>
  <c r="B36" i="12"/>
  <c r="C36" i="12"/>
  <c r="D36" i="12"/>
  <c r="E36" i="12"/>
  <c r="F36" i="12"/>
  <c r="G36" i="12"/>
  <c r="H36" i="12"/>
  <c r="I36" i="12"/>
  <c r="J36" i="12"/>
  <c r="K36" i="12"/>
  <c r="B37" i="12"/>
  <c r="C37" i="12"/>
  <c r="D37" i="12"/>
  <c r="E37" i="12"/>
  <c r="F37" i="12"/>
  <c r="G37" i="12"/>
  <c r="H37" i="12"/>
  <c r="I37" i="12"/>
  <c r="J37" i="12"/>
  <c r="K37" i="12"/>
  <c r="C32" i="12"/>
  <c r="D32" i="12"/>
  <c r="E32" i="12"/>
  <c r="F32" i="12"/>
  <c r="G32" i="12"/>
  <c r="H32" i="12"/>
  <c r="I32" i="12"/>
  <c r="J32" i="12"/>
  <c r="K32" i="12"/>
  <c r="B32" i="12"/>
  <c r="C24" i="12"/>
  <c r="D24" i="12"/>
  <c r="E24" i="12"/>
  <c r="F24" i="12"/>
  <c r="G24" i="12"/>
  <c r="H24" i="12"/>
  <c r="I24" i="12"/>
  <c r="J24" i="12"/>
  <c r="K24" i="12"/>
  <c r="C25" i="12"/>
  <c r="D25" i="12"/>
  <c r="E25" i="12"/>
  <c r="F25" i="12"/>
  <c r="G25" i="12"/>
  <c r="H25" i="12"/>
  <c r="I25" i="12"/>
  <c r="J25" i="12"/>
  <c r="K25" i="12"/>
  <c r="C26" i="12"/>
  <c r="D26" i="12"/>
  <c r="E26" i="12"/>
  <c r="F26" i="12"/>
  <c r="G26" i="12"/>
  <c r="H26" i="12"/>
  <c r="I26" i="12"/>
  <c r="J26" i="12"/>
  <c r="K26" i="12"/>
  <c r="C27" i="12"/>
  <c r="D27" i="12"/>
  <c r="E27" i="12"/>
  <c r="F27" i="12"/>
  <c r="G27" i="12"/>
  <c r="H27" i="12"/>
  <c r="I27" i="12"/>
  <c r="J27" i="12"/>
  <c r="K27" i="12"/>
  <c r="C28" i="12"/>
  <c r="D28" i="12"/>
  <c r="E28" i="12"/>
  <c r="F28" i="12"/>
  <c r="G28" i="12"/>
  <c r="H28" i="12"/>
  <c r="I28" i="12"/>
  <c r="J28" i="12"/>
  <c r="K28" i="12"/>
  <c r="C29" i="12"/>
  <c r="D29" i="12"/>
  <c r="E29" i="12"/>
  <c r="F29" i="12"/>
  <c r="G29" i="12"/>
  <c r="H29" i="12"/>
  <c r="I29" i="12"/>
  <c r="J29" i="12"/>
  <c r="K29" i="12"/>
  <c r="B25" i="12"/>
  <c r="B26" i="12"/>
  <c r="B27" i="12"/>
  <c r="B28" i="12"/>
  <c r="B29" i="12"/>
  <c r="B24" i="12"/>
  <c r="C96" i="11"/>
  <c r="D96" i="11"/>
  <c r="E96" i="11"/>
  <c r="F96" i="11"/>
  <c r="G96" i="11"/>
  <c r="H96" i="11"/>
  <c r="I96" i="11"/>
  <c r="J96" i="11"/>
  <c r="K96" i="11"/>
  <c r="L96" i="11"/>
  <c r="C95" i="11"/>
  <c r="D95" i="11"/>
  <c r="E95" i="11"/>
  <c r="F95" i="11"/>
  <c r="G95" i="11"/>
  <c r="H95" i="11"/>
  <c r="I95" i="11"/>
  <c r="J95" i="11"/>
  <c r="K95" i="11"/>
  <c r="L95" i="11"/>
  <c r="B96" i="11"/>
  <c r="B95" i="11"/>
  <c r="C88" i="11"/>
  <c r="D88" i="11"/>
  <c r="E88" i="11"/>
  <c r="F88" i="11"/>
  <c r="G88" i="11"/>
  <c r="H88" i="11"/>
  <c r="I88" i="11"/>
  <c r="J88" i="11"/>
  <c r="K88" i="11"/>
  <c r="L88" i="11"/>
  <c r="C89" i="11"/>
  <c r="D89" i="11"/>
  <c r="E89" i="11"/>
  <c r="F89" i="11"/>
  <c r="G89" i="11"/>
  <c r="H89" i="11"/>
  <c r="I89" i="11"/>
  <c r="J89" i="11"/>
  <c r="K89" i="11"/>
  <c r="L89" i="11"/>
  <c r="B88" i="11"/>
  <c r="B89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R65" i="11"/>
  <c r="H55" i="11"/>
  <c r="I55" i="11"/>
  <c r="J55" i="11"/>
  <c r="H53" i="11"/>
  <c r="I53" i="11"/>
  <c r="J53" i="11"/>
  <c r="H54" i="11"/>
  <c r="I54" i="11"/>
  <c r="J54" i="11"/>
  <c r="G54" i="11"/>
  <c r="G53" i="11"/>
  <c r="G55" i="11"/>
  <c r="AH25" i="11"/>
  <c r="AF25" i="11"/>
  <c r="AE25" i="11"/>
  <c r="AC25" i="11"/>
  <c r="AD25" i="11"/>
  <c r="AG25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B47" i="11"/>
  <c r="B46" i="11"/>
  <c r="B48" i="11"/>
  <c r="J16" i="11"/>
  <c r="H16" i="11"/>
  <c r="I16" i="11"/>
  <c r="J17" i="11"/>
  <c r="H17" i="11"/>
  <c r="I17" i="11"/>
  <c r="J18" i="11"/>
  <c r="H18" i="11"/>
  <c r="I18" i="11"/>
  <c r="J19" i="11"/>
  <c r="H19" i="11"/>
  <c r="I19" i="11"/>
  <c r="J20" i="11"/>
  <c r="H20" i="11"/>
  <c r="I20" i="11"/>
  <c r="J21" i="11"/>
  <c r="H21" i="11"/>
  <c r="I21" i="11"/>
  <c r="J22" i="11"/>
  <c r="H22" i="11"/>
  <c r="I22" i="11"/>
  <c r="J23" i="11"/>
  <c r="H23" i="11"/>
  <c r="I23" i="11"/>
  <c r="J24" i="11"/>
  <c r="H24" i="11"/>
  <c r="I24" i="11"/>
  <c r="J25" i="11"/>
  <c r="H25" i="11"/>
  <c r="I25" i="11"/>
  <c r="J26" i="11"/>
  <c r="H26" i="11"/>
  <c r="I26" i="11"/>
  <c r="J27" i="11"/>
  <c r="H27" i="11"/>
  <c r="I27" i="11"/>
  <c r="J28" i="11"/>
  <c r="H28" i="11"/>
  <c r="I28" i="11"/>
  <c r="J29" i="11"/>
  <c r="H29" i="11"/>
  <c r="I29" i="11"/>
  <c r="J30" i="11"/>
  <c r="H30" i="11"/>
  <c r="I30" i="11"/>
  <c r="J31" i="11"/>
  <c r="H31" i="11"/>
  <c r="I31" i="11"/>
  <c r="J32" i="11"/>
  <c r="H32" i="11"/>
  <c r="I32" i="11"/>
  <c r="J33" i="11"/>
  <c r="H33" i="11"/>
  <c r="I33" i="11"/>
  <c r="J34" i="11"/>
  <c r="H34" i="11"/>
  <c r="I34" i="11"/>
  <c r="J35" i="11"/>
  <c r="H35" i="11"/>
  <c r="I35" i="11"/>
  <c r="I15" i="11"/>
  <c r="H15" i="11"/>
  <c r="J15" i="11"/>
  <c r="C10" i="11"/>
  <c r="D10" i="11"/>
  <c r="E10" i="11"/>
  <c r="F10" i="11"/>
  <c r="G10" i="11"/>
  <c r="H10" i="11"/>
  <c r="I10" i="11"/>
  <c r="J10" i="11"/>
  <c r="K10" i="11"/>
  <c r="L10" i="11"/>
  <c r="C8" i="11"/>
  <c r="D8" i="11"/>
  <c r="E8" i="11"/>
  <c r="F8" i="11"/>
  <c r="G8" i="11"/>
  <c r="H8" i="11"/>
  <c r="I8" i="11"/>
  <c r="J8" i="11"/>
  <c r="K8" i="11"/>
  <c r="L8" i="11"/>
  <c r="C9" i="11"/>
  <c r="D9" i="11"/>
  <c r="E9" i="11"/>
  <c r="F9" i="11"/>
  <c r="G9" i="11"/>
  <c r="H9" i="11"/>
  <c r="I9" i="11"/>
  <c r="J9" i="11"/>
  <c r="K9" i="11"/>
  <c r="L9" i="11"/>
  <c r="B9" i="11"/>
  <c r="B8" i="11"/>
  <c r="B10" i="11"/>
  <c r="I85" i="21"/>
  <c r="J85" i="21"/>
  <c r="C85" i="21"/>
  <c r="J86" i="21"/>
  <c r="K85" i="21"/>
  <c r="D85" i="21"/>
  <c r="K86" i="21"/>
  <c r="L85" i="21"/>
  <c r="E85" i="21"/>
  <c r="L86" i="21"/>
  <c r="M85" i="21"/>
  <c r="F85" i="21"/>
  <c r="M86" i="21"/>
  <c r="N85" i="21"/>
  <c r="G85" i="21"/>
  <c r="N86" i="21"/>
  <c r="O85" i="21"/>
  <c r="H85" i="21"/>
  <c r="O86" i="21"/>
  <c r="B85" i="21"/>
  <c r="I86" i="21"/>
  <c r="P86" i="21"/>
</calcChain>
</file>

<file path=xl/sharedStrings.xml><?xml version="1.0" encoding="utf-8"?>
<sst xmlns="http://schemas.openxmlformats.org/spreadsheetml/2006/main" count="1116" uniqueCount="214">
  <si>
    <t>Injured</t>
  </si>
  <si>
    <t>事故数</t>
  </si>
  <si>
    <t>Fatalities</t>
  </si>
  <si>
    <t>(F+I)/A</t>
  </si>
  <si>
    <t>F/(F+I)</t>
  </si>
  <si>
    <t>UK</t>
  </si>
  <si>
    <t>Accidents</t>
  </si>
  <si>
    <t>IT</t>
  </si>
  <si>
    <t>DE</t>
  </si>
  <si>
    <t>CN</t>
  </si>
  <si>
    <t>FR</t>
  </si>
  <si>
    <t>US</t>
  </si>
  <si>
    <t>Pedest-rians</t>
  </si>
  <si>
    <t>Pedal cyclists</t>
  </si>
  <si>
    <t>Motor cyclists</t>
  </si>
  <si>
    <t>All other road users</t>
  </si>
  <si>
    <t>All killed</t>
  </si>
  <si>
    <t>行人</t>
  </si>
  <si>
    <t>非机动车驾驶员或乘客</t>
  </si>
  <si>
    <t>摩托车驾驶员或乘客</t>
  </si>
  <si>
    <t>汽车驾驶员或乘客</t>
  </si>
  <si>
    <t>其他车辆驾驶员或乘客</t>
  </si>
  <si>
    <t>Bicycles</t>
  </si>
  <si>
    <t>Motor-assisted bicycles, mopeds</t>
  </si>
  <si>
    <t>Motorcycles</t>
  </si>
  <si>
    <t>Passenger cars</t>
  </si>
  <si>
    <t>Buses and coaches</t>
  </si>
  <si>
    <t>Good road motor vehicles</t>
  </si>
  <si>
    <t>Pedestrians</t>
  </si>
  <si>
    <t>Means of transportation</t>
  </si>
  <si>
    <t>passengers</t>
  </si>
  <si>
    <t>Driving motor bikes</t>
  </si>
  <si>
    <t>Driving non-motor vehicles</t>
  </si>
  <si>
    <t>Driving vehicles with 4+ wheels</t>
  </si>
  <si>
    <t>Pedestrian</t>
  </si>
  <si>
    <t>Other</t>
  </si>
  <si>
    <t>Vehicle 4+</t>
  </si>
  <si>
    <t>Bikes</t>
  </si>
  <si>
    <t>AVG</t>
  </si>
  <si>
    <t>Motor Bikes</t>
  </si>
  <si>
    <t>Mini cars</t>
  </si>
  <si>
    <t>Motor cars</t>
  </si>
  <si>
    <t>Bus or trolley bus</t>
  </si>
  <si>
    <t>Tram</t>
  </si>
  <si>
    <t>Trucks and motor units</t>
  </si>
  <si>
    <t>Cycles</t>
  </si>
  <si>
    <t>Mopeds</t>
  </si>
  <si>
    <t>Three-wheeler or motor-van</t>
  </si>
  <si>
    <t>Other vehicles</t>
  </si>
  <si>
    <t>Vehicle</t>
  </si>
  <si>
    <t>Vehicle fix</t>
  </si>
  <si>
    <t>Vehicle veh</t>
  </si>
  <si>
    <t>Vehicle Ped</t>
  </si>
  <si>
    <t>Pede+Bike</t>
  </si>
  <si>
    <t>民警指挥</t>
  </si>
  <si>
    <t>信号灯</t>
  </si>
  <si>
    <t>标志标线</t>
  </si>
  <si>
    <t>混合</t>
  </si>
  <si>
    <t>其他</t>
  </si>
  <si>
    <t>无控制</t>
  </si>
  <si>
    <t>Accident</t>
  </si>
  <si>
    <t>Fatality</t>
  </si>
  <si>
    <t>疏忽大意</t>
  </si>
  <si>
    <t>未按规定让行</t>
  </si>
  <si>
    <t>超速行驶</t>
  </si>
  <si>
    <t>死亡数</t>
  </si>
  <si>
    <t>酒后驾驶</t>
  </si>
  <si>
    <t>无证驾驶</t>
  </si>
  <si>
    <t>合计</t>
  </si>
  <si>
    <t>刮撞行人</t>
  </si>
  <si>
    <t>撞静止车辆</t>
  </si>
  <si>
    <t>撞动物</t>
  </si>
  <si>
    <t>22:00-01:59</t>
  </si>
  <si>
    <t>02:00-05:59</t>
  </si>
  <si>
    <t>06:00-09:59</t>
  </si>
  <si>
    <t>10:00-13:59</t>
  </si>
  <si>
    <t>14:00-17:59</t>
  </si>
  <si>
    <t>18:00-21:59</t>
  </si>
  <si>
    <t>Freeway</t>
  </si>
  <si>
    <t>Class II</t>
  </si>
  <si>
    <t>Class III</t>
  </si>
  <si>
    <t>Class I</t>
  </si>
  <si>
    <t>Class IV</t>
  </si>
  <si>
    <t>Substandard</t>
  </si>
  <si>
    <t>Urban Expressway</t>
  </si>
  <si>
    <t>Urban road</t>
  </si>
  <si>
    <t>Separated directions</t>
  </si>
  <si>
    <t>Mixed</t>
  </si>
  <si>
    <t>Separated directions and vehicles</t>
  </si>
  <si>
    <t>Separated vehicles</t>
  </si>
  <si>
    <t>20&lt;a</t>
  </si>
  <si>
    <t>a&lt;1</t>
  </si>
  <si>
    <t>15&lt;a&lt;20</t>
  </si>
  <si>
    <t>10&lt;a&lt;15</t>
  </si>
  <si>
    <t>5&lt;a&lt;10</t>
  </si>
  <si>
    <t>1&lt;a&lt;3</t>
  </si>
  <si>
    <t>3&lt;a&lt;5</t>
  </si>
  <si>
    <t>36-40</t>
  </si>
  <si>
    <t>31-35</t>
  </si>
  <si>
    <t>26-30</t>
  </si>
  <si>
    <t>41-45</t>
  </si>
  <si>
    <t>21-25</t>
  </si>
  <si>
    <t>46-50</t>
  </si>
  <si>
    <t>16-20</t>
  </si>
  <si>
    <t>51-55</t>
  </si>
  <si>
    <t>56-60</t>
  </si>
  <si>
    <t>61-65</t>
  </si>
  <si>
    <t>&gt;65</t>
  </si>
  <si>
    <t>13-15</t>
  </si>
  <si>
    <t>1-6</t>
  </si>
  <si>
    <t>10-12</t>
  </si>
  <si>
    <t>7-9</t>
  </si>
  <si>
    <t>sum</t>
  </si>
  <si>
    <t>受伤数</t>
  </si>
  <si>
    <t>措施不当</t>
  </si>
  <si>
    <t>侧面相撞</t>
  </si>
  <si>
    <t>正面相撞</t>
  </si>
  <si>
    <t>尾随相撞</t>
  </si>
  <si>
    <t>同向刮擦</t>
  </si>
  <si>
    <t>翻车</t>
  </si>
  <si>
    <t>对向刮擦</t>
  </si>
  <si>
    <t>碾压</t>
  </si>
  <si>
    <t>坠车</t>
  </si>
  <si>
    <t>失火</t>
  </si>
  <si>
    <t>撞固定物</t>
  </si>
  <si>
    <t>总计</t>
  </si>
  <si>
    <t>总数</t>
  </si>
  <si>
    <t>机动车道</t>
  </si>
  <si>
    <t>非机动车道</t>
  </si>
  <si>
    <t>机非混合道</t>
  </si>
  <si>
    <t>人行道</t>
  </si>
  <si>
    <t>人行横道</t>
  </si>
  <si>
    <t>紧急停车带</t>
  </si>
  <si>
    <t>交通控制</t>
    <phoneticPr fontId="20" type="noConversion"/>
  </si>
  <si>
    <t>死亡数</t>
    <phoneticPr fontId="20" type="noConversion"/>
  </si>
  <si>
    <t>事故原因</t>
    <phoneticPr fontId="20" type="noConversion"/>
  </si>
  <si>
    <t>死亡数</t>
    <phoneticPr fontId="20" type="noConversion"/>
  </si>
  <si>
    <t>事故形态</t>
    <phoneticPr fontId="20" type="noConversion"/>
  </si>
  <si>
    <t>死亡数</t>
    <phoneticPr fontId="20" type="noConversion"/>
  </si>
  <si>
    <t>二级公路</t>
    <phoneticPr fontId="20" type="noConversion"/>
  </si>
  <si>
    <t>城市道路</t>
    <phoneticPr fontId="20" type="noConversion"/>
  </si>
  <si>
    <t>三级公路</t>
    <phoneticPr fontId="20" type="noConversion"/>
  </si>
  <si>
    <t>高速公路</t>
    <phoneticPr fontId="20" type="noConversion"/>
  </si>
  <si>
    <t>其他城市道路</t>
    <phoneticPr fontId="20" type="noConversion"/>
  </si>
  <si>
    <t>等外公路</t>
    <phoneticPr fontId="20" type="noConversion"/>
  </si>
  <si>
    <t>一级公路</t>
    <phoneticPr fontId="20" type="noConversion"/>
  </si>
  <si>
    <t>四级公路</t>
    <phoneticPr fontId="20" type="noConversion"/>
  </si>
  <si>
    <t>城市快速路</t>
    <phoneticPr fontId="20" type="noConversion"/>
  </si>
  <si>
    <t>驾龄</t>
    <phoneticPr fontId="20" type="noConversion"/>
  </si>
  <si>
    <t>年龄</t>
    <phoneticPr fontId="20" type="noConversion"/>
  </si>
  <si>
    <t>事故位置</t>
    <phoneticPr fontId="20" type="noConversion"/>
  </si>
  <si>
    <t>物理隔离</t>
    <phoneticPr fontId="20" type="noConversion"/>
  </si>
  <si>
    <t>混合型</t>
    <phoneticPr fontId="20" type="noConversion"/>
  </si>
  <si>
    <t>中心隔离</t>
    <phoneticPr fontId="20" type="noConversion"/>
  </si>
  <si>
    <t>机非隔离</t>
    <phoneticPr fontId="20" type="noConversion"/>
  </si>
  <si>
    <t>中心机非隔离</t>
    <phoneticPr fontId="20" type="noConversion"/>
  </si>
  <si>
    <t>时间段</t>
    <phoneticPr fontId="20" type="noConversion"/>
  </si>
  <si>
    <t>高速公路</t>
  </si>
  <si>
    <t>一级公路</t>
  </si>
  <si>
    <t>二级公路</t>
  </si>
  <si>
    <t>三级公路</t>
  </si>
  <si>
    <t>四级公路</t>
  </si>
  <si>
    <t>等外公路</t>
  </si>
  <si>
    <t>城市快速路</t>
  </si>
  <si>
    <t>城市道路</t>
  </si>
  <si>
    <t>其他城市道路</t>
  </si>
  <si>
    <t>车辆使用性质</t>
  </si>
  <si>
    <t>非营运</t>
  </si>
  <si>
    <t>公路客运</t>
  </si>
  <si>
    <t>公交客运</t>
  </si>
  <si>
    <t>出租客运</t>
  </si>
  <si>
    <t>货运</t>
  </si>
  <si>
    <t>私用</t>
  </si>
  <si>
    <t>平均值</t>
  </si>
  <si>
    <t>事故总数</t>
  </si>
  <si>
    <t>高一</t>
  </si>
  <si>
    <t>高二</t>
  </si>
  <si>
    <t>高三</t>
  </si>
  <si>
    <t>高城</t>
  </si>
  <si>
    <t>一二</t>
  </si>
  <si>
    <t>一三</t>
  </si>
  <si>
    <t>一城</t>
  </si>
  <si>
    <t>二三</t>
  </si>
  <si>
    <t>二城</t>
  </si>
  <si>
    <t>三城</t>
  </si>
  <si>
    <t>average</t>
  </si>
  <si>
    <t>s^2</t>
  </si>
  <si>
    <t>高高</t>
  </si>
  <si>
    <t>货私</t>
  </si>
  <si>
    <t>正侧</t>
  </si>
  <si>
    <t>正尾</t>
  </si>
  <si>
    <t>侧尾</t>
  </si>
  <si>
    <t>混合型</t>
  </si>
  <si>
    <t>中心隔离</t>
  </si>
  <si>
    <t>机非隔离</t>
  </si>
  <si>
    <t>中心机非隔离</t>
  </si>
  <si>
    <t>混中</t>
  </si>
  <si>
    <t>混机</t>
  </si>
  <si>
    <t>中机</t>
  </si>
  <si>
    <t>中双</t>
  </si>
  <si>
    <t>混双</t>
  </si>
  <si>
    <t>机双</t>
  </si>
  <si>
    <t>机混</t>
  </si>
  <si>
    <t>超措</t>
  </si>
  <si>
    <t>超未</t>
  </si>
  <si>
    <t>措未</t>
  </si>
  <si>
    <t>标无</t>
  </si>
  <si>
    <t>Motorway</t>
  </si>
  <si>
    <t>Mixed road</t>
  </si>
  <si>
    <t>Speeding</t>
  </si>
  <si>
    <t>Inadequate operation</t>
  </si>
  <si>
    <t>Fail to yield to traffic</t>
  </si>
  <si>
    <t>Signs and markings</t>
  </si>
  <si>
    <t>Uncontrolled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</si>
</sst>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  <family val="2"/>
      <scheme val="minor"/>
    </font>
    <font>
      <sz val="10"/>
      <name val="Helvetica"/>
    </font>
    <font>
      <sz val="10"/>
      <name val="宋体"/>
      <charset val="134"/>
    </font>
    <font>
      <sz val="10"/>
      <name val="Arial"/>
      <family val="2"/>
    </font>
    <font>
      <sz val="12"/>
      <color rgb="FF2B2B2D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宋体"/>
      <family val="2"/>
      <charset val="134"/>
    </font>
    <font>
      <sz val="11"/>
      <color rgb="FF000000"/>
      <name val="宋体"/>
      <family val="2"/>
      <charset val="134"/>
    </font>
    <font>
      <sz val="11"/>
      <color theme="1"/>
      <name val="Calibri"/>
      <scheme val="minor"/>
    </font>
    <font>
      <sz val="12"/>
      <color rgb="FF000000"/>
      <name val="宋体"/>
      <family val="2"/>
      <charset val="134"/>
    </font>
    <font>
      <b/>
      <sz val="12"/>
      <color theme="1"/>
      <name val="宋体"/>
      <family val="2"/>
      <charset val="134"/>
    </font>
    <font>
      <b/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_x0000_"/>
      <family val="2"/>
    </font>
    <font>
      <sz val="9"/>
      <color theme="1"/>
      <name val="Times New Roman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0" borderId="0" xfId="0" applyFont="1"/>
    <xf numFmtId="49" fontId="0" fillId="0" borderId="0" xfId="0" applyNumberFormat="1"/>
    <xf numFmtId="0" fontId="5" fillId="0" borderId="0" xfId="0" applyFont="1"/>
    <xf numFmtId="0" fontId="7" fillId="0" borderId="0" xfId="89" applyFont="1" applyFill="1" applyBorder="1" applyAlignment="1">
      <alignment vertical="center"/>
    </xf>
    <xf numFmtId="3" fontId="8" fillId="0" borderId="0" xfId="89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/>
    <xf numFmtId="3" fontId="9" fillId="0" borderId="0" xfId="0" applyNumberFormat="1" applyFont="1"/>
    <xf numFmtId="49" fontId="10" fillId="0" borderId="0" xfId="0" applyNumberFormat="1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16" fontId="0" fillId="0" borderId="0" xfId="0" applyNumberFormat="1"/>
    <xf numFmtId="49" fontId="14" fillId="0" borderId="0" xfId="0" applyNumberFormat="1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0" fillId="0" borderId="0" xfId="0" applyNumberFormat="1" applyFont="1"/>
    <xf numFmtId="0" fontId="19" fillId="0" borderId="0" xfId="0" applyFont="1"/>
    <xf numFmtId="0" fontId="2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22" fillId="0" borderId="0" xfId="0" applyFont="1"/>
    <xf numFmtId="0" fontId="23" fillId="0" borderId="0" xfId="0" applyFont="1"/>
  </cellXfs>
  <cellStyles count="9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Normal" xfId="0" builtinId="0"/>
    <cellStyle name="Normal_EnrW8F071G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Total!$B$2:$B$23</c:f>
              <c:numCache>
                <c:formatCode>General</c:formatCode>
                <c:ptCount val="22"/>
                <c:pt idx="0">
                  <c:v>0.226832622508486</c:v>
                </c:pt>
                <c:pt idx="1">
                  <c:v>0.223596193930605</c:v>
                </c:pt>
                <c:pt idx="2">
                  <c:v>0.221182858693296</c:v>
                </c:pt>
                <c:pt idx="3">
                  <c:v>0.219809362683317</c:v>
                </c:pt>
                <c:pt idx="4">
                  <c:v>0.231735436305331</c:v>
                </c:pt>
                <c:pt idx="5">
                  <c:v>0.233031661067926</c:v>
                </c:pt>
                <c:pt idx="6">
                  <c:v>0.221150261943892</c:v>
                </c:pt>
                <c:pt idx="7">
                  <c:v>0.228295912118865</c:v>
                </c:pt>
                <c:pt idx="8">
                  <c:v>0.22373318438783</c:v>
                </c:pt>
                <c:pt idx="9">
                  <c:v>0.219144361672992</c:v>
                </c:pt>
                <c:pt idx="10">
                  <c:v>0.217671314302831</c:v>
                </c:pt>
                <c:pt idx="11">
                  <c:v>0.211392526656207</c:v>
                </c:pt>
                <c:pt idx="12">
                  <c:v>0.211076867437673</c:v>
                </c:pt>
                <c:pt idx="13">
                  <c:v>0.207465855183759</c:v>
                </c:pt>
                <c:pt idx="14">
                  <c:v>0.197183609240705</c:v>
                </c:pt>
                <c:pt idx="15">
                  <c:v>0.194678596907176</c:v>
                </c:pt>
                <c:pt idx="16">
                  <c:v>0.191215746484393</c:v>
                </c:pt>
                <c:pt idx="17">
                  <c:v>0.186880970276295</c:v>
                </c:pt>
                <c:pt idx="18">
                  <c:v>0.180289781018397</c:v>
                </c:pt>
                <c:pt idx="19">
                  <c:v>0.173689718356068</c:v>
                </c:pt>
                <c:pt idx="20">
                  <c:v>0.155444162020777</c:v>
                </c:pt>
                <c:pt idx="21">
                  <c:v>0.167851457807616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Total!$C$2:$C$23</c:f>
              <c:numCache>
                <c:formatCode>General</c:formatCode>
                <c:ptCount val="22"/>
                <c:pt idx="11">
                  <c:v>1.445769669327252</c:v>
                </c:pt>
                <c:pt idx="12">
                  <c:v>1.452404277285024</c:v>
                </c:pt>
                <c:pt idx="13">
                  <c:v>1.43907940270582</c:v>
                </c:pt>
                <c:pt idx="14">
                  <c:v>1.434569402062533</c:v>
                </c:pt>
                <c:pt idx="15">
                  <c:v>1.419411691179534</c:v>
                </c:pt>
                <c:pt idx="16">
                  <c:v>1.422033335993045</c:v>
                </c:pt>
                <c:pt idx="17">
                  <c:v>1.433624408753054</c:v>
                </c:pt>
                <c:pt idx="18">
                  <c:v>1.440745696761553</c:v>
                </c:pt>
                <c:pt idx="19">
                  <c:v>1.446078067259661</c:v>
                </c:pt>
                <c:pt idx="20">
                  <c:v>1.451367996821252</c:v>
                </c:pt>
                <c:pt idx="21">
                  <c:v>1.438834262149992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Total!$D$2:$D$23</c:f>
              <c:numCache>
                <c:formatCode>General</c:formatCode>
                <c:ptCount val="22"/>
                <c:pt idx="0">
                  <c:v>1.452572075313859</c:v>
                </c:pt>
                <c:pt idx="1">
                  <c:v>1.447948149640674</c:v>
                </c:pt>
                <c:pt idx="2">
                  <c:v>1.44520165734295</c:v>
                </c:pt>
                <c:pt idx="3">
                  <c:v>1.440523636363636</c:v>
                </c:pt>
                <c:pt idx="4">
                  <c:v>1.426736283772584</c:v>
                </c:pt>
                <c:pt idx="5">
                  <c:v>1.427727925745963</c:v>
                </c:pt>
                <c:pt idx="6">
                  <c:v>1.420960719582795</c:v>
                </c:pt>
                <c:pt idx="7">
                  <c:v>1.41824411750611</c:v>
                </c:pt>
                <c:pt idx="8">
                  <c:v>1.42275318160258</c:v>
                </c:pt>
                <c:pt idx="9">
                  <c:v>1.41017795766278</c:v>
                </c:pt>
                <c:pt idx="10">
                  <c:v>1.400394314610264</c:v>
                </c:pt>
                <c:pt idx="11">
                  <c:v>1.384770225705598</c:v>
                </c:pt>
                <c:pt idx="12">
                  <c:v>1.375566511804305</c:v>
                </c:pt>
                <c:pt idx="13">
                  <c:v>1.348481489691864</c:v>
                </c:pt>
                <c:pt idx="14">
                  <c:v>1.334570792832884</c:v>
                </c:pt>
                <c:pt idx="15">
                  <c:v>1.341543921916593</c:v>
                </c:pt>
                <c:pt idx="16">
                  <c:v>1.330286767361068</c:v>
                </c:pt>
                <c:pt idx="17">
                  <c:v>1.326668471306231</c:v>
                </c:pt>
                <c:pt idx="18">
                  <c:v>1.316645857666438</c:v>
                </c:pt>
                <c:pt idx="19">
                  <c:v>1.316559496646615</c:v>
                </c:pt>
                <c:pt idx="20">
                  <c:v>1.314543454999405</c:v>
                </c:pt>
                <c:pt idx="21">
                  <c:v>1.310500738188976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Total!$E$2:$E$23</c:f>
              <c:numCache>
                <c:formatCode>General</c:formatCode>
                <c:ptCount val="22"/>
                <c:pt idx="0">
                  <c:v>1.322546511627907</c:v>
                </c:pt>
                <c:pt idx="1">
                  <c:v>1.320203389830509</c:v>
                </c:pt>
                <c:pt idx="2">
                  <c:v>1.33574678111588</c:v>
                </c:pt>
                <c:pt idx="3">
                  <c:v>1.33543231441048</c:v>
                </c:pt>
                <c:pt idx="4">
                  <c:v>1.348931623931624</c:v>
                </c:pt>
                <c:pt idx="5">
                  <c:v>1.344679653679654</c:v>
                </c:pt>
                <c:pt idx="6">
                  <c:v>1.358466101694915</c:v>
                </c:pt>
                <c:pt idx="7">
                  <c:v>1.364995833333333</c:v>
                </c:pt>
                <c:pt idx="8">
                  <c:v>1.361594142259414</c:v>
                </c:pt>
                <c:pt idx="9">
                  <c:v>1.363502127659574</c:v>
                </c:pt>
                <c:pt idx="10">
                  <c:v>1.369269230769231</c:v>
                </c:pt>
                <c:pt idx="11">
                  <c:v>1.368777292576419</c:v>
                </c:pt>
                <c:pt idx="12">
                  <c:v>1.362301801801802</c:v>
                </c:pt>
                <c:pt idx="13">
                  <c:v>1.357514018691589</c:v>
                </c:pt>
                <c:pt idx="14">
                  <c:v>1.358555555555555</c:v>
                </c:pt>
                <c:pt idx="15">
                  <c:v>1.362819095477387</c:v>
                </c:pt>
                <c:pt idx="16">
                  <c:v>1.365989417989418</c:v>
                </c:pt>
                <c:pt idx="17">
                  <c:v>1.362340659340659</c:v>
                </c:pt>
                <c:pt idx="18">
                  <c:v>1.348175438596491</c:v>
                </c:pt>
                <c:pt idx="19">
                  <c:v>1.355012195121951</c:v>
                </c:pt>
                <c:pt idx="20">
                  <c:v>1.356168831168831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Total!$F$2:$F$23</c:f>
              <c:numCache>
                <c:formatCode>General</c:formatCode>
                <c:ptCount val="22"/>
                <c:pt idx="0">
                  <c:v>0.506129309516223</c:v>
                </c:pt>
                <c:pt idx="1">
                  <c:v>0.513028252878407</c:v>
                </c:pt>
                <c:pt idx="2">
                  <c:v>0.518115397371136</c:v>
                </c:pt>
                <c:pt idx="3">
                  <c:v>0.52233186999819</c:v>
                </c:pt>
                <c:pt idx="4">
                  <c:v>0.509028649683466</c:v>
                </c:pt>
                <c:pt idx="5">
                  <c:v>0.523492872138836</c:v>
                </c:pt>
                <c:pt idx="6">
                  <c:v>0.520768265933071</c:v>
                </c:pt>
                <c:pt idx="7">
                  <c:v>0.511707541602702</c:v>
                </c:pt>
                <c:pt idx="8">
                  <c:v>0.510458400274178</c:v>
                </c:pt>
                <c:pt idx="9">
                  <c:v>0.52204749264059</c:v>
                </c:pt>
                <c:pt idx="10">
                  <c:v>0.505299498375256</c:v>
                </c:pt>
                <c:pt idx="11">
                  <c:v>0.486301754414821</c:v>
                </c:pt>
                <c:pt idx="12">
                  <c:v>0.470060205443317</c:v>
                </c:pt>
                <c:pt idx="13">
                  <c:v>0.463259457439252</c:v>
                </c:pt>
                <c:pt idx="14">
                  <c:v>0.458049123551798</c:v>
                </c:pt>
                <c:pt idx="15">
                  <c:v>0.44525574938914</c:v>
                </c:pt>
                <c:pt idx="16">
                  <c:v>0.438184943346236</c:v>
                </c:pt>
                <c:pt idx="17">
                  <c:v>0.420283638401543</c:v>
                </c:pt>
                <c:pt idx="18">
                  <c:v>0.410122725675401</c:v>
                </c:pt>
                <c:pt idx="19">
                  <c:v>0.40891632971129</c:v>
                </c:pt>
                <c:pt idx="20">
                  <c:v>0.419231290866332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Total!$G$2:$G$23</c:f>
              <c:numCache>
                <c:formatCode>General</c:formatCode>
                <c:ptCount val="22"/>
                <c:pt idx="0">
                  <c:v>0.816402114288226</c:v>
                </c:pt>
                <c:pt idx="1">
                  <c:v>0.813055808350672</c:v>
                </c:pt>
                <c:pt idx="2">
                  <c:v>0.889235931627226</c:v>
                </c:pt>
                <c:pt idx="3">
                  <c:v>0.84904040966729</c:v>
                </c:pt>
                <c:pt idx="4">
                  <c:v>0.848708472530636</c:v>
                </c:pt>
                <c:pt idx="5">
                  <c:v>0.849026827985271</c:v>
                </c:pt>
                <c:pt idx="6">
                  <c:v>0.862408537115248</c:v>
                </c:pt>
                <c:pt idx="7">
                  <c:v>0.867765443745747</c:v>
                </c:pt>
                <c:pt idx="8">
                  <c:v>0.869005486393801</c:v>
                </c:pt>
                <c:pt idx="9">
                  <c:v>0.895240517366662</c:v>
                </c:pt>
                <c:pt idx="10">
                  <c:v>0.830791074458929</c:v>
                </c:pt>
                <c:pt idx="11">
                  <c:v>0.864218545300887</c:v>
                </c:pt>
                <c:pt idx="12">
                  <c:v>0.868481265286747</c:v>
                </c:pt>
                <c:pt idx="13">
                  <c:v>0.89668872386357</c:v>
                </c:pt>
                <c:pt idx="14">
                  <c:v>1.135264506486911</c:v>
                </c:pt>
                <c:pt idx="15">
                  <c:v>1.26295157844239</c:v>
                </c:pt>
                <c:pt idx="16">
                  <c:v>1.374393118979041</c:v>
                </c:pt>
                <c:pt idx="17">
                  <c:v>1.412219712782961</c:v>
                </c:pt>
                <c:pt idx="18">
                  <c:v>1.426837453432075</c:v>
                </c:pt>
                <c:pt idx="19">
                  <c:v>1.438567490801381</c:v>
                </c:pt>
                <c:pt idx="20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422152"/>
        <c:axId val="-2048980472"/>
      </c:lineChart>
      <c:catAx>
        <c:axId val="-204942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980472"/>
        <c:crosses val="autoZero"/>
        <c:auto val="1"/>
        <c:lblAlgn val="ctr"/>
        <c:lblOffset val="100"/>
        <c:noMultiLvlLbl val="0"/>
      </c:catAx>
      <c:valAx>
        <c:axId val="-204898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42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</a:t>
            </a:r>
            <a:r>
              <a:rPr lang="en-US" baseline="0"/>
              <a:t> - </a:t>
            </a:r>
            <a:r>
              <a:rPr lang="zh-CN" altLang="en-US" baseline="0"/>
              <a:t>死亡涉及车辆数</a:t>
            </a:r>
            <a:endParaRPr lang="en-US"/>
          </a:p>
        </c:rich>
      </c:tx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'All-交通方式'!$A$89</c:f>
              <c:strCache>
                <c:ptCount val="1"/>
                <c:pt idx="0">
                  <c:v>Bikes</c:v>
                </c:pt>
              </c:strCache>
            </c:strRef>
          </c:tx>
          <c:val>
            <c:numRef>
              <c:f>'All-交通方式'!$B$89:$L$89</c:f>
              <c:numCache>
                <c:formatCode>General</c:formatCode>
                <c:ptCount val="11"/>
                <c:pt idx="0">
                  <c:v>118871.0</c:v>
                </c:pt>
                <c:pt idx="1">
                  <c:v>115848.0</c:v>
                </c:pt>
                <c:pt idx="2">
                  <c:v>119623.0</c:v>
                </c:pt>
                <c:pt idx="3">
                  <c:v>116953.0</c:v>
                </c:pt>
                <c:pt idx="4">
                  <c:v>113905.0</c:v>
                </c:pt>
                <c:pt idx="5">
                  <c:v>114249.0</c:v>
                </c:pt>
                <c:pt idx="6">
                  <c:v>114691.0</c:v>
                </c:pt>
                <c:pt idx="7">
                  <c:v>105601.0</c:v>
                </c:pt>
                <c:pt idx="8">
                  <c:v>103372.0</c:v>
                </c:pt>
                <c:pt idx="9">
                  <c:v>96552.0</c:v>
                </c:pt>
                <c:pt idx="10">
                  <c:v>101929.0</c:v>
                </c:pt>
              </c:numCache>
            </c:numRef>
          </c:val>
        </c:ser>
        <c:ser>
          <c:idx val="1"/>
          <c:order val="1"/>
          <c:tx>
            <c:strRef>
              <c:f>'All-交通方式'!$A$88</c:f>
              <c:strCache>
                <c:ptCount val="1"/>
                <c:pt idx="0">
                  <c:v>Vehicle 4+</c:v>
                </c:pt>
              </c:strCache>
            </c:strRef>
          </c:tx>
          <c:val>
            <c:numRef>
              <c:f>'All-交通方式'!$B$88:$L$88</c:f>
              <c:numCache>
                <c:formatCode>General</c:formatCode>
                <c:ptCount val="11"/>
                <c:pt idx="0">
                  <c:v>377460.0</c:v>
                </c:pt>
                <c:pt idx="1">
                  <c:v>388489.0</c:v>
                </c:pt>
                <c:pt idx="2">
                  <c:v>361402.0</c:v>
                </c:pt>
                <c:pt idx="3">
                  <c:v>347058.0</c:v>
                </c:pt>
                <c:pt idx="4">
                  <c:v>342364.0</c:v>
                </c:pt>
                <c:pt idx="5">
                  <c:v>336413.0</c:v>
                </c:pt>
                <c:pt idx="6">
                  <c:v>322770.0</c:v>
                </c:pt>
                <c:pt idx="7">
                  <c:v>305559.0</c:v>
                </c:pt>
                <c:pt idx="8">
                  <c:v>298802.0</c:v>
                </c:pt>
                <c:pt idx="9">
                  <c:v>298132.0</c:v>
                </c:pt>
                <c:pt idx="10">
                  <c:v>284725.0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066200"/>
        <c:axId val="-2049063224"/>
      </c:areaChart>
      <c:catAx>
        <c:axId val="-204906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063224"/>
        <c:crosses val="autoZero"/>
        <c:auto val="1"/>
        <c:lblAlgn val="ctr"/>
        <c:lblOffset val="100"/>
        <c:noMultiLvlLbl val="0"/>
      </c:catAx>
      <c:valAx>
        <c:axId val="-2049063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490662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 w="38100" cmpd="sng">
      <a:solidFill>
        <a:schemeClr val="accent3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 - </a:t>
            </a:r>
            <a:r>
              <a:rPr lang="zh-CN" altLang="en-US"/>
              <a:t>死亡数</a:t>
            </a:r>
            <a:r>
              <a:rPr lang="en-US" altLang="zh-CN" baseline="0"/>
              <a:t>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'All-交通方式'!$A$95</c:f>
              <c:strCache>
                <c:ptCount val="1"/>
                <c:pt idx="0">
                  <c:v>Pede+Bike</c:v>
                </c:pt>
              </c:strCache>
            </c:strRef>
          </c:tx>
          <c:val>
            <c:numRef>
              <c:f>'All-交通方式'!$B$95:$L$95</c:f>
              <c:numCache>
                <c:formatCode>General</c:formatCode>
                <c:ptCount val="11"/>
                <c:pt idx="0">
                  <c:v>932.0</c:v>
                </c:pt>
                <c:pt idx="1">
                  <c:v>1069.0</c:v>
                </c:pt>
                <c:pt idx="2">
                  <c:v>807.0</c:v>
                </c:pt>
                <c:pt idx="3">
                  <c:v>739.0</c:v>
                </c:pt>
                <c:pt idx="4">
                  <c:v>729.0</c:v>
                </c:pt>
                <c:pt idx="5">
                  <c:v>723.0</c:v>
                </c:pt>
                <c:pt idx="6">
                  <c:v>571.0</c:v>
                </c:pt>
                <c:pt idx="7">
                  <c:v>596.0</c:v>
                </c:pt>
                <c:pt idx="8">
                  <c:v>611.0</c:v>
                </c:pt>
                <c:pt idx="9">
                  <c:v>569.0</c:v>
                </c:pt>
                <c:pt idx="10">
                  <c:v>561.0</c:v>
                </c:pt>
              </c:numCache>
            </c:numRef>
          </c:val>
        </c:ser>
        <c:ser>
          <c:idx val="1"/>
          <c:order val="1"/>
          <c:tx>
            <c:strRef>
              <c:f>'All-交通方式'!$A$96</c:f>
              <c:strCache>
                <c:ptCount val="1"/>
                <c:pt idx="0">
                  <c:v>Vehicle</c:v>
                </c:pt>
              </c:strCache>
            </c:strRef>
          </c:tx>
          <c:val>
            <c:numRef>
              <c:f>'All-交通方式'!$B$96:$L$96</c:f>
              <c:numCache>
                <c:formatCode>General</c:formatCode>
                <c:ptCount val="11"/>
                <c:pt idx="0">
                  <c:v>6164.0</c:v>
                </c:pt>
                <c:pt idx="1">
                  <c:v>5911.0</c:v>
                </c:pt>
                <c:pt idx="2">
                  <c:v>5756.0</c:v>
                </c:pt>
                <c:pt idx="3">
                  <c:v>5383.0</c:v>
                </c:pt>
                <c:pt idx="4">
                  <c:v>5089.0</c:v>
                </c:pt>
                <c:pt idx="5">
                  <c:v>4946.0</c:v>
                </c:pt>
                <c:pt idx="6">
                  <c:v>4560.0</c:v>
                </c:pt>
                <c:pt idx="7">
                  <c:v>4129.0</c:v>
                </c:pt>
                <c:pt idx="8">
                  <c:v>3626.0</c:v>
                </c:pt>
                <c:pt idx="9">
                  <c:v>3521.0</c:v>
                </c:pt>
                <c:pt idx="10">
                  <c:v>3299.0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69160"/>
        <c:axId val="-2134800856"/>
      </c:areaChart>
      <c:catAx>
        <c:axId val="-213486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00856"/>
        <c:crosses val="autoZero"/>
        <c:auto val="1"/>
        <c:lblAlgn val="ctr"/>
        <c:lblOffset val="100"/>
        <c:noMultiLvlLbl val="0"/>
      </c:catAx>
      <c:valAx>
        <c:axId val="-2134800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48691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 w="38100" cmpd="sng">
      <a:solidFill>
        <a:srgbClr val="9BBB59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道路类型!$A$35</c:f>
              <c:strCache>
                <c:ptCount val="1"/>
                <c:pt idx="0">
                  <c:v>高速公路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道路类型!$B$35:$L$35</c:f>
              <c:numCache>
                <c:formatCode>General</c:formatCode>
                <c:ptCount val="11"/>
                <c:pt idx="0">
                  <c:v>0.508630882005202</c:v>
                </c:pt>
                <c:pt idx="1">
                  <c:v>0.534296763688174</c:v>
                </c:pt>
                <c:pt idx="2">
                  <c:v>0.546418560670021</c:v>
                </c:pt>
                <c:pt idx="3">
                  <c:v>0.555368618473674</c:v>
                </c:pt>
                <c:pt idx="4">
                  <c:v>0.876645140194556</c:v>
                </c:pt>
                <c:pt idx="5">
                  <c:v>1.215763980625275</c:v>
                </c:pt>
                <c:pt idx="6">
                  <c:v>1.64654933481153</c:v>
                </c:pt>
                <c:pt idx="7">
                  <c:v>1.670818505338078</c:v>
                </c:pt>
                <c:pt idx="8">
                  <c:v>1.826143067846608</c:v>
                </c:pt>
                <c:pt idx="9">
                  <c:v>2.05619328741664</c:v>
                </c:pt>
                <c:pt idx="10">
                  <c:v>2.065876288659794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道路类型!$A$36</c:f>
              <c:strCache>
                <c:ptCount val="1"/>
                <c:pt idx="0">
                  <c:v>一级公路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道路类型!$B$36:$L$36</c:f>
              <c:numCache>
                <c:formatCode>General</c:formatCode>
                <c:ptCount val="11"/>
                <c:pt idx="0">
                  <c:v>0.817504072171407</c:v>
                </c:pt>
                <c:pt idx="1">
                  <c:v>0.897144231124921</c:v>
                </c:pt>
                <c:pt idx="2">
                  <c:v>0.870383394802299</c:v>
                </c:pt>
                <c:pt idx="3">
                  <c:v>0.950800414144632</c:v>
                </c:pt>
                <c:pt idx="4">
                  <c:v>1.179282194957009</c:v>
                </c:pt>
                <c:pt idx="5">
                  <c:v>1.314916639713017</c:v>
                </c:pt>
                <c:pt idx="6">
                  <c:v>1.403147323739518</c:v>
                </c:pt>
                <c:pt idx="7">
                  <c:v>1.433162627525304</c:v>
                </c:pt>
                <c:pt idx="8">
                  <c:v>1.471085343683978</c:v>
                </c:pt>
                <c:pt idx="9">
                  <c:v>1.462174812234679</c:v>
                </c:pt>
                <c:pt idx="10">
                  <c:v>1.460085592011412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道路类型!$A$37</c:f>
              <c:strCache>
                <c:ptCount val="1"/>
                <c:pt idx="0">
                  <c:v>二级公路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道路类型!$B$37:$L$37</c:f>
              <c:numCache>
                <c:formatCode>General</c:formatCode>
                <c:ptCount val="11"/>
                <c:pt idx="0">
                  <c:v>0.960800590296993</c:v>
                </c:pt>
                <c:pt idx="1">
                  <c:v>0.992788345191423</c:v>
                </c:pt>
                <c:pt idx="2">
                  <c:v>1.009815950920245</c:v>
                </c:pt>
                <c:pt idx="3">
                  <c:v>1.082662425402545</c:v>
                </c:pt>
                <c:pt idx="4">
                  <c:v>1.281962466094861</c:v>
                </c:pt>
                <c:pt idx="5">
                  <c:v>1.372298930854779</c:v>
                </c:pt>
                <c:pt idx="6">
                  <c:v>1.468456253340808</c:v>
                </c:pt>
                <c:pt idx="7">
                  <c:v>1.516861358745773</c:v>
                </c:pt>
                <c:pt idx="8">
                  <c:v>1.52498017446471</c:v>
                </c:pt>
                <c:pt idx="9">
                  <c:v>1.544493858534519</c:v>
                </c:pt>
                <c:pt idx="10">
                  <c:v>1.561699678672486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道路类型!$A$38</c:f>
              <c:strCache>
                <c:ptCount val="1"/>
                <c:pt idx="0">
                  <c:v>三级公路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道路类型!$B$38:$L$38</c:f>
              <c:numCache>
                <c:formatCode>General</c:formatCode>
                <c:ptCount val="11"/>
                <c:pt idx="0">
                  <c:v>1.041448199318765</c:v>
                </c:pt>
                <c:pt idx="1">
                  <c:v>1.052044825838823</c:v>
                </c:pt>
                <c:pt idx="2">
                  <c:v>1.073929763336665</c:v>
                </c:pt>
                <c:pt idx="3">
                  <c:v>1.095885337950776</c:v>
                </c:pt>
                <c:pt idx="4">
                  <c:v>1.304554964583701</c:v>
                </c:pt>
                <c:pt idx="5">
                  <c:v>1.381613943749646</c:v>
                </c:pt>
                <c:pt idx="6">
                  <c:v>1.487790812924618</c:v>
                </c:pt>
                <c:pt idx="7">
                  <c:v>1.518381019437155</c:v>
                </c:pt>
                <c:pt idx="8">
                  <c:v>1.518642255779767</c:v>
                </c:pt>
                <c:pt idx="9">
                  <c:v>1.522516738512336</c:v>
                </c:pt>
                <c:pt idx="10">
                  <c:v>1.532112315202714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道路类型!$A$39</c:f>
              <c:strCache>
                <c:ptCount val="1"/>
                <c:pt idx="0">
                  <c:v>四级公路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道路类型!$B$39:$L$39</c:f>
              <c:numCache>
                <c:formatCode>General</c:formatCode>
                <c:ptCount val="11"/>
                <c:pt idx="0">
                  <c:v>1.116068593204192</c:v>
                </c:pt>
                <c:pt idx="1">
                  <c:v>1.145099828864803</c:v>
                </c:pt>
                <c:pt idx="2">
                  <c:v>1.114144810580587</c:v>
                </c:pt>
                <c:pt idx="3">
                  <c:v>1.16441894692578</c:v>
                </c:pt>
                <c:pt idx="4">
                  <c:v>1.380460376032332</c:v>
                </c:pt>
                <c:pt idx="5">
                  <c:v>1.404912720041246</c:v>
                </c:pt>
                <c:pt idx="6">
                  <c:v>1.473306555395234</c:v>
                </c:pt>
                <c:pt idx="7">
                  <c:v>1.496345402005779</c:v>
                </c:pt>
                <c:pt idx="8">
                  <c:v>1.521600083883821</c:v>
                </c:pt>
                <c:pt idx="9">
                  <c:v>1.494836182336182</c:v>
                </c:pt>
                <c:pt idx="10">
                  <c:v>1.513474240422721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道路类型!$A$40</c:f>
              <c:strCache>
                <c:ptCount val="1"/>
                <c:pt idx="0">
                  <c:v>等外公路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道路类型!$B$40:$L$40</c:f>
              <c:numCache>
                <c:formatCode>General</c:formatCode>
                <c:ptCount val="11"/>
                <c:pt idx="0">
                  <c:v>1.140937034632861</c:v>
                </c:pt>
                <c:pt idx="1">
                  <c:v>1.086118591266698</c:v>
                </c:pt>
                <c:pt idx="2">
                  <c:v>1.108588867897108</c:v>
                </c:pt>
                <c:pt idx="3">
                  <c:v>1.18948947876103</c:v>
                </c:pt>
                <c:pt idx="4">
                  <c:v>1.336377697576784</c:v>
                </c:pt>
                <c:pt idx="5">
                  <c:v>1.338474462365591</c:v>
                </c:pt>
                <c:pt idx="6">
                  <c:v>1.421155904388156</c:v>
                </c:pt>
                <c:pt idx="7">
                  <c:v>1.463106422724026</c:v>
                </c:pt>
                <c:pt idx="8">
                  <c:v>1.445339071284792</c:v>
                </c:pt>
                <c:pt idx="9">
                  <c:v>1.462325161678448</c:v>
                </c:pt>
                <c:pt idx="10">
                  <c:v>1.46813296675831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道路类型!$A$41</c:f>
              <c:strCache>
                <c:ptCount val="1"/>
                <c:pt idx="0">
                  <c:v>城市快速路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道路类型!$B$41:$L$41</c:f>
              <c:numCache>
                <c:formatCode>General</c:formatCode>
                <c:ptCount val="11"/>
                <c:pt idx="0">
                  <c:v>0.425240788870203</c:v>
                </c:pt>
                <c:pt idx="1">
                  <c:v>0.516834094368341</c:v>
                </c:pt>
                <c:pt idx="2">
                  <c:v>0.489829871732947</c:v>
                </c:pt>
                <c:pt idx="3">
                  <c:v>0.458963051761784</c:v>
                </c:pt>
                <c:pt idx="4">
                  <c:v>0.848848341499127</c:v>
                </c:pt>
                <c:pt idx="5">
                  <c:v>1.218073316283035</c:v>
                </c:pt>
                <c:pt idx="6">
                  <c:v>1.243688888888889</c:v>
                </c:pt>
                <c:pt idx="7">
                  <c:v>1.313548387096774</c:v>
                </c:pt>
                <c:pt idx="8">
                  <c:v>1.325544024104453</c:v>
                </c:pt>
                <c:pt idx="9">
                  <c:v>1.325671878377405</c:v>
                </c:pt>
                <c:pt idx="10">
                  <c:v>1.356894741093788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道路类型!$A$42</c:f>
              <c:strCache>
                <c:ptCount val="1"/>
                <c:pt idx="0">
                  <c:v>城市道路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道路类型!$B$42:$L$42</c:f>
              <c:numCache>
                <c:formatCode>General</c:formatCode>
                <c:ptCount val="11"/>
                <c:pt idx="0">
                  <c:v>0.599320730662736</c:v>
                </c:pt>
                <c:pt idx="1">
                  <c:v>0.659357195769453</c:v>
                </c:pt>
                <c:pt idx="2">
                  <c:v>0.677292285088903</c:v>
                </c:pt>
                <c:pt idx="3">
                  <c:v>0.695391540660415</c:v>
                </c:pt>
                <c:pt idx="4">
                  <c:v>0.941644447200347</c:v>
                </c:pt>
                <c:pt idx="5">
                  <c:v>1.109164930884302</c:v>
                </c:pt>
                <c:pt idx="6">
                  <c:v>1.23236989980658</c:v>
                </c:pt>
                <c:pt idx="7">
                  <c:v>1.277647813845644</c:v>
                </c:pt>
                <c:pt idx="8">
                  <c:v>1.283483522142121</c:v>
                </c:pt>
                <c:pt idx="9">
                  <c:v>1.28372930783086</c:v>
                </c:pt>
                <c:pt idx="10">
                  <c:v>1.301147473890043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道路类型!$A$43</c:f>
              <c:strCache>
                <c:ptCount val="1"/>
                <c:pt idx="0">
                  <c:v>其他城市道路</c:v>
                </c:pt>
              </c:strCache>
            </c:strRef>
          </c:tx>
          <c:marker>
            <c:symbol val="none"/>
          </c:marker>
          <c:cat>
            <c:numRef>
              <c:f>道路类型!$B$34:$L$34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道路类型!$B$43:$L$43</c:f>
              <c:numCache>
                <c:formatCode>General</c:formatCode>
                <c:ptCount val="11"/>
                <c:pt idx="0">
                  <c:v>0.783185994106431</c:v>
                </c:pt>
                <c:pt idx="1">
                  <c:v>0.872172206832872</c:v>
                </c:pt>
                <c:pt idx="2">
                  <c:v>0.87980472476292</c:v>
                </c:pt>
                <c:pt idx="3">
                  <c:v>0.975235935328115</c:v>
                </c:pt>
                <c:pt idx="4">
                  <c:v>1.098571576799364</c:v>
                </c:pt>
                <c:pt idx="5">
                  <c:v>1.124321657622102</c:v>
                </c:pt>
                <c:pt idx="6">
                  <c:v>1.229019641186974</c:v>
                </c:pt>
                <c:pt idx="7">
                  <c:v>1.246093572046832</c:v>
                </c:pt>
                <c:pt idx="8">
                  <c:v>1.258315150870097</c:v>
                </c:pt>
                <c:pt idx="9">
                  <c:v>1.279222314147264</c:v>
                </c:pt>
                <c:pt idx="10">
                  <c:v>1.302503391293624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626712"/>
        <c:axId val="-2049623800"/>
      </c:lineChart>
      <c:catAx>
        <c:axId val="-204962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623800"/>
        <c:crosses val="autoZero"/>
        <c:auto val="1"/>
        <c:lblAlgn val="ctr"/>
        <c:lblOffset val="100"/>
        <c:noMultiLvlLbl val="0"/>
      </c:catAx>
      <c:valAx>
        <c:axId val="-204962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62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道路类型!$A$46</c:f>
              <c:strCache>
                <c:ptCount val="1"/>
                <c:pt idx="0">
                  <c:v>高速公路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道路类型!$B$46:$L$46</c:f>
              <c:numCache>
                <c:formatCode>General</c:formatCode>
                <c:ptCount val="11"/>
                <c:pt idx="0">
                  <c:v>0.251278475127847</c:v>
                </c:pt>
                <c:pt idx="1">
                  <c:v>0.239771428571429</c:v>
                </c:pt>
                <c:pt idx="2">
                  <c:v>0.242707045735476</c:v>
                </c:pt>
                <c:pt idx="3">
                  <c:v>0.261670639650377</c:v>
                </c:pt>
                <c:pt idx="4">
                  <c:v>0.290703095859754</c:v>
                </c:pt>
                <c:pt idx="5">
                  <c:v>0.290067004708439</c:v>
                </c:pt>
                <c:pt idx="6">
                  <c:v>0.279720574001599</c:v>
                </c:pt>
                <c:pt idx="7">
                  <c:v>0.291896601800755</c:v>
                </c:pt>
                <c:pt idx="8">
                  <c:v>0.304997476022211</c:v>
                </c:pt>
                <c:pt idx="9">
                  <c:v>0.320501914079115</c:v>
                </c:pt>
                <c:pt idx="10">
                  <c:v>0.31438694545636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道路类型!$A$47</c:f>
              <c:strCache>
                <c:ptCount val="1"/>
                <c:pt idx="0">
                  <c:v>一级公路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道路类型!$B$47:$L$47</c:f>
              <c:numCache>
                <c:formatCode>General</c:formatCode>
                <c:ptCount val="11"/>
                <c:pt idx="0">
                  <c:v>0.221651722992822</c:v>
                </c:pt>
                <c:pt idx="1">
                  <c:v>0.19360890629832</c:v>
                </c:pt>
                <c:pt idx="2">
                  <c:v>0.195746861388675</c:v>
                </c:pt>
                <c:pt idx="3">
                  <c:v>0.202563189747241</c:v>
                </c:pt>
                <c:pt idx="4">
                  <c:v>0.212218649517685</c:v>
                </c:pt>
                <c:pt idx="5">
                  <c:v>0.20874795948031</c:v>
                </c:pt>
                <c:pt idx="6">
                  <c:v>0.213187732113431</c:v>
                </c:pt>
                <c:pt idx="7">
                  <c:v>0.214147041445092</c:v>
                </c:pt>
                <c:pt idx="8">
                  <c:v>0.229685047259611</c:v>
                </c:pt>
                <c:pt idx="9">
                  <c:v>0.227424998138912</c:v>
                </c:pt>
                <c:pt idx="10">
                  <c:v>0.234953884633422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道路类型!$A$48</c:f>
              <c:strCache>
                <c:ptCount val="1"/>
                <c:pt idx="0">
                  <c:v>二级公路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道路类型!$B$48:$L$48</c:f>
              <c:numCache>
                <c:formatCode>General</c:formatCode>
                <c:ptCount val="11"/>
                <c:pt idx="0">
                  <c:v>0.207523205411273</c:v>
                </c:pt>
                <c:pt idx="1">
                  <c:v>0.18700638650546</c:v>
                </c:pt>
                <c:pt idx="2">
                  <c:v>0.189111815784014</c:v>
                </c:pt>
                <c:pt idx="3">
                  <c:v>0.20093342520248</c:v>
                </c:pt>
                <c:pt idx="4">
                  <c:v>0.220103218058871</c:v>
                </c:pt>
                <c:pt idx="5">
                  <c:v>0.217276236561666</c:v>
                </c:pt>
                <c:pt idx="6">
                  <c:v>0.215306077151862</c:v>
                </c:pt>
                <c:pt idx="7">
                  <c:v>0.221903594191738</c:v>
                </c:pt>
                <c:pt idx="8">
                  <c:v>0.240262293418566</c:v>
                </c:pt>
                <c:pt idx="9">
                  <c:v>0.241392549121773</c:v>
                </c:pt>
                <c:pt idx="10">
                  <c:v>0.252648711728035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道路类型!$A$49</c:f>
              <c:strCache>
                <c:ptCount val="1"/>
                <c:pt idx="0">
                  <c:v>三级公路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道路类型!$B$49:$L$49</c:f>
              <c:numCache>
                <c:formatCode>General</c:formatCode>
                <c:ptCount val="11"/>
                <c:pt idx="0">
                  <c:v>0.196429883874761</c:v>
                </c:pt>
                <c:pt idx="1">
                  <c:v>0.183896337707869</c:v>
                </c:pt>
                <c:pt idx="2">
                  <c:v>0.18427902134305</c:v>
                </c:pt>
                <c:pt idx="3">
                  <c:v>0.202354531422674</c:v>
                </c:pt>
                <c:pt idx="4">
                  <c:v>0.209852568933202</c:v>
                </c:pt>
                <c:pt idx="5">
                  <c:v>0.201714145282517</c:v>
                </c:pt>
                <c:pt idx="6">
                  <c:v>0.198391453384852</c:v>
                </c:pt>
                <c:pt idx="7">
                  <c:v>0.201953207335066</c:v>
                </c:pt>
                <c:pt idx="8">
                  <c:v>0.220767335445266</c:v>
                </c:pt>
                <c:pt idx="9">
                  <c:v>0.217208835341365</c:v>
                </c:pt>
                <c:pt idx="10">
                  <c:v>0.225187562144084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道路类型!$A$50</c:f>
              <c:strCache>
                <c:ptCount val="1"/>
                <c:pt idx="0">
                  <c:v>四级公路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道路类型!$B$50:$L$50</c:f>
              <c:numCache>
                <c:formatCode>General</c:formatCode>
                <c:ptCount val="11"/>
                <c:pt idx="0">
                  <c:v>0.187746004647413</c:v>
                </c:pt>
                <c:pt idx="1">
                  <c:v>0.17310298102981</c:v>
                </c:pt>
                <c:pt idx="2">
                  <c:v>0.176713210735986</c:v>
                </c:pt>
                <c:pt idx="3">
                  <c:v>0.187350065777594</c:v>
                </c:pt>
                <c:pt idx="4">
                  <c:v>0.190448308342456</c:v>
                </c:pt>
                <c:pt idx="5">
                  <c:v>0.182626019030643</c:v>
                </c:pt>
                <c:pt idx="6">
                  <c:v>0.173795659078878</c:v>
                </c:pt>
                <c:pt idx="7">
                  <c:v>0.173179597864364</c:v>
                </c:pt>
                <c:pt idx="8">
                  <c:v>0.191675567653241</c:v>
                </c:pt>
                <c:pt idx="9">
                  <c:v>0.193448481238833</c:v>
                </c:pt>
                <c:pt idx="10">
                  <c:v>0.199921445404556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道路类型!$A$51</c:f>
              <c:strCache>
                <c:ptCount val="1"/>
                <c:pt idx="0">
                  <c:v>等外公路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道路类型!$B$51:$L$51</c:f>
              <c:numCache>
                <c:formatCode>General</c:formatCode>
                <c:ptCount val="11"/>
                <c:pt idx="0">
                  <c:v>0.18309906291834</c:v>
                </c:pt>
                <c:pt idx="1">
                  <c:v>0.15376762275158</c:v>
                </c:pt>
                <c:pt idx="2">
                  <c:v>0.160011536142209</c:v>
                </c:pt>
                <c:pt idx="3">
                  <c:v>0.159693647694849</c:v>
                </c:pt>
                <c:pt idx="4">
                  <c:v>0.178984788359788</c:v>
                </c:pt>
                <c:pt idx="5">
                  <c:v>0.163984635854693</c:v>
                </c:pt>
                <c:pt idx="6">
                  <c:v>0.155798920547257</c:v>
                </c:pt>
                <c:pt idx="7">
                  <c:v>0.160007510326699</c:v>
                </c:pt>
                <c:pt idx="8">
                  <c:v>0.178840704989675</c:v>
                </c:pt>
                <c:pt idx="9">
                  <c:v>0.176848709246117</c:v>
                </c:pt>
                <c:pt idx="10">
                  <c:v>0.182839632277835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道路类型!$A$52</c:f>
              <c:strCache>
                <c:ptCount val="1"/>
                <c:pt idx="0">
                  <c:v>城市快速路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道路类型!$B$52:$L$52</c:f>
              <c:numCache>
                <c:formatCode>General</c:formatCode>
                <c:ptCount val="11"/>
                <c:pt idx="0">
                  <c:v>0.15872730541075</c:v>
                </c:pt>
                <c:pt idx="1">
                  <c:v>0.129579455766286</c:v>
                </c:pt>
                <c:pt idx="2">
                  <c:v>0.137832803769037</c:v>
                </c:pt>
                <c:pt idx="3">
                  <c:v>0.150373134328358</c:v>
                </c:pt>
                <c:pt idx="4">
                  <c:v>0.139720029191269</c:v>
                </c:pt>
                <c:pt idx="5">
                  <c:v>0.132978723404255</c:v>
                </c:pt>
                <c:pt idx="6">
                  <c:v>0.138727084301183</c:v>
                </c:pt>
                <c:pt idx="7">
                  <c:v>0.146365422396857</c:v>
                </c:pt>
                <c:pt idx="8">
                  <c:v>0.160074758801839</c:v>
                </c:pt>
                <c:pt idx="9">
                  <c:v>0.166150334257297</c:v>
                </c:pt>
                <c:pt idx="10">
                  <c:v>0.179198666428529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道路类型!$A$53</c:f>
              <c:strCache>
                <c:ptCount val="1"/>
                <c:pt idx="0">
                  <c:v>城市道路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道路类型!$B$53:$L$53</c:f>
              <c:numCache>
                <c:formatCode>General</c:formatCode>
                <c:ptCount val="11"/>
                <c:pt idx="0">
                  <c:v>0.128961494357935</c:v>
                </c:pt>
                <c:pt idx="1">
                  <c:v>0.11275351748153</c:v>
                </c:pt>
                <c:pt idx="2">
                  <c:v>0.109802055260726</c:v>
                </c:pt>
                <c:pt idx="3">
                  <c:v>0.117626566844649</c:v>
                </c:pt>
                <c:pt idx="4">
                  <c:v>0.116417202799966</c:v>
                </c:pt>
                <c:pt idx="5">
                  <c:v>0.107258938244854</c:v>
                </c:pt>
                <c:pt idx="6">
                  <c:v>0.103333878814026</c:v>
                </c:pt>
                <c:pt idx="7">
                  <c:v>0.113456100979495</c:v>
                </c:pt>
                <c:pt idx="8">
                  <c:v>0.128584467557998</c:v>
                </c:pt>
                <c:pt idx="9">
                  <c:v>0.134206365114363</c:v>
                </c:pt>
                <c:pt idx="10">
                  <c:v>0.137759500454344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道路类型!$A$54</c:f>
              <c:strCache>
                <c:ptCount val="1"/>
                <c:pt idx="0">
                  <c:v>其他城市道路</c:v>
                </c:pt>
              </c:strCache>
            </c:strRef>
          </c:tx>
          <c:marker>
            <c:symbol val="none"/>
          </c:marker>
          <c:cat>
            <c:numRef>
              <c:f>道路类型!$B$45:$L$45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道路类型!$B$54:$L$54</c:f>
              <c:numCache>
                <c:formatCode>General</c:formatCode>
                <c:ptCount val="11"/>
                <c:pt idx="0">
                  <c:v>0.165464122880793</c:v>
                </c:pt>
                <c:pt idx="1">
                  <c:v>0.13676966849732</c:v>
                </c:pt>
                <c:pt idx="2">
                  <c:v>0.136041839403023</c:v>
                </c:pt>
                <c:pt idx="3">
                  <c:v>0.134991185626946</c:v>
                </c:pt>
                <c:pt idx="4">
                  <c:v>0.132481188804584</c:v>
                </c:pt>
                <c:pt idx="5">
                  <c:v>0.119538644769009</c:v>
                </c:pt>
                <c:pt idx="6">
                  <c:v>0.145456432252932</c:v>
                </c:pt>
                <c:pt idx="7">
                  <c:v>0.144298614411582</c:v>
                </c:pt>
                <c:pt idx="8">
                  <c:v>0.160795094100233</c:v>
                </c:pt>
                <c:pt idx="9">
                  <c:v>0.174573843950663</c:v>
                </c:pt>
                <c:pt idx="10">
                  <c:v>0.182541185381557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159784"/>
        <c:axId val="-2121145128"/>
      </c:lineChart>
      <c:catAx>
        <c:axId val="-204915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45128"/>
        <c:crosses val="autoZero"/>
        <c:auto val="1"/>
        <c:lblAlgn val="ctr"/>
        <c:lblOffset val="100"/>
        <c:noMultiLvlLbl val="0"/>
      </c:catAx>
      <c:valAx>
        <c:axId val="-212114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15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道路类型!$B$57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道路类型!$A$58:$A$66</c:f>
              <c:strCache>
                <c:ptCount val="9"/>
                <c:pt idx="0">
                  <c:v>二级公路</c:v>
                </c:pt>
                <c:pt idx="1">
                  <c:v>城市道路</c:v>
                </c:pt>
                <c:pt idx="2">
                  <c:v>三级公路</c:v>
                </c:pt>
                <c:pt idx="3">
                  <c:v>高速公路</c:v>
                </c:pt>
                <c:pt idx="4">
                  <c:v>一级公路</c:v>
                </c:pt>
                <c:pt idx="5">
                  <c:v>四级公路</c:v>
                </c:pt>
                <c:pt idx="6">
                  <c:v>其他城市道路</c:v>
                </c:pt>
                <c:pt idx="7">
                  <c:v>等外公路</c:v>
                </c:pt>
                <c:pt idx="8">
                  <c:v>城市快速路</c:v>
                </c:pt>
              </c:strCache>
            </c:strRef>
          </c:cat>
          <c:val>
            <c:numRef>
              <c:f>道路类型!$B$58:$B$66</c:f>
              <c:numCache>
                <c:formatCode>General</c:formatCode>
                <c:ptCount val="9"/>
                <c:pt idx="0">
                  <c:v>16454.0</c:v>
                </c:pt>
                <c:pt idx="1">
                  <c:v>11825.0</c:v>
                </c:pt>
                <c:pt idx="2">
                  <c:v>9965.0</c:v>
                </c:pt>
                <c:pt idx="3">
                  <c:v>6300.0</c:v>
                </c:pt>
                <c:pt idx="4">
                  <c:v>6012.0</c:v>
                </c:pt>
                <c:pt idx="5">
                  <c:v>4581.0</c:v>
                </c:pt>
                <c:pt idx="6">
                  <c:v>3856.0</c:v>
                </c:pt>
                <c:pt idx="7">
                  <c:v>3222.0</c:v>
                </c:pt>
                <c:pt idx="8">
                  <c:v>3010.0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814296"/>
        <c:axId val="-2049811288"/>
      </c:barChart>
      <c:catAx>
        <c:axId val="-204981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11288"/>
        <c:crosses val="autoZero"/>
        <c:auto val="1"/>
        <c:lblAlgn val="ctr"/>
        <c:lblOffset val="100"/>
        <c:noMultiLvlLbl val="0"/>
      </c:catAx>
      <c:valAx>
        <c:axId val="-204981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81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道路类型!$A$73</c:f>
              <c:strCache>
                <c:ptCount val="1"/>
                <c:pt idx="0">
                  <c:v>二级公路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道路类型!$B$73:$L$73</c:f>
              <c:numCache>
                <c:formatCode>General</c:formatCode>
                <c:ptCount val="11"/>
                <c:pt idx="0">
                  <c:v>28103.0</c:v>
                </c:pt>
                <c:pt idx="1">
                  <c:v>30687.0</c:v>
                </c:pt>
                <c:pt idx="2">
                  <c:v>31906.0</c:v>
                </c:pt>
                <c:pt idx="3">
                  <c:v>30912.0</c:v>
                </c:pt>
                <c:pt idx="4">
                  <c:v>30792.0</c:v>
                </c:pt>
                <c:pt idx="5">
                  <c:v>27749.0</c:v>
                </c:pt>
                <c:pt idx="6">
                  <c:v>24251.0</c:v>
                </c:pt>
                <c:pt idx="7">
                  <c:v>21899.0</c:v>
                </c:pt>
                <c:pt idx="8">
                  <c:v>18943.0</c:v>
                </c:pt>
                <c:pt idx="9">
                  <c:v>17605.0</c:v>
                </c:pt>
                <c:pt idx="10">
                  <c:v>16454.0</c:v>
                </c:pt>
              </c:numCache>
            </c:numRef>
          </c:val>
        </c:ser>
        <c:ser>
          <c:idx val="1"/>
          <c:order val="1"/>
          <c:tx>
            <c:strRef>
              <c:f>道路类型!$A$74</c:f>
              <c:strCache>
                <c:ptCount val="1"/>
                <c:pt idx="0">
                  <c:v>城市道路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道路类型!$B$74:$L$74</c:f>
              <c:numCache>
                <c:formatCode>General</c:formatCode>
                <c:ptCount val="11"/>
                <c:pt idx="0">
                  <c:v>15520.0</c:v>
                </c:pt>
                <c:pt idx="1">
                  <c:v>19169.0</c:v>
                </c:pt>
                <c:pt idx="2">
                  <c:v>19842.0</c:v>
                </c:pt>
                <c:pt idx="3">
                  <c:v>18571.0</c:v>
                </c:pt>
                <c:pt idx="4">
                  <c:v>17679.0</c:v>
                </c:pt>
                <c:pt idx="5">
                  <c:v>16335.0</c:v>
                </c:pt>
                <c:pt idx="6">
                  <c:v>13892.0</c:v>
                </c:pt>
                <c:pt idx="7">
                  <c:v>14004.0</c:v>
                </c:pt>
                <c:pt idx="8">
                  <c:v>12820.0</c:v>
                </c:pt>
                <c:pt idx="9">
                  <c:v>12052.0</c:v>
                </c:pt>
                <c:pt idx="10">
                  <c:v>11825.0</c:v>
                </c:pt>
              </c:numCache>
            </c:numRef>
          </c:val>
        </c:ser>
        <c:ser>
          <c:idx val="2"/>
          <c:order val="2"/>
          <c:tx>
            <c:strRef>
              <c:f>道路类型!$A$75</c:f>
              <c:strCache>
                <c:ptCount val="1"/>
                <c:pt idx="0">
                  <c:v>三级公路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道路类型!$B$75:$L$75</c:f>
              <c:numCache>
                <c:formatCode>General</c:formatCode>
                <c:ptCount val="11"/>
                <c:pt idx="0">
                  <c:v>21381.0</c:v>
                </c:pt>
                <c:pt idx="1">
                  <c:v>23289.0</c:v>
                </c:pt>
                <c:pt idx="2">
                  <c:v>23364.0</c:v>
                </c:pt>
                <c:pt idx="3">
                  <c:v>22156.0</c:v>
                </c:pt>
                <c:pt idx="4">
                  <c:v>21721.0</c:v>
                </c:pt>
                <c:pt idx="5">
                  <c:v>19699.0</c:v>
                </c:pt>
                <c:pt idx="6">
                  <c:v>16379.0</c:v>
                </c:pt>
                <c:pt idx="7">
                  <c:v>14372.0</c:v>
                </c:pt>
                <c:pt idx="8">
                  <c:v>12544.0</c:v>
                </c:pt>
                <c:pt idx="9">
                  <c:v>10817.0</c:v>
                </c:pt>
                <c:pt idx="10">
                  <c:v>9965.0</c:v>
                </c:pt>
              </c:numCache>
            </c:numRef>
          </c:val>
        </c:ser>
        <c:ser>
          <c:idx val="3"/>
          <c:order val="3"/>
          <c:tx>
            <c:strRef>
              <c:f>道路类型!$A$76</c:f>
              <c:strCache>
                <c:ptCount val="1"/>
                <c:pt idx="0">
                  <c:v>高速公路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道路类型!$B$76:$L$76</c:f>
              <c:numCache>
                <c:formatCode>General</c:formatCode>
                <c:ptCount val="11"/>
                <c:pt idx="0">
                  <c:v>2162.0</c:v>
                </c:pt>
                <c:pt idx="1">
                  <c:v>3147.0</c:v>
                </c:pt>
                <c:pt idx="2">
                  <c:v>3927.0</c:v>
                </c:pt>
                <c:pt idx="3">
                  <c:v>5269.0</c:v>
                </c:pt>
                <c:pt idx="4">
                  <c:v>6235.0</c:v>
                </c:pt>
                <c:pt idx="5">
                  <c:v>6407.0</c:v>
                </c:pt>
                <c:pt idx="6">
                  <c:v>6647.0</c:v>
                </c:pt>
                <c:pt idx="7">
                  <c:v>6030.0</c:v>
                </c:pt>
                <c:pt idx="8">
                  <c:v>6042.0</c:v>
                </c:pt>
                <c:pt idx="9">
                  <c:v>6028.0</c:v>
                </c:pt>
                <c:pt idx="10">
                  <c:v>6300.0</c:v>
                </c:pt>
              </c:numCache>
            </c:numRef>
          </c:val>
        </c:ser>
        <c:ser>
          <c:idx val="4"/>
          <c:order val="4"/>
          <c:tx>
            <c:strRef>
              <c:f>道路类型!$A$77</c:f>
              <c:strCache>
                <c:ptCount val="1"/>
                <c:pt idx="0">
                  <c:v>一级公路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道路类型!$B$77:$L$77</c:f>
              <c:numCache>
                <c:formatCode>General</c:formatCode>
                <c:ptCount val="11"/>
                <c:pt idx="0">
                  <c:v>8677.0</c:v>
                </c:pt>
                <c:pt idx="1">
                  <c:v>9391.0</c:v>
                </c:pt>
                <c:pt idx="2">
                  <c:v>9932.0</c:v>
                </c:pt>
                <c:pt idx="3">
                  <c:v>9673.0</c:v>
                </c:pt>
                <c:pt idx="4">
                  <c:v>10362.0</c:v>
                </c:pt>
                <c:pt idx="5">
                  <c:v>9335.0</c:v>
                </c:pt>
                <c:pt idx="6">
                  <c:v>8668.0</c:v>
                </c:pt>
                <c:pt idx="7">
                  <c:v>7611.0</c:v>
                </c:pt>
                <c:pt idx="8">
                  <c:v>6877.0</c:v>
                </c:pt>
                <c:pt idx="9">
                  <c:v>6110.0</c:v>
                </c:pt>
                <c:pt idx="10">
                  <c:v>6012.0</c:v>
                </c:pt>
              </c:numCache>
            </c:numRef>
          </c:val>
        </c:ser>
        <c:ser>
          <c:idx val="5"/>
          <c:order val="5"/>
          <c:tx>
            <c:strRef>
              <c:f>道路类型!$A$78</c:f>
              <c:strCache>
                <c:ptCount val="1"/>
                <c:pt idx="0">
                  <c:v>四级公路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道路类型!$B$78:$L$78</c:f>
              <c:numCache>
                <c:formatCode>General</c:formatCode>
                <c:ptCount val="11"/>
                <c:pt idx="0">
                  <c:v>7918.0</c:v>
                </c:pt>
                <c:pt idx="1">
                  <c:v>8687.0</c:v>
                </c:pt>
                <c:pt idx="2">
                  <c:v>8783.0</c:v>
                </c:pt>
                <c:pt idx="3">
                  <c:v>7263.0</c:v>
                </c:pt>
                <c:pt idx="4">
                  <c:v>7481.0</c:v>
                </c:pt>
                <c:pt idx="5">
                  <c:v>6967.0</c:v>
                </c:pt>
                <c:pt idx="6">
                  <c:v>6566.0</c:v>
                </c:pt>
                <c:pt idx="7">
                  <c:v>6098.0</c:v>
                </c:pt>
                <c:pt idx="8">
                  <c:v>5563.0</c:v>
                </c:pt>
                <c:pt idx="9">
                  <c:v>4872.0</c:v>
                </c:pt>
                <c:pt idx="10">
                  <c:v>4581.0</c:v>
                </c:pt>
              </c:numCache>
            </c:numRef>
          </c:val>
        </c:ser>
        <c:ser>
          <c:idx val="6"/>
          <c:order val="6"/>
          <c:tx>
            <c:strRef>
              <c:f>道路类型!$A$79</c:f>
              <c:strCache>
                <c:ptCount val="1"/>
                <c:pt idx="0">
                  <c:v>其他城市道路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道路类型!$B$79:$L$79</c:f>
              <c:numCache>
                <c:formatCode>General</c:formatCode>
                <c:ptCount val="11"/>
                <c:pt idx="0">
                  <c:v>3738.0</c:v>
                </c:pt>
                <c:pt idx="1">
                  <c:v>4134.0</c:v>
                </c:pt>
                <c:pt idx="2">
                  <c:v>4266.0</c:v>
                </c:pt>
                <c:pt idx="3">
                  <c:v>3599.0</c:v>
                </c:pt>
                <c:pt idx="4">
                  <c:v>4208.0</c:v>
                </c:pt>
                <c:pt idx="5">
                  <c:v>3814.0</c:v>
                </c:pt>
                <c:pt idx="6">
                  <c:v>4205.0</c:v>
                </c:pt>
                <c:pt idx="7">
                  <c:v>3947.0</c:v>
                </c:pt>
                <c:pt idx="8">
                  <c:v>3802.0</c:v>
                </c:pt>
                <c:pt idx="9">
                  <c:v>3779.0</c:v>
                </c:pt>
                <c:pt idx="10">
                  <c:v>3856.0</c:v>
                </c:pt>
              </c:numCache>
            </c:numRef>
          </c:val>
        </c:ser>
        <c:ser>
          <c:idx val="7"/>
          <c:order val="7"/>
          <c:tx>
            <c:strRef>
              <c:f>道路类型!$A$80</c:f>
              <c:strCache>
                <c:ptCount val="1"/>
                <c:pt idx="0">
                  <c:v>等外公路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道路类型!$B$80:$L$80</c:f>
              <c:numCache>
                <c:formatCode>General</c:formatCode>
                <c:ptCount val="11"/>
                <c:pt idx="0">
                  <c:v>5471.0</c:v>
                </c:pt>
                <c:pt idx="1">
                  <c:v>6326.0</c:v>
                </c:pt>
                <c:pt idx="2">
                  <c:v>6103.0</c:v>
                </c:pt>
                <c:pt idx="3">
                  <c:v>5317.0</c:v>
                </c:pt>
                <c:pt idx="4">
                  <c:v>6495.0</c:v>
                </c:pt>
                <c:pt idx="5">
                  <c:v>6532.0</c:v>
                </c:pt>
                <c:pt idx="6">
                  <c:v>4965.0</c:v>
                </c:pt>
                <c:pt idx="7">
                  <c:v>4261.0</c:v>
                </c:pt>
                <c:pt idx="8">
                  <c:v>3724.0</c:v>
                </c:pt>
                <c:pt idx="9">
                  <c:v>3439.0</c:v>
                </c:pt>
                <c:pt idx="10">
                  <c:v>3222.0</c:v>
                </c:pt>
              </c:numCache>
            </c:numRef>
          </c:val>
        </c:ser>
        <c:ser>
          <c:idx val="8"/>
          <c:order val="8"/>
          <c:tx>
            <c:strRef>
              <c:f>道路类型!$A$81</c:f>
              <c:strCache>
                <c:ptCount val="1"/>
                <c:pt idx="0">
                  <c:v>城市快速路</c:v>
                </c:pt>
              </c:strCache>
            </c:strRef>
          </c:tx>
          <c:cat>
            <c:numRef>
              <c:f>道路类型!$B$72:$L$72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道路类型!$B$81:$L$81</c:f>
              <c:numCache>
                <c:formatCode>General</c:formatCode>
                <c:ptCount val="11"/>
                <c:pt idx="0">
                  <c:v>883.0</c:v>
                </c:pt>
                <c:pt idx="1">
                  <c:v>1100.0</c:v>
                </c:pt>
                <c:pt idx="2">
                  <c:v>1258.0</c:v>
                </c:pt>
                <c:pt idx="3">
                  <c:v>1612.0</c:v>
                </c:pt>
                <c:pt idx="4">
                  <c:v>2106.0</c:v>
                </c:pt>
                <c:pt idx="5">
                  <c:v>1900.0</c:v>
                </c:pt>
                <c:pt idx="6">
                  <c:v>3882.0</c:v>
                </c:pt>
                <c:pt idx="7">
                  <c:v>3427.0</c:v>
                </c:pt>
                <c:pt idx="8">
                  <c:v>3169.0</c:v>
                </c:pt>
                <c:pt idx="9">
                  <c:v>3057.0</c:v>
                </c:pt>
                <c:pt idx="10">
                  <c:v>3010.0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17400"/>
        <c:axId val="-2050414488"/>
      </c:areaChart>
      <c:catAx>
        <c:axId val="-20504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414488"/>
        <c:crosses val="autoZero"/>
        <c:auto val="1"/>
        <c:lblAlgn val="ctr"/>
        <c:lblOffset val="100"/>
        <c:noMultiLvlLbl val="0"/>
      </c:catAx>
      <c:valAx>
        <c:axId val="-2050414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4174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道路类型!$A$35</c:f>
              <c:strCache>
                <c:ptCount val="1"/>
                <c:pt idx="0">
                  <c:v>高速公路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道路类型!$B$35:$L$35</c:f>
              <c:numCache>
                <c:formatCode>General</c:formatCode>
                <c:ptCount val="11"/>
                <c:pt idx="0">
                  <c:v>0.508630882005202</c:v>
                </c:pt>
                <c:pt idx="1">
                  <c:v>0.534296763688174</c:v>
                </c:pt>
                <c:pt idx="2">
                  <c:v>0.546418560670021</c:v>
                </c:pt>
                <c:pt idx="3">
                  <c:v>0.555368618473674</c:v>
                </c:pt>
                <c:pt idx="4">
                  <c:v>0.876645140194556</c:v>
                </c:pt>
                <c:pt idx="5">
                  <c:v>1.215763980625275</c:v>
                </c:pt>
                <c:pt idx="6">
                  <c:v>1.64654933481153</c:v>
                </c:pt>
                <c:pt idx="7">
                  <c:v>1.670818505338078</c:v>
                </c:pt>
                <c:pt idx="8">
                  <c:v>1.826143067846608</c:v>
                </c:pt>
                <c:pt idx="9">
                  <c:v>2.05619328741664</c:v>
                </c:pt>
                <c:pt idx="10">
                  <c:v>2.065876288659794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道路类型!$A$36</c:f>
              <c:strCache>
                <c:ptCount val="1"/>
                <c:pt idx="0">
                  <c:v>一级公路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道路类型!$B$36:$L$36</c:f>
              <c:numCache>
                <c:formatCode>General</c:formatCode>
                <c:ptCount val="11"/>
                <c:pt idx="0">
                  <c:v>0.817504072171407</c:v>
                </c:pt>
                <c:pt idx="1">
                  <c:v>0.897144231124921</c:v>
                </c:pt>
                <c:pt idx="2">
                  <c:v>0.870383394802299</c:v>
                </c:pt>
                <c:pt idx="3">
                  <c:v>0.950800414144632</c:v>
                </c:pt>
                <c:pt idx="4">
                  <c:v>1.179282194957009</c:v>
                </c:pt>
                <c:pt idx="5">
                  <c:v>1.314916639713017</c:v>
                </c:pt>
                <c:pt idx="6">
                  <c:v>1.403147323739518</c:v>
                </c:pt>
                <c:pt idx="7">
                  <c:v>1.433162627525304</c:v>
                </c:pt>
                <c:pt idx="8">
                  <c:v>1.471085343683978</c:v>
                </c:pt>
                <c:pt idx="9">
                  <c:v>1.462174812234679</c:v>
                </c:pt>
                <c:pt idx="10">
                  <c:v>1.460085592011412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道路类型!$A$37</c:f>
              <c:strCache>
                <c:ptCount val="1"/>
                <c:pt idx="0">
                  <c:v>二级公路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道路类型!$B$37:$L$37</c:f>
              <c:numCache>
                <c:formatCode>General</c:formatCode>
                <c:ptCount val="11"/>
                <c:pt idx="0">
                  <c:v>0.960800590296993</c:v>
                </c:pt>
                <c:pt idx="1">
                  <c:v>0.992788345191423</c:v>
                </c:pt>
                <c:pt idx="2">
                  <c:v>1.009815950920245</c:v>
                </c:pt>
                <c:pt idx="3">
                  <c:v>1.082662425402545</c:v>
                </c:pt>
                <c:pt idx="4">
                  <c:v>1.281962466094861</c:v>
                </c:pt>
                <c:pt idx="5">
                  <c:v>1.372298930854779</c:v>
                </c:pt>
                <c:pt idx="6">
                  <c:v>1.468456253340808</c:v>
                </c:pt>
                <c:pt idx="7">
                  <c:v>1.516861358745773</c:v>
                </c:pt>
                <c:pt idx="8">
                  <c:v>1.52498017446471</c:v>
                </c:pt>
                <c:pt idx="9">
                  <c:v>1.544493858534519</c:v>
                </c:pt>
                <c:pt idx="10">
                  <c:v>1.561699678672486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道路类型!$A$38</c:f>
              <c:strCache>
                <c:ptCount val="1"/>
                <c:pt idx="0">
                  <c:v>三级公路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道路类型!$B$38:$L$38</c:f>
              <c:numCache>
                <c:formatCode>General</c:formatCode>
                <c:ptCount val="11"/>
                <c:pt idx="0">
                  <c:v>1.041448199318765</c:v>
                </c:pt>
                <c:pt idx="1">
                  <c:v>1.052044825838823</c:v>
                </c:pt>
                <c:pt idx="2">
                  <c:v>1.073929763336665</c:v>
                </c:pt>
                <c:pt idx="3">
                  <c:v>1.095885337950776</c:v>
                </c:pt>
                <c:pt idx="4">
                  <c:v>1.304554964583701</c:v>
                </c:pt>
                <c:pt idx="5">
                  <c:v>1.381613943749646</c:v>
                </c:pt>
                <c:pt idx="6">
                  <c:v>1.487790812924618</c:v>
                </c:pt>
                <c:pt idx="7">
                  <c:v>1.518381019437155</c:v>
                </c:pt>
                <c:pt idx="8">
                  <c:v>1.518642255779767</c:v>
                </c:pt>
                <c:pt idx="9">
                  <c:v>1.522516738512336</c:v>
                </c:pt>
                <c:pt idx="10">
                  <c:v>1.532112315202714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道路类型!$A$42</c:f>
              <c:strCache>
                <c:ptCount val="1"/>
                <c:pt idx="0">
                  <c:v>城市道路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道路类型!$B$42:$L$42</c:f>
              <c:numCache>
                <c:formatCode>General</c:formatCode>
                <c:ptCount val="11"/>
                <c:pt idx="0">
                  <c:v>0.599320730662736</c:v>
                </c:pt>
                <c:pt idx="1">
                  <c:v>0.659357195769453</c:v>
                </c:pt>
                <c:pt idx="2">
                  <c:v>0.677292285088903</c:v>
                </c:pt>
                <c:pt idx="3">
                  <c:v>0.695391540660415</c:v>
                </c:pt>
                <c:pt idx="4">
                  <c:v>0.941644447200347</c:v>
                </c:pt>
                <c:pt idx="5">
                  <c:v>1.109164930884302</c:v>
                </c:pt>
                <c:pt idx="6">
                  <c:v>1.23236989980658</c:v>
                </c:pt>
                <c:pt idx="7">
                  <c:v>1.277647813845644</c:v>
                </c:pt>
                <c:pt idx="8">
                  <c:v>1.283483522142121</c:v>
                </c:pt>
                <c:pt idx="9">
                  <c:v>1.28372930783086</c:v>
                </c:pt>
                <c:pt idx="10">
                  <c:v>1.301147473890043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道路类型!$A$100</c:f>
              <c:strCache>
                <c:ptCount val="1"/>
                <c:pt idx="0">
                  <c:v>平均值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道路类型!$B$100:$L$100</c:f>
              <c:numCache>
                <c:formatCode>General</c:formatCode>
                <c:ptCount val="11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297016"/>
        <c:axId val="-2049294136"/>
      </c:lineChart>
      <c:lineChart>
        <c:grouping val="standard"/>
        <c:varyColors val="0"/>
        <c:ser>
          <c:idx val="5"/>
          <c:order val="6"/>
          <c:tx>
            <c:strRef>
              <c:f>道路类型!$A$93</c:f>
              <c:strCache>
                <c:ptCount val="1"/>
                <c:pt idx="0">
                  <c:v>事故总数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道路类型!$B$93:$L$93</c:f>
              <c:numCache>
                <c:formatCode>General</c:formatCode>
                <c:ptCount val="11"/>
                <c:pt idx="0">
                  <c:v>616972.0</c:v>
                </c:pt>
                <c:pt idx="1">
                  <c:v>754919.0</c:v>
                </c:pt>
                <c:pt idx="2">
                  <c:v>773137.0</c:v>
                </c:pt>
                <c:pt idx="3">
                  <c:v>667506.0</c:v>
                </c:pt>
                <c:pt idx="4">
                  <c:v>517889.0</c:v>
                </c:pt>
                <c:pt idx="5">
                  <c:v>450254.0</c:v>
                </c:pt>
                <c:pt idx="6">
                  <c:v>378781.0</c:v>
                </c:pt>
                <c:pt idx="7">
                  <c:v>327209.0</c:v>
                </c:pt>
                <c:pt idx="8">
                  <c:v>265204.0</c:v>
                </c:pt>
                <c:pt idx="9">
                  <c:v>238351.0</c:v>
                </c:pt>
                <c:pt idx="10">
                  <c:v>219521.0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288104"/>
        <c:axId val="-2049291096"/>
      </c:lineChart>
      <c:catAx>
        <c:axId val="-204929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294136"/>
        <c:crosses val="autoZero"/>
        <c:auto val="1"/>
        <c:lblAlgn val="ctr"/>
        <c:lblOffset val="100"/>
        <c:noMultiLvlLbl val="0"/>
      </c:catAx>
      <c:valAx>
        <c:axId val="-2049294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297016"/>
        <c:crosses val="autoZero"/>
        <c:crossBetween val="between"/>
      </c:valAx>
      <c:valAx>
        <c:axId val="-2049291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49288104"/>
        <c:crosses val="max"/>
        <c:crossBetween val="between"/>
      </c:valAx>
      <c:catAx>
        <c:axId val="-204928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9291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道路类型!$A$46</c:f>
              <c:strCache>
                <c:ptCount val="1"/>
                <c:pt idx="0">
                  <c:v>高速公路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道路类型!$B$46:$L$46</c:f>
              <c:numCache>
                <c:formatCode>General</c:formatCode>
                <c:ptCount val="11"/>
                <c:pt idx="0">
                  <c:v>0.251278475127847</c:v>
                </c:pt>
                <c:pt idx="1">
                  <c:v>0.239771428571429</c:v>
                </c:pt>
                <c:pt idx="2">
                  <c:v>0.242707045735476</c:v>
                </c:pt>
                <c:pt idx="3">
                  <c:v>0.261670639650377</c:v>
                </c:pt>
                <c:pt idx="4">
                  <c:v>0.290703095859754</c:v>
                </c:pt>
                <c:pt idx="5">
                  <c:v>0.290067004708439</c:v>
                </c:pt>
                <c:pt idx="6">
                  <c:v>0.279720574001599</c:v>
                </c:pt>
                <c:pt idx="7">
                  <c:v>0.291896601800755</c:v>
                </c:pt>
                <c:pt idx="8">
                  <c:v>0.304997476022211</c:v>
                </c:pt>
                <c:pt idx="9">
                  <c:v>0.320501914079115</c:v>
                </c:pt>
                <c:pt idx="10">
                  <c:v>0.31438694545636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道路类型!$A$47</c:f>
              <c:strCache>
                <c:ptCount val="1"/>
                <c:pt idx="0">
                  <c:v>一级公路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道路类型!$B$47:$L$47</c:f>
              <c:numCache>
                <c:formatCode>General</c:formatCode>
                <c:ptCount val="11"/>
                <c:pt idx="0">
                  <c:v>0.221651722992822</c:v>
                </c:pt>
                <c:pt idx="1">
                  <c:v>0.19360890629832</c:v>
                </c:pt>
                <c:pt idx="2">
                  <c:v>0.195746861388675</c:v>
                </c:pt>
                <c:pt idx="3">
                  <c:v>0.202563189747241</c:v>
                </c:pt>
                <c:pt idx="4">
                  <c:v>0.212218649517685</c:v>
                </c:pt>
                <c:pt idx="5">
                  <c:v>0.20874795948031</c:v>
                </c:pt>
                <c:pt idx="6">
                  <c:v>0.213187732113431</c:v>
                </c:pt>
                <c:pt idx="7">
                  <c:v>0.214147041445092</c:v>
                </c:pt>
                <c:pt idx="8">
                  <c:v>0.229685047259611</c:v>
                </c:pt>
                <c:pt idx="9">
                  <c:v>0.227424998138912</c:v>
                </c:pt>
                <c:pt idx="10">
                  <c:v>0.234953884633422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道路类型!$A$48</c:f>
              <c:strCache>
                <c:ptCount val="1"/>
                <c:pt idx="0">
                  <c:v>二级公路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道路类型!$B$48:$L$48</c:f>
              <c:numCache>
                <c:formatCode>General</c:formatCode>
                <c:ptCount val="11"/>
                <c:pt idx="0">
                  <c:v>0.207523205411273</c:v>
                </c:pt>
                <c:pt idx="1">
                  <c:v>0.18700638650546</c:v>
                </c:pt>
                <c:pt idx="2">
                  <c:v>0.189111815784014</c:v>
                </c:pt>
                <c:pt idx="3">
                  <c:v>0.20093342520248</c:v>
                </c:pt>
                <c:pt idx="4">
                  <c:v>0.220103218058871</c:v>
                </c:pt>
                <c:pt idx="5">
                  <c:v>0.217276236561666</c:v>
                </c:pt>
                <c:pt idx="6">
                  <c:v>0.215306077151862</c:v>
                </c:pt>
                <c:pt idx="7">
                  <c:v>0.221903594191738</c:v>
                </c:pt>
                <c:pt idx="8">
                  <c:v>0.240262293418566</c:v>
                </c:pt>
                <c:pt idx="9">
                  <c:v>0.241392549121773</c:v>
                </c:pt>
                <c:pt idx="10">
                  <c:v>0.252648711728035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道路类型!$A$49</c:f>
              <c:strCache>
                <c:ptCount val="1"/>
                <c:pt idx="0">
                  <c:v>三级公路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道路类型!$B$49:$L$49</c:f>
              <c:numCache>
                <c:formatCode>General</c:formatCode>
                <c:ptCount val="11"/>
                <c:pt idx="0">
                  <c:v>0.196429883874761</c:v>
                </c:pt>
                <c:pt idx="1">
                  <c:v>0.183896337707869</c:v>
                </c:pt>
                <c:pt idx="2">
                  <c:v>0.18427902134305</c:v>
                </c:pt>
                <c:pt idx="3">
                  <c:v>0.202354531422674</c:v>
                </c:pt>
                <c:pt idx="4">
                  <c:v>0.209852568933202</c:v>
                </c:pt>
                <c:pt idx="5">
                  <c:v>0.201714145282517</c:v>
                </c:pt>
                <c:pt idx="6">
                  <c:v>0.198391453384852</c:v>
                </c:pt>
                <c:pt idx="7">
                  <c:v>0.201953207335066</c:v>
                </c:pt>
                <c:pt idx="8">
                  <c:v>0.220767335445266</c:v>
                </c:pt>
                <c:pt idx="9">
                  <c:v>0.217208835341365</c:v>
                </c:pt>
                <c:pt idx="10">
                  <c:v>0.225187562144084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道路类型!$A$53</c:f>
              <c:strCache>
                <c:ptCount val="1"/>
                <c:pt idx="0">
                  <c:v>城市道路</c:v>
                </c:pt>
              </c:strCache>
            </c:strRef>
          </c:tx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道路类型!$B$53:$L$53</c:f>
              <c:numCache>
                <c:formatCode>General</c:formatCode>
                <c:ptCount val="11"/>
                <c:pt idx="0">
                  <c:v>0.128961494357935</c:v>
                </c:pt>
                <c:pt idx="1">
                  <c:v>0.11275351748153</c:v>
                </c:pt>
                <c:pt idx="2">
                  <c:v>0.109802055260726</c:v>
                </c:pt>
                <c:pt idx="3">
                  <c:v>0.117626566844649</c:v>
                </c:pt>
                <c:pt idx="4">
                  <c:v>0.116417202799966</c:v>
                </c:pt>
                <c:pt idx="5">
                  <c:v>0.107258938244854</c:v>
                </c:pt>
                <c:pt idx="6">
                  <c:v>0.103333878814026</c:v>
                </c:pt>
                <c:pt idx="7">
                  <c:v>0.113456100979495</c:v>
                </c:pt>
                <c:pt idx="8">
                  <c:v>0.128584467557998</c:v>
                </c:pt>
                <c:pt idx="9">
                  <c:v>0.134206365114363</c:v>
                </c:pt>
                <c:pt idx="10">
                  <c:v>0.137759500454344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道路类型!$A$101</c:f>
              <c:strCache>
                <c:ptCount val="1"/>
                <c:pt idx="0">
                  <c:v>平均值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道路类型!$B$83:$L$83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道路类型!$B$101:$L$101</c:f>
              <c:numCache>
                <c:formatCode>General</c:formatCode>
                <c:ptCount val="11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986616"/>
        <c:axId val="-2050983480"/>
      </c:lineChart>
      <c:catAx>
        <c:axId val="-205098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983480"/>
        <c:crosses val="autoZero"/>
        <c:auto val="1"/>
        <c:lblAlgn val="ctr"/>
        <c:lblOffset val="100"/>
        <c:noMultiLvlLbl val="0"/>
      </c:catAx>
      <c:valAx>
        <c:axId val="-2050983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98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事故数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车辆性质!$A$3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车辆性质!$F$3:$L$3</c:f>
              <c:numCache>
                <c:formatCode>General</c:formatCode>
                <c:ptCount val="7"/>
                <c:pt idx="0">
                  <c:v>22147.0</c:v>
                </c:pt>
                <c:pt idx="1">
                  <c:v>18184.0</c:v>
                </c:pt>
                <c:pt idx="2">
                  <c:v>11288.0</c:v>
                </c:pt>
                <c:pt idx="3">
                  <c:v>8529.0</c:v>
                </c:pt>
                <c:pt idx="4">
                  <c:v>6563.0</c:v>
                </c:pt>
                <c:pt idx="5">
                  <c:v>5383.0</c:v>
                </c:pt>
                <c:pt idx="6">
                  <c:v>4490.0</c:v>
                </c:pt>
              </c:numCache>
            </c:numRef>
          </c:val>
        </c:ser>
        <c:ser>
          <c:idx val="1"/>
          <c:order val="1"/>
          <c:tx>
            <c:strRef>
              <c:f>车辆性质!$A$4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车辆性质!$F$4:$L$4</c:f>
              <c:numCache>
                <c:formatCode>General</c:formatCode>
                <c:ptCount val="7"/>
                <c:pt idx="0">
                  <c:v>8350.0</c:v>
                </c:pt>
                <c:pt idx="1">
                  <c:v>7442.0</c:v>
                </c:pt>
                <c:pt idx="2">
                  <c:v>6302.0</c:v>
                </c:pt>
                <c:pt idx="3">
                  <c:v>5643.0</c:v>
                </c:pt>
                <c:pt idx="4">
                  <c:v>4424.0</c:v>
                </c:pt>
                <c:pt idx="5">
                  <c:v>3787.0</c:v>
                </c:pt>
                <c:pt idx="6">
                  <c:v>3195.0</c:v>
                </c:pt>
              </c:numCache>
            </c:numRef>
          </c:val>
        </c:ser>
        <c:ser>
          <c:idx val="2"/>
          <c:order val="2"/>
          <c:tx>
            <c:strRef>
              <c:f>车辆性质!$A$5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车辆性质!$F$5:$L$5</c:f>
              <c:numCache>
                <c:formatCode>General</c:formatCode>
                <c:ptCount val="7"/>
                <c:pt idx="0">
                  <c:v>32304.0</c:v>
                </c:pt>
                <c:pt idx="1">
                  <c:v>24794.0</c:v>
                </c:pt>
                <c:pt idx="2">
                  <c:v>18209.0</c:v>
                </c:pt>
                <c:pt idx="3">
                  <c:v>14357.0</c:v>
                </c:pt>
                <c:pt idx="4">
                  <c:v>10596.0</c:v>
                </c:pt>
                <c:pt idx="5">
                  <c:v>9157.0</c:v>
                </c:pt>
                <c:pt idx="6">
                  <c:v>7766.0</c:v>
                </c:pt>
              </c:numCache>
            </c:numRef>
          </c:val>
        </c:ser>
        <c:ser>
          <c:idx val="3"/>
          <c:order val="3"/>
          <c:tx>
            <c:strRef>
              <c:f>车辆性质!$A$6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车辆性质!$F$6:$L$6</c:f>
              <c:numCache>
                <c:formatCode>General</c:formatCode>
                <c:ptCount val="7"/>
                <c:pt idx="0">
                  <c:v>96343.0</c:v>
                </c:pt>
                <c:pt idx="1">
                  <c:v>82992.0</c:v>
                </c:pt>
                <c:pt idx="2">
                  <c:v>70055.0</c:v>
                </c:pt>
                <c:pt idx="3">
                  <c:v>61235.0</c:v>
                </c:pt>
                <c:pt idx="4">
                  <c:v>48323.0</c:v>
                </c:pt>
                <c:pt idx="5">
                  <c:v>40711.0</c:v>
                </c:pt>
                <c:pt idx="6">
                  <c:v>40199.0</c:v>
                </c:pt>
              </c:numCache>
            </c:numRef>
          </c:val>
        </c:ser>
        <c:ser>
          <c:idx val="4"/>
          <c:order val="4"/>
          <c:tx>
            <c:strRef>
              <c:f>车辆性质!$A$7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车辆性质!$F$7:$L$7</c:f>
              <c:numCache>
                <c:formatCode>General</c:formatCode>
                <c:ptCount val="7"/>
                <c:pt idx="0">
                  <c:v>126300.0</c:v>
                </c:pt>
                <c:pt idx="1">
                  <c:v>132010.0</c:v>
                </c:pt>
                <c:pt idx="2">
                  <c:v>198932.0</c:v>
                </c:pt>
                <c:pt idx="3">
                  <c:v>176151.0</c:v>
                </c:pt>
                <c:pt idx="4">
                  <c:v>147436.0</c:v>
                </c:pt>
                <c:pt idx="5">
                  <c:v>136232.0</c:v>
                </c:pt>
                <c:pt idx="6">
                  <c:v>123179.0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54312"/>
        <c:axId val="-2121151512"/>
      </c:areaChart>
      <c:catAx>
        <c:axId val="-212115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51512"/>
        <c:crosses val="autoZero"/>
        <c:auto val="1"/>
        <c:lblAlgn val="ctr"/>
        <c:lblOffset val="100"/>
        <c:noMultiLvlLbl val="0"/>
      </c:catAx>
      <c:valAx>
        <c:axId val="-2121151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115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死亡数</a:t>
            </a:r>
            <a:endParaRPr lang="en-US" altLang="zh-CN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车辆性质!$A$62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车辆性质!$B$62:$L$62</c:f>
              <c:numCache>
                <c:formatCode>General</c:formatCode>
                <c:ptCount val="11"/>
                <c:pt idx="4">
                  <c:v>24667.0</c:v>
                </c:pt>
                <c:pt idx="5">
                  <c:v>25519.0</c:v>
                </c:pt>
                <c:pt idx="6">
                  <c:v>40161.0</c:v>
                </c:pt>
                <c:pt idx="7">
                  <c:v>37575.0</c:v>
                </c:pt>
                <c:pt idx="8">
                  <c:v>35176.0</c:v>
                </c:pt>
                <c:pt idx="9">
                  <c:v>33294.0</c:v>
                </c:pt>
                <c:pt idx="10">
                  <c:v>31022.0</c:v>
                </c:pt>
              </c:numCache>
            </c:numRef>
          </c:val>
        </c:ser>
        <c:ser>
          <c:idx val="1"/>
          <c:order val="1"/>
          <c:tx>
            <c:strRef>
              <c:f>车辆性质!$A$63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车辆性质!$B$63:$L$63</c:f>
              <c:numCache>
                <c:formatCode>General</c:formatCode>
                <c:ptCount val="11"/>
                <c:pt idx="4">
                  <c:v>29196.0</c:v>
                </c:pt>
                <c:pt idx="5">
                  <c:v>27888.0</c:v>
                </c:pt>
                <c:pt idx="6">
                  <c:v>24943.0</c:v>
                </c:pt>
                <c:pt idx="7">
                  <c:v>23092.0</c:v>
                </c:pt>
                <c:pt idx="8">
                  <c:v>20215.0</c:v>
                </c:pt>
                <c:pt idx="9">
                  <c:v>18176.0</c:v>
                </c:pt>
                <c:pt idx="10">
                  <c:v>18902.0</c:v>
                </c:pt>
              </c:numCache>
            </c:numRef>
          </c:val>
        </c:ser>
        <c:ser>
          <c:idx val="2"/>
          <c:order val="2"/>
          <c:tx>
            <c:strRef>
              <c:f>车辆性质!$A$64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车辆性质!$B$64:$L$64</c:f>
              <c:numCache>
                <c:formatCode>General</c:formatCode>
                <c:ptCount val="11"/>
                <c:pt idx="4">
                  <c:v>7117.0</c:v>
                </c:pt>
                <c:pt idx="5">
                  <c:v>6373.0</c:v>
                </c:pt>
                <c:pt idx="6">
                  <c:v>4344.0</c:v>
                </c:pt>
                <c:pt idx="7">
                  <c:v>3566.0</c:v>
                </c:pt>
                <c:pt idx="8">
                  <c:v>3125.0</c:v>
                </c:pt>
                <c:pt idx="9">
                  <c:v>2650.0</c:v>
                </c:pt>
                <c:pt idx="10">
                  <c:v>2310.0</c:v>
                </c:pt>
              </c:numCache>
            </c:numRef>
          </c:val>
        </c:ser>
        <c:ser>
          <c:idx val="3"/>
          <c:order val="3"/>
          <c:tx>
            <c:strRef>
              <c:f>车辆性质!$A$65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车辆性质!$B$65:$L$65</c:f>
              <c:numCache>
                <c:formatCode>General</c:formatCode>
                <c:ptCount val="11"/>
                <c:pt idx="4">
                  <c:v>2931.0</c:v>
                </c:pt>
                <c:pt idx="5">
                  <c:v>2526.0</c:v>
                </c:pt>
                <c:pt idx="6">
                  <c:v>2006.0</c:v>
                </c:pt>
                <c:pt idx="7">
                  <c:v>1715.0</c:v>
                </c:pt>
                <c:pt idx="8">
                  <c:v>1421.0</c:v>
                </c:pt>
                <c:pt idx="9">
                  <c:v>1200.0</c:v>
                </c:pt>
                <c:pt idx="10">
                  <c:v>1049.0</c:v>
                </c:pt>
              </c:numCache>
            </c:numRef>
          </c:val>
        </c:ser>
        <c:ser>
          <c:idx val="4"/>
          <c:order val="4"/>
          <c:tx>
            <c:strRef>
              <c:f>车辆性质!$A$66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车辆性质!$B$66:$L$66</c:f>
              <c:numCache>
                <c:formatCode>General</c:formatCode>
                <c:ptCount val="11"/>
                <c:pt idx="4">
                  <c:v>1342.0</c:v>
                </c:pt>
                <c:pt idx="5">
                  <c:v>1398.0</c:v>
                </c:pt>
                <c:pt idx="6">
                  <c:v>1218.0</c:v>
                </c:pt>
                <c:pt idx="7">
                  <c:v>1202.0</c:v>
                </c:pt>
                <c:pt idx="8">
                  <c:v>1060.0</c:v>
                </c:pt>
                <c:pt idx="9">
                  <c:v>950.0</c:v>
                </c:pt>
                <c:pt idx="10">
                  <c:v>799.0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71576"/>
        <c:axId val="-2049768520"/>
      </c:areaChart>
      <c:catAx>
        <c:axId val="-204977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768520"/>
        <c:crosses val="autoZero"/>
        <c:auto val="1"/>
        <c:lblAlgn val="ctr"/>
        <c:lblOffset val="100"/>
        <c:noMultiLvlLbl val="0"/>
      </c:catAx>
      <c:valAx>
        <c:axId val="-2049768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7715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F/(F+I) including China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0.0173352862756104</c:v>
                </c:pt>
                <c:pt idx="1">
                  <c:v>0.0218638443603858</c:v>
                </c:pt>
                <c:pt idx="2">
                  <c:v>0.0201563056948057</c:v>
                </c:pt>
                <c:pt idx="3">
                  <c:v>0.0192982115839702</c:v>
                </c:pt>
                <c:pt idx="4">
                  <c:v>0.0186496753314622</c:v>
                </c:pt>
                <c:pt idx="5">
                  <c:v>0.018125173745914</c:v>
                </c:pt>
                <c:pt idx="6">
                  <c:v>0.0174491349150057</c:v>
                </c:pt>
                <c:pt idx="7">
                  <c:v>0.0167744872391066</c:v>
                </c:pt>
                <c:pt idx="8">
                  <c:v>0.0154263122363203</c:v>
                </c:pt>
                <c:pt idx="9">
                  <c:v>0.0146946770555437</c:v>
                </c:pt>
                <c:pt idx="10">
                  <c:v>0.014666413853633</c:v>
                </c:pt>
                <c:pt idx="11">
                  <c:v>0.0139052759132001</c:v>
                </c:pt>
                <c:pt idx="12">
                  <c:v>0.0141581566667701</c:v>
                </c:pt>
                <c:pt idx="13">
                  <c:v>0.0141067402188219</c:v>
                </c:pt>
                <c:pt idx="14">
                  <c:v>0.0130995945897463</c:v>
                </c:pt>
                <c:pt idx="15">
                  <c:v>0.0122172997511417</c:v>
                </c:pt>
                <c:pt idx="16">
                  <c:v>0.0119107779555855</c:v>
                </c:pt>
                <c:pt idx="17">
                  <c:v>0.0113413449198841</c:v>
                </c:pt>
                <c:pt idx="18">
                  <c:v>0.0108264574728432</c:v>
                </c:pt>
                <c:pt idx="19">
                  <c:v>0.0103329077728253</c:v>
                </c:pt>
                <c:pt idx="20">
                  <c:v>0.00973272361519457</c:v>
                </c:pt>
                <c:pt idx="21">
                  <c:v>0.0101141850878211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0.0186549310955829</c:v>
                </c:pt>
                <c:pt idx="12">
                  <c:v>0.0181077175714905</c:v>
                </c:pt>
                <c:pt idx="13">
                  <c:v>0.0180779973446306</c:v>
                </c:pt>
                <c:pt idx="14">
                  <c:v>0.0175265317106548</c:v>
                </c:pt>
                <c:pt idx="15">
                  <c:v>0.0170779603901689</c:v>
                </c:pt>
                <c:pt idx="16">
                  <c:v>0.016741677888818</c:v>
                </c:pt>
                <c:pt idx="17">
                  <c:v>0.0155025409543837</c:v>
                </c:pt>
                <c:pt idx="18">
                  <c:v>0.0149776523916696</c:v>
                </c:pt>
                <c:pt idx="19">
                  <c:v>0.0136023191681301</c:v>
                </c:pt>
                <c:pt idx="20">
                  <c:v>0.0133300741465004</c:v>
                </c:pt>
                <c:pt idx="21">
                  <c:v>0.0130458734820653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0.043569949481048</c:v>
                </c:pt>
                <c:pt idx="1">
                  <c:v>0.0446088549759955</c:v>
                </c:pt>
                <c:pt idx="2">
                  <c:v>0.0438396231423786</c:v>
                </c:pt>
                <c:pt idx="3">
                  <c:v>0.0457005533341411</c:v>
                </c:pt>
                <c:pt idx="4">
                  <c:v>0.0450611253399519</c:v>
                </c:pt>
                <c:pt idx="5">
                  <c:v>0.0443168348128441</c:v>
                </c:pt>
                <c:pt idx="6">
                  <c:v>0.0453430753604157</c:v>
                </c:pt>
                <c:pt idx="7">
                  <c:v>0.0449914680092585</c:v>
                </c:pt>
                <c:pt idx="8">
                  <c:v>0.0476742083493434</c:v>
                </c:pt>
                <c:pt idx="9">
                  <c:v>0.0457229742427435</c:v>
                </c:pt>
                <c:pt idx="10">
                  <c:v>0.0450223845428841</c:v>
                </c:pt>
                <c:pt idx="11">
                  <c:v>0.0477530696192744</c:v>
                </c:pt>
                <c:pt idx="12">
                  <c:v>0.0499169429491112</c:v>
                </c:pt>
                <c:pt idx="13">
                  <c:v>0.0471066907775768</c:v>
                </c:pt>
                <c:pt idx="14">
                  <c:v>0.0459112487824568</c:v>
                </c:pt>
                <c:pt idx="15">
                  <c:v>0.0468984249607563</c:v>
                </c:pt>
                <c:pt idx="16">
                  <c:v>0.0440777280640994</c:v>
                </c:pt>
                <c:pt idx="17">
                  <c:v>0.0428487956891515</c:v>
                </c:pt>
                <c:pt idx="18">
                  <c:v>0.0435899788932734</c:v>
                </c:pt>
                <c:pt idx="19">
                  <c:v>0.044881153696682</c:v>
                </c:pt>
                <c:pt idx="20">
                  <c:v>0.0451313126745277</c:v>
                </c:pt>
                <c:pt idx="21">
                  <c:v>0.0465064426033281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0.0152893906223899</c:v>
                </c:pt>
                <c:pt idx="1">
                  <c:v>0.0146613259384789</c:v>
                </c:pt>
                <c:pt idx="2">
                  <c:v>0.0135880653795115</c:v>
                </c:pt>
                <c:pt idx="3">
                  <c:v>0.0124716330841623</c:v>
                </c:pt>
                <c:pt idx="4">
                  <c:v>0.0115634405195628</c:v>
                </c:pt>
                <c:pt idx="5">
                  <c:v>0.0116572929711771</c:v>
                </c:pt>
                <c:pt idx="6">
                  <c:v>0.011222777434669</c:v>
                </c:pt>
                <c:pt idx="7">
                  <c:v>0.0109859920207327</c:v>
                </c:pt>
                <c:pt idx="8">
                  <c:v>0.0105125360686618</c:v>
                </c:pt>
                <c:pt idx="9">
                  <c:v>0.0106827537349067</c:v>
                </c:pt>
                <c:pt idx="10">
                  <c:v>0.010639526355377</c:v>
                </c:pt>
                <c:pt idx="11">
                  <c:v>0.0110065401180412</c:v>
                </c:pt>
                <c:pt idx="12">
                  <c:v>0.0113447364853471</c:v>
                </c:pt>
                <c:pt idx="13">
                  <c:v>0.012075398956311</c:v>
                </c:pt>
                <c:pt idx="14">
                  <c:v>0.0114536254404899</c:v>
                </c:pt>
                <c:pt idx="15">
                  <c:v>0.0118030538235478</c:v>
                </c:pt>
                <c:pt idx="16">
                  <c:v>0.0122863827215965</c:v>
                </c:pt>
                <c:pt idx="17">
                  <c:v>0.0118816193848661</c:v>
                </c:pt>
                <c:pt idx="18">
                  <c:v>0.0110090310491112</c:v>
                </c:pt>
                <c:pt idx="19">
                  <c:v>0.00999900999901</c:v>
                </c:pt>
                <c:pt idx="20">
                  <c:v>0.0088580320804405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0.0136169134405918</c:v>
                </c:pt>
                <c:pt idx="1">
                  <c:v>0.0132259402787045</c:v>
                </c:pt>
                <c:pt idx="2">
                  <c:v>0.0126252350947439</c:v>
                </c:pt>
                <c:pt idx="3">
                  <c:v>0.0125889141050395</c:v>
                </c:pt>
                <c:pt idx="4">
                  <c:v>0.0123133908579212</c:v>
                </c:pt>
                <c:pt idx="5">
                  <c:v>0.0119235401597219</c:v>
                </c:pt>
                <c:pt idx="6">
                  <c:v>0.0119320335033006</c:v>
                </c:pt>
                <c:pt idx="7">
                  <c:v>0.0123945791085568</c:v>
                </c:pt>
                <c:pt idx="8">
                  <c:v>0.0128345563494577</c:v>
                </c:pt>
                <c:pt idx="9">
                  <c:v>0.0127265322434262</c:v>
                </c:pt>
                <c:pt idx="10">
                  <c:v>0.012983274496664</c:v>
                </c:pt>
                <c:pt idx="11">
                  <c:v>0.0137228655018687</c:v>
                </c:pt>
                <c:pt idx="12">
                  <c:v>0.0144858313041492</c:v>
                </c:pt>
                <c:pt idx="13">
                  <c:v>0.0146287632377447</c:v>
                </c:pt>
                <c:pt idx="14">
                  <c:v>0.0151299054045367</c:v>
                </c:pt>
                <c:pt idx="15">
                  <c:v>0.0158651675888227</c:v>
                </c:pt>
                <c:pt idx="16">
                  <c:v>0.0163171303123897</c:v>
                </c:pt>
                <c:pt idx="17">
                  <c:v>0.0162963624183977</c:v>
                </c:pt>
                <c:pt idx="18">
                  <c:v>0.0157031000856006</c:v>
                </c:pt>
                <c:pt idx="19">
                  <c:v>0.0150513646754248</c:v>
                </c:pt>
                <c:pt idx="20">
                  <c:v>0.0144742928899685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Total!$G$29:$G$50</c:f>
              <c:numCache>
                <c:formatCode>General</c:formatCode>
                <c:ptCount val="22"/>
                <c:pt idx="0">
                  <c:v>0.241119098770205</c:v>
                </c:pt>
                <c:pt idx="1">
                  <c:v>0.247511738833594</c:v>
                </c:pt>
                <c:pt idx="2">
                  <c:v>0.289315395112147</c:v>
                </c:pt>
                <c:pt idx="3">
                  <c:v>0.308652355425522</c:v>
                </c:pt>
                <c:pt idx="4">
                  <c:v>0.308403701104662</c:v>
                </c:pt>
                <c:pt idx="5">
                  <c:v>0.309763346938068</c:v>
                </c:pt>
                <c:pt idx="6">
                  <c:v>0.296873866393661</c:v>
                </c:pt>
                <c:pt idx="7">
                  <c:v>0.279788172992056</c:v>
                </c:pt>
                <c:pt idx="8">
                  <c:v>0.259541604053353</c:v>
                </c:pt>
                <c:pt idx="9">
                  <c:v>0.225992873550157</c:v>
                </c:pt>
                <c:pt idx="10">
                  <c:v>0.183101366827034</c:v>
                </c:pt>
                <c:pt idx="11">
                  <c:v>0.16236597870987</c:v>
                </c:pt>
                <c:pt idx="12">
                  <c:v>0.162901460261671</c:v>
                </c:pt>
                <c:pt idx="13">
                  <c:v>0.174375904274692</c:v>
                </c:pt>
                <c:pt idx="14">
                  <c:v>0.182122015644427</c:v>
                </c:pt>
                <c:pt idx="15">
                  <c:v>0.17363610944537</c:v>
                </c:pt>
                <c:pt idx="16">
                  <c:v>0.1718325604982</c:v>
                </c:pt>
                <c:pt idx="17">
                  <c:v>0.176694633740973</c:v>
                </c:pt>
                <c:pt idx="18">
                  <c:v>0.194195077734585</c:v>
                </c:pt>
                <c:pt idx="19">
                  <c:v>0.197614936829948</c:v>
                </c:pt>
                <c:pt idx="20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81176"/>
        <c:axId val="-2134710200"/>
      </c:lineChart>
      <c:catAx>
        <c:axId val="-205018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710200"/>
        <c:crosses val="autoZero"/>
        <c:auto val="1"/>
        <c:lblAlgn val="ctr"/>
        <c:lblOffset val="100"/>
        <c:noMultiLvlLbl val="0"/>
      </c:catAx>
      <c:valAx>
        <c:axId val="-213471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18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受伤数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车辆性质!$A$19</c:f>
              <c:strCache>
                <c:ptCount val="1"/>
                <c:pt idx="0">
                  <c:v>公路客运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车辆性质!$F$19:$L$19</c:f>
              <c:numCache>
                <c:formatCode>General</c:formatCode>
                <c:ptCount val="7"/>
                <c:pt idx="0">
                  <c:v>30013.0</c:v>
                </c:pt>
                <c:pt idx="1">
                  <c:v>26418.0</c:v>
                </c:pt>
                <c:pt idx="2">
                  <c:v>19449.0</c:v>
                </c:pt>
                <c:pt idx="3">
                  <c:v>15011.0</c:v>
                </c:pt>
                <c:pt idx="4">
                  <c:v>11259.0</c:v>
                </c:pt>
                <c:pt idx="5">
                  <c:v>9509.0</c:v>
                </c:pt>
                <c:pt idx="6">
                  <c:v>8540.0</c:v>
                </c:pt>
              </c:numCache>
            </c:numRef>
          </c:val>
        </c:ser>
        <c:ser>
          <c:idx val="1"/>
          <c:order val="1"/>
          <c:tx>
            <c:strRef>
              <c:f>车辆性质!$A$20</c:f>
              <c:strCache>
                <c:ptCount val="1"/>
                <c:pt idx="0">
                  <c:v>公交客运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车辆性质!$F$20:$L$20</c:f>
              <c:numCache>
                <c:formatCode>General</c:formatCode>
                <c:ptCount val="7"/>
                <c:pt idx="0">
                  <c:v>8403.0</c:v>
                </c:pt>
                <c:pt idx="1">
                  <c:v>7995.0</c:v>
                </c:pt>
                <c:pt idx="2">
                  <c:v>7524.0</c:v>
                </c:pt>
                <c:pt idx="3">
                  <c:v>6938.0</c:v>
                </c:pt>
                <c:pt idx="4">
                  <c:v>5135.0</c:v>
                </c:pt>
                <c:pt idx="5">
                  <c:v>4405.0</c:v>
                </c:pt>
                <c:pt idx="6">
                  <c:v>3753.0</c:v>
                </c:pt>
              </c:numCache>
            </c:numRef>
          </c:val>
        </c:ser>
        <c:ser>
          <c:idx val="2"/>
          <c:order val="2"/>
          <c:tx>
            <c:strRef>
              <c:f>车辆性质!$A$21</c:f>
              <c:strCache>
                <c:ptCount val="1"/>
                <c:pt idx="0">
                  <c:v>出租客运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车辆性质!$F$21:$L$21</c:f>
              <c:numCache>
                <c:formatCode>General</c:formatCode>
                <c:ptCount val="7"/>
                <c:pt idx="0">
                  <c:v>28022.0</c:v>
                </c:pt>
                <c:pt idx="1">
                  <c:v>25067.0</c:v>
                </c:pt>
                <c:pt idx="2">
                  <c:v>20441.0</c:v>
                </c:pt>
                <c:pt idx="3">
                  <c:v>16958.0</c:v>
                </c:pt>
                <c:pt idx="4">
                  <c:v>12243.0</c:v>
                </c:pt>
                <c:pt idx="5">
                  <c:v>10491.0</c:v>
                </c:pt>
                <c:pt idx="6">
                  <c:v>8991.0</c:v>
                </c:pt>
              </c:numCache>
            </c:numRef>
          </c:val>
        </c:ser>
        <c:ser>
          <c:idx val="3"/>
          <c:order val="3"/>
          <c:tx>
            <c:strRef>
              <c:f>车辆性质!$A$22</c:f>
              <c:strCache>
                <c:ptCount val="1"/>
                <c:pt idx="0">
                  <c:v>货运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车辆性质!$F$22:$L$22</c:f>
              <c:numCache>
                <c:formatCode>General</c:formatCode>
                <c:ptCount val="7"/>
                <c:pt idx="0">
                  <c:v>80715.0</c:v>
                </c:pt>
                <c:pt idx="1">
                  <c:v>76638.0</c:v>
                </c:pt>
                <c:pt idx="2">
                  <c:v>71664.0</c:v>
                </c:pt>
                <c:pt idx="3">
                  <c:v>63386.0</c:v>
                </c:pt>
                <c:pt idx="4">
                  <c:v>50084.0</c:v>
                </c:pt>
                <c:pt idx="5">
                  <c:v>41819.0</c:v>
                </c:pt>
                <c:pt idx="6">
                  <c:v>41572.0</c:v>
                </c:pt>
              </c:numCache>
            </c:numRef>
          </c:val>
        </c:ser>
        <c:ser>
          <c:idx val="4"/>
          <c:order val="4"/>
          <c:tx>
            <c:strRef>
              <c:f>车辆性质!$A$23</c:f>
              <c:strCache>
                <c:ptCount val="1"/>
                <c:pt idx="0">
                  <c:v>私用</c:v>
                </c:pt>
              </c:strCache>
            </c:strRef>
          </c:tx>
          <c:cat>
            <c:numRef>
              <c:f>车辆性质!$F$17:$L$17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车辆性质!$F$23:$L$23</c:f>
              <c:numCache>
                <c:formatCode>General</c:formatCode>
                <c:ptCount val="7"/>
                <c:pt idx="0">
                  <c:v>130098.0</c:v>
                </c:pt>
                <c:pt idx="1">
                  <c:v>145169.0</c:v>
                </c:pt>
                <c:pt idx="2">
                  <c:v>231720.0</c:v>
                </c:pt>
                <c:pt idx="3">
                  <c:v>210432.0</c:v>
                </c:pt>
                <c:pt idx="4">
                  <c:v>173368.0</c:v>
                </c:pt>
                <c:pt idx="5">
                  <c:v>160719.0</c:v>
                </c:pt>
                <c:pt idx="6">
                  <c:v>145105.0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17560"/>
        <c:axId val="-2050214504"/>
      </c:areaChart>
      <c:catAx>
        <c:axId val="-205021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214504"/>
        <c:crosses val="autoZero"/>
        <c:auto val="1"/>
        <c:lblAlgn val="ctr"/>
        <c:lblOffset val="100"/>
        <c:noMultiLvlLbl val="0"/>
      </c:catAx>
      <c:valAx>
        <c:axId val="-2050214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2175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车辆性质!$A$26</c:f>
              <c:strCache>
                <c:ptCount val="1"/>
                <c:pt idx="0">
                  <c:v>公路客运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车辆性质!$F$26:$L$26</c:f>
              <c:numCache>
                <c:formatCode>General</c:formatCode>
                <c:ptCount val="7"/>
                <c:pt idx="0">
                  <c:v>1.676525037251095</c:v>
                </c:pt>
                <c:pt idx="1">
                  <c:v>1.803288605367356</c:v>
                </c:pt>
                <c:pt idx="2">
                  <c:v>2.10781360737066</c:v>
                </c:pt>
                <c:pt idx="3">
                  <c:v>2.178098253019111</c:v>
                </c:pt>
                <c:pt idx="4">
                  <c:v>2.191680633856468</c:v>
                </c:pt>
                <c:pt idx="5">
                  <c:v>2.258777633289987</c:v>
                </c:pt>
                <c:pt idx="6">
                  <c:v>2.416481069042316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车辆性质!$A$27</c:f>
              <c:strCache>
                <c:ptCount val="1"/>
                <c:pt idx="0">
                  <c:v>公交客运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车辆性质!$F$27:$L$27</c:f>
              <c:numCache>
                <c:formatCode>General</c:formatCode>
                <c:ptCount val="7"/>
                <c:pt idx="0">
                  <c:v>1.167065868263473</c:v>
                </c:pt>
                <c:pt idx="1">
                  <c:v>1.262160709486697</c:v>
                </c:pt>
                <c:pt idx="2">
                  <c:v>1.387178673437004</c:v>
                </c:pt>
                <c:pt idx="3">
                  <c:v>1.442495126705653</c:v>
                </c:pt>
                <c:pt idx="4">
                  <c:v>1.400316455696202</c:v>
                </c:pt>
                <c:pt idx="5">
                  <c:v>1.414048059149723</c:v>
                </c:pt>
                <c:pt idx="6">
                  <c:v>1.424726134585289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车辆性质!$A$28</c:f>
              <c:strCache>
                <c:ptCount val="1"/>
                <c:pt idx="0">
                  <c:v>出租客运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车辆性质!$F$28:$L$28</c:f>
              <c:numCache>
                <c:formatCode>General</c:formatCode>
                <c:ptCount val="7"/>
                <c:pt idx="0">
                  <c:v>0.958178553739475</c:v>
                </c:pt>
                <c:pt idx="1">
                  <c:v>1.112890215374687</c:v>
                </c:pt>
                <c:pt idx="2">
                  <c:v>1.232742050634302</c:v>
                </c:pt>
                <c:pt idx="3">
                  <c:v>1.300619906665738</c:v>
                </c:pt>
                <c:pt idx="4">
                  <c:v>1.28954322385806</c:v>
                </c:pt>
                <c:pt idx="5">
                  <c:v>1.276728186087146</c:v>
                </c:pt>
                <c:pt idx="6">
                  <c:v>1.292814833891321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车辆性质!$A$29</c:f>
              <c:strCache>
                <c:ptCount val="1"/>
                <c:pt idx="0">
                  <c:v>货运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车辆性质!$F$29:$L$29</c:f>
              <c:numCache>
                <c:formatCode>General</c:formatCode>
                <c:ptCount val="7"/>
                <c:pt idx="0">
                  <c:v>1.14083015891139</c:v>
                </c:pt>
                <c:pt idx="1">
                  <c:v>1.259470792365529</c:v>
                </c:pt>
                <c:pt idx="2">
                  <c:v>1.379016487045892</c:v>
                </c:pt>
                <c:pt idx="3">
                  <c:v>1.412231566914346</c:v>
                </c:pt>
                <c:pt idx="4">
                  <c:v>1.454773089419117</c:v>
                </c:pt>
                <c:pt idx="5">
                  <c:v>1.473680332096976</c:v>
                </c:pt>
                <c:pt idx="6">
                  <c:v>1.50436578024329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车辆性质!$A$30</c:f>
              <c:strCache>
                <c:ptCount val="1"/>
                <c:pt idx="0">
                  <c:v>私用</c:v>
                </c:pt>
              </c:strCache>
            </c:strRef>
          </c:tx>
          <c:marker>
            <c:symbol val="none"/>
          </c:marker>
          <c:cat>
            <c:numRef>
              <c:f>车辆性质!$F$25:$L$25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车辆性质!$F$30:$L$30</c:f>
              <c:numCache>
                <c:formatCode>General</c:formatCode>
                <c:ptCount val="7"/>
                <c:pt idx="0">
                  <c:v>1.225376088677751</c:v>
                </c:pt>
                <c:pt idx="1">
                  <c:v>1.292992955079161</c:v>
                </c:pt>
                <c:pt idx="2">
                  <c:v>1.36670319506163</c:v>
                </c:pt>
                <c:pt idx="3">
                  <c:v>1.407922748096803</c:v>
                </c:pt>
                <c:pt idx="4">
                  <c:v>1.414471363846008</c:v>
                </c:pt>
                <c:pt idx="5">
                  <c:v>1.424136766692113</c:v>
                </c:pt>
                <c:pt idx="6">
                  <c:v>1.429845996476672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83400"/>
        <c:axId val="-2120480344"/>
      </c:lineChart>
      <c:catAx>
        <c:axId val="-212048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480344"/>
        <c:crosses val="autoZero"/>
        <c:auto val="1"/>
        <c:lblAlgn val="ctr"/>
        <c:lblOffset val="100"/>
        <c:noMultiLvlLbl val="0"/>
      </c:catAx>
      <c:valAx>
        <c:axId val="-2120480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048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车辆性质!$A$34</c:f>
              <c:strCache>
                <c:ptCount val="1"/>
                <c:pt idx="0">
                  <c:v>公路客运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车辆性质!$F$34:$L$34</c:f>
              <c:numCache>
                <c:formatCode>General</c:formatCode>
                <c:ptCount val="7"/>
                <c:pt idx="0">
                  <c:v>0.191677888499865</c:v>
                </c:pt>
                <c:pt idx="1">
                  <c:v>0.194352108810344</c:v>
                </c:pt>
                <c:pt idx="2">
                  <c:v>0.182574706846551</c:v>
                </c:pt>
                <c:pt idx="3">
                  <c:v>0.191957797276202</c:v>
                </c:pt>
                <c:pt idx="4">
                  <c:v>0.217255283648498</c:v>
                </c:pt>
                <c:pt idx="5">
                  <c:v>0.217945554733119</c:v>
                </c:pt>
                <c:pt idx="6">
                  <c:v>0.212903225806452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车辆性质!$A$35</c:f>
              <c:strCache>
                <c:ptCount val="1"/>
                <c:pt idx="0">
                  <c:v>公交客运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车辆性质!$F$35:$L$35</c:f>
              <c:numCache>
                <c:formatCode>General</c:formatCode>
                <c:ptCount val="7"/>
                <c:pt idx="0">
                  <c:v>0.137711646998461</c:v>
                </c:pt>
                <c:pt idx="1">
                  <c:v>0.148834238262536</c:v>
                </c:pt>
                <c:pt idx="2">
                  <c:v>0.139327385037749</c:v>
                </c:pt>
                <c:pt idx="3">
                  <c:v>0.147665847665848</c:v>
                </c:pt>
                <c:pt idx="4">
                  <c:v>0.171105730427764</c:v>
                </c:pt>
                <c:pt idx="5">
                  <c:v>0.177404295051354</c:v>
                </c:pt>
                <c:pt idx="6">
                  <c:v>0.175527240773286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车辆性质!$A$36</c:f>
              <c:strCache>
                <c:ptCount val="1"/>
                <c:pt idx="0">
                  <c:v>出租客运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车辆性质!$F$36:$L$36</c:f>
              <c:numCache>
                <c:formatCode>General</c:formatCode>
                <c:ptCount val="7"/>
                <c:pt idx="0">
                  <c:v>0.0946919523147998</c:v>
                </c:pt>
                <c:pt idx="1">
                  <c:v>0.0915449570543253</c:v>
                </c:pt>
                <c:pt idx="2">
                  <c:v>0.0893660622800374</c:v>
                </c:pt>
                <c:pt idx="3">
                  <c:v>0.0918438386975847</c:v>
                </c:pt>
                <c:pt idx="4">
                  <c:v>0.103995901639344</c:v>
                </c:pt>
                <c:pt idx="5">
                  <c:v>0.102643058763151</c:v>
                </c:pt>
                <c:pt idx="6">
                  <c:v>0.104482071713147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车辆性质!$A$37</c:f>
              <c:strCache>
                <c:ptCount val="1"/>
                <c:pt idx="0">
                  <c:v>货运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车辆性质!$F$37:$L$37</c:f>
              <c:numCache>
                <c:formatCode>General</c:formatCode>
                <c:ptCount val="7"/>
                <c:pt idx="0">
                  <c:v>0.265633103147092</c:v>
                </c:pt>
                <c:pt idx="1">
                  <c:v>0.266804431433328</c:v>
                </c:pt>
                <c:pt idx="2">
                  <c:v>0.258190400281553</c:v>
                </c:pt>
                <c:pt idx="3">
                  <c:v>0.267027452068734</c:v>
                </c:pt>
                <c:pt idx="4">
                  <c:v>0.287557433249406</c:v>
                </c:pt>
                <c:pt idx="5">
                  <c:v>0.302958579881657</c:v>
                </c:pt>
                <c:pt idx="6">
                  <c:v>0.312564077124053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车辆性质!$A$38</c:f>
              <c:strCache>
                <c:ptCount val="1"/>
                <c:pt idx="0">
                  <c:v>私用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车辆性质!$F$38:$L$38</c:f>
              <c:numCache>
                <c:formatCode>General</c:formatCode>
                <c:ptCount val="7"/>
                <c:pt idx="0">
                  <c:v>0.159383581559138</c:v>
                </c:pt>
                <c:pt idx="1">
                  <c:v>0.149506702287214</c:v>
                </c:pt>
                <c:pt idx="2">
                  <c:v>0.147715360764452</c:v>
                </c:pt>
                <c:pt idx="3">
                  <c:v>0.151507820343781</c:v>
                </c:pt>
                <c:pt idx="4">
                  <c:v>0.168674236611938</c:v>
                </c:pt>
                <c:pt idx="5">
                  <c:v>0.17160705725905</c:v>
                </c:pt>
                <c:pt idx="6">
                  <c:v>0.176134266750697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802776"/>
        <c:axId val="-2050799720"/>
      </c:lineChart>
      <c:catAx>
        <c:axId val="-205080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799720"/>
        <c:crosses val="autoZero"/>
        <c:auto val="1"/>
        <c:lblAlgn val="ctr"/>
        <c:lblOffset val="100"/>
        <c:noMultiLvlLbl val="0"/>
      </c:catAx>
      <c:valAx>
        <c:axId val="-2050799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80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车辆性质!$A$29</c:f>
              <c:strCache>
                <c:ptCount val="1"/>
                <c:pt idx="0">
                  <c:v>货运</c:v>
                </c:pt>
              </c:strCache>
            </c:strRef>
          </c:tx>
          <c:marker>
            <c:symbol val="none"/>
          </c:marker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车辆性质!$F$29:$L$29</c:f>
              <c:numCache>
                <c:formatCode>General</c:formatCode>
                <c:ptCount val="7"/>
                <c:pt idx="0">
                  <c:v>1.14083015891139</c:v>
                </c:pt>
                <c:pt idx="1">
                  <c:v>1.259470792365529</c:v>
                </c:pt>
                <c:pt idx="2">
                  <c:v>1.379016487045892</c:v>
                </c:pt>
                <c:pt idx="3">
                  <c:v>1.412231566914346</c:v>
                </c:pt>
                <c:pt idx="4">
                  <c:v>1.454773089419117</c:v>
                </c:pt>
                <c:pt idx="5">
                  <c:v>1.473680332096976</c:v>
                </c:pt>
                <c:pt idx="6">
                  <c:v>1.50436578024329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车辆性质!$A$30</c:f>
              <c:strCache>
                <c:ptCount val="1"/>
                <c:pt idx="0">
                  <c:v>私用</c:v>
                </c:pt>
              </c:strCache>
            </c:strRef>
          </c:tx>
          <c:marker>
            <c:symbol val="none"/>
          </c:marker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车辆性质!$F$30:$L$30</c:f>
              <c:numCache>
                <c:formatCode>General</c:formatCode>
                <c:ptCount val="7"/>
                <c:pt idx="0">
                  <c:v>1.225376088677751</c:v>
                </c:pt>
                <c:pt idx="1">
                  <c:v>1.292992955079161</c:v>
                </c:pt>
                <c:pt idx="2">
                  <c:v>1.36670319506163</c:v>
                </c:pt>
                <c:pt idx="3">
                  <c:v>1.407922748096803</c:v>
                </c:pt>
                <c:pt idx="4">
                  <c:v>1.414471363846008</c:v>
                </c:pt>
                <c:pt idx="5">
                  <c:v>1.424136766692113</c:v>
                </c:pt>
                <c:pt idx="6">
                  <c:v>1.429845996476672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车辆性质!$A$31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车辆性质!$F$31:$L$31</c:f>
              <c:numCache>
                <c:formatCode>General</c:formatCode>
                <c:ptCount val="7"/>
                <c:pt idx="0">
                  <c:v>1.135264506486911</c:v>
                </c:pt>
                <c:pt idx="1">
                  <c:v>1.26295157844239</c:v>
                </c:pt>
                <c:pt idx="2">
                  <c:v>1.374393118979041</c:v>
                </c:pt>
                <c:pt idx="3">
                  <c:v>1.412219712782961</c:v>
                </c:pt>
                <c:pt idx="4">
                  <c:v>1.426837453432075</c:v>
                </c:pt>
                <c:pt idx="5">
                  <c:v>1.438567490801381</c:v>
                </c:pt>
                <c:pt idx="6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60504"/>
        <c:axId val="-2050757224"/>
      </c:lineChart>
      <c:lineChart>
        <c:grouping val="standard"/>
        <c:varyColors val="0"/>
        <c:ser>
          <c:idx val="0"/>
          <c:order val="3"/>
          <c:tx>
            <c:strRef>
              <c:f>车辆性质!$A$8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车辆性质!$F$1:$L$1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车辆性质!$F$8:$L$8</c:f>
              <c:numCache>
                <c:formatCode>General</c:formatCode>
                <c:ptCount val="7"/>
                <c:pt idx="0">
                  <c:v>285444.0</c:v>
                </c:pt>
                <c:pt idx="1">
                  <c:v>265422.0</c:v>
                </c:pt>
                <c:pt idx="2">
                  <c:v>304786.0</c:v>
                </c:pt>
                <c:pt idx="3">
                  <c:v>265915.0</c:v>
                </c:pt>
                <c:pt idx="4">
                  <c:v>217342.0</c:v>
                </c:pt>
                <c:pt idx="5">
                  <c:v>195270.0</c:v>
                </c:pt>
                <c:pt idx="6">
                  <c:v>178829.0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51256"/>
        <c:axId val="-2050754248"/>
      </c:lineChart>
      <c:catAx>
        <c:axId val="-205076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757224"/>
        <c:crosses val="autoZero"/>
        <c:auto val="1"/>
        <c:lblAlgn val="ctr"/>
        <c:lblOffset val="100"/>
        <c:noMultiLvlLbl val="0"/>
      </c:catAx>
      <c:valAx>
        <c:axId val="-2050757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760504"/>
        <c:crosses val="autoZero"/>
        <c:crossBetween val="between"/>
      </c:valAx>
      <c:valAx>
        <c:axId val="-2050754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0751256"/>
        <c:crosses val="max"/>
        <c:crossBetween val="between"/>
      </c:valAx>
      <c:catAx>
        <c:axId val="-2050751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07542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车辆性质!$A$37</c:f>
              <c:strCache>
                <c:ptCount val="1"/>
                <c:pt idx="0">
                  <c:v>货运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车辆性质!$F$37:$L$37</c:f>
              <c:numCache>
                <c:formatCode>General</c:formatCode>
                <c:ptCount val="7"/>
                <c:pt idx="0">
                  <c:v>0.265633103147092</c:v>
                </c:pt>
                <c:pt idx="1">
                  <c:v>0.266804431433328</c:v>
                </c:pt>
                <c:pt idx="2">
                  <c:v>0.258190400281553</c:v>
                </c:pt>
                <c:pt idx="3">
                  <c:v>0.267027452068734</c:v>
                </c:pt>
                <c:pt idx="4">
                  <c:v>0.287557433249406</c:v>
                </c:pt>
                <c:pt idx="5">
                  <c:v>0.302958579881657</c:v>
                </c:pt>
                <c:pt idx="6">
                  <c:v>0.312564077124053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车辆性质!$A$38</c:f>
              <c:strCache>
                <c:ptCount val="1"/>
                <c:pt idx="0">
                  <c:v>私用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车辆性质!$F$38:$L$38</c:f>
              <c:numCache>
                <c:formatCode>General</c:formatCode>
                <c:ptCount val="7"/>
                <c:pt idx="0">
                  <c:v>0.159383581559138</c:v>
                </c:pt>
                <c:pt idx="1">
                  <c:v>0.149506702287214</c:v>
                </c:pt>
                <c:pt idx="2">
                  <c:v>0.147715360764452</c:v>
                </c:pt>
                <c:pt idx="3">
                  <c:v>0.151507820343781</c:v>
                </c:pt>
                <c:pt idx="4">
                  <c:v>0.168674236611938</c:v>
                </c:pt>
                <c:pt idx="5">
                  <c:v>0.17160705725905</c:v>
                </c:pt>
                <c:pt idx="6">
                  <c:v>0.176134266750697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车辆性质!$A$39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numRef>
              <c:f>车辆性质!$F$33:$L$33</c:f>
              <c:numCache>
                <c:formatCode>General</c:formatCode>
                <c:ptCount val="7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</c:numCache>
            </c:numRef>
          </c:cat>
          <c:val>
            <c:numRef>
              <c:f>车辆性质!$F$39:$L$39</c:f>
              <c:numCache>
                <c:formatCode>General</c:formatCode>
                <c:ptCount val="7"/>
                <c:pt idx="0">
                  <c:v>0.182122015644427</c:v>
                </c:pt>
                <c:pt idx="1">
                  <c:v>0.17363610944537</c:v>
                </c:pt>
                <c:pt idx="2">
                  <c:v>0.1718325604982</c:v>
                </c:pt>
                <c:pt idx="3">
                  <c:v>0.176694633740973</c:v>
                </c:pt>
                <c:pt idx="4">
                  <c:v>0.194195077734585</c:v>
                </c:pt>
                <c:pt idx="5">
                  <c:v>0.197614936829948</c:v>
                </c:pt>
                <c:pt idx="6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20664"/>
        <c:axId val="-2050717688"/>
      </c:lineChart>
      <c:catAx>
        <c:axId val="-205072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717688"/>
        <c:crosses val="autoZero"/>
        <c:auto val="1"/>
        <c:lblAlgn val="ctr"/>
        <c:lblOffset val="100"/>
        <c:noMultiLvlLbl val="0"/>
      </c:catAx>
      <c:valAx>
        <c:axId val="-2050717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72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事故形态!$A$54</c:f>
              <c:strCache>
                <c:ptCount val="1"/>
                <c:pt idx="0">
                  <c:v>正面相撞</c:v>
                </c:pt>
              </c:strCache>
            </c:strRef>
          </c:tx>
          <c:marker>
            <c:symbol val="none"/>
          </c:marker>
          <c:cat>
            <c:numRef>
              <c:f>事故形态!$B$53:$L$53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事故形态!$B$54:$L$54</c:f>
              <c:numCache>
                <c:formatCode>General</c:formatCode>
                <c:ptCount val="11"/>
                <c:pt idx="0">
                  <c:v>1.072961406784936</c:v>
                </c:pt>
                <c:pt idx="1">
                  <c:v>1.117129337740331</c:v>
                </c:pt>
                <c:pt idx="2">
                  <c:v>1.150723411776588</c:v>
                </c:pt>
                <c:pt idx="3">
                  <c:v>1.185870296955644</c:v>
                </c:pt>
                <c:pt idx="4">
                  <c:v>1.296050235885318</c:v>
                </c:pt>
                <c:pt idx="5">
                  <c:v>1.325352739985042</c:v>
                </c:pt>
                <c:pt idx="6">
                  <c:v>1.42624678061344</c:v>
                </c:pt>
                <c:pt idx="7">
                  <c:v>1.460596869414505</c:v>
                </c:pt>
                <c:pt idx="8">
                  <c:v>1.473977027997128</c:v>
                </c:pt>
                <c:pt idx="9">
                  <c:v>1.511587982832618</c:v>
                </c:pt>
                <c:pt idx="10">
                  <c:v>1.525995118459929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事故形态!$A$55</c:f>
              <c:strCache>
                <c:ptCount val="1"/>
                <c:pt idx="0">
                  <c:v>侧面相撞</c:v>
                </c:pt>
              </c:strCache>
            </c:strRef>
          </c:tx>
          <c:marker>
            <c:symbol val="none"/>
          </c:marker>
          <c:cat>
            <c:numRef>
              <c:f>事故形态!$B$53:$L$53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事故形态!$B$55:$L$55</c:f>
              <c:numCache>
                <c:formatCode>General</c:formatCode>
                <c:ptCount val="11"/>
                <c:pt idx="0">
                  <c:v>0.780330865034952</c:v>
                </c:pt>
                <c:pt idx="1">
                  <c:v>0.874760665525676</c:v>
                </c:pt>
                <c:pt idx="2">
                  <c:v>0.910923869791304</c:v>
                </c:pt>
                <c:pt idx="3">
                  <c:v>0.945859162076915</c:v>
                </c:pt>
                <c:pt idx="4">
                  <c:v>1.100534558278031</c:v>
                </c:pt>
                <c:pt idx="5">
                  <c:v>1.19442882526259</c:v>
                </c:pt>
                <c:pt idx="6">
                  <c:v>1.284554702837765</c:v>
                </c:pt>
                <c:pt idx="7">
                  <c:v>1.331986693986578</c:v>
                </c:pt>
                <c:pt idx="8">
                  <c:v>1.347435084201265</c:v>
                </c:pt>
                <c:pt idx="9">
                  <c:v>1.361596094136705</c:v>
                </c:pt>
                <c:pt idx="10">
                  <c:v>1.377708827050402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事故形态!$A$56</c:f>
              <c:strCache>
                <c:ptCount val="1"/>
                <c:pt idx="0">
                  <c:v>尾随相撞</c:v>
                </c:pt>
              </c:strCache>
            </c:strRef>
          </c:tx>
          <c:marker>
            <c:symbol val="none"/>
          </c:marker>
          <c:cat>
            <c:numRef>
              <c:f>事故形态!$B$53:$L$53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事故形态!$B$56:$L$56</c:f>
              <c:numCache>
                <c:formatCode>General</c:formatCode>
                <c:ptCount val="11"/>
                <c:pt idx="0">
                  <c:v>0.58864692847265</c:v>
                </c:pt>
                <c:pt idx="1">
                  <c:v>0.680858586255392</c:v>
                </c:pt>
                <c:pt idx="2">
                  <c:v>0.703220084069261</c:v>
                </c:pt>
                <c:pt idx="3">
                  <c:v>0.687715677371419</c:v>
                </c:pt>
                <c:pt idx="4">
                  <c:v>0.949283875321819</c:v>
                </c:pt>
                <c:pt idx="5">
                  <c:v>1.266140021042827</c:v>
                </c:pt>
                <c:pt idx="6">
                  <c:v>1.440402148955616</c:v>
                </c:pt>
                <c:pt idx="7">
                  <c:v>1.489228667507356</c:v>
                </c:pt>
                <c:pt idx="8">
                  <c:v>1.509485006518905</c:v>
                </c:pt>
                <c:pt idx="9">
                  <c:v>1.54380218112092</c:v>
                </c:pt>
                <c:pt idx="10">
                  <c:v>1.600278363938401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事故形态!$A$57</c:f>
              <c:strCache>
                <c:ptCount val="1"/>
                <c:pt idx="0">
                  <c:v>刮撞行人</c:v>
                </c:pt>
              </c:strCache>
            </c:strRef>
          </c:tx>
          <c:marker>
            <c:symbol val="none"/>
          </c:marker>
          <c:cat>
            <c:numRef>
              <c:f>事故形态!$B$53:$L$53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事故形态!$B$57:$L$57</c:f>
              <c:numCache>
                <c:formatCode>General</c:formatCode>
                <c:ptCount val="11"/>
                <c:pt idx="6">
                  <c:v>1.219425013452225</c:v>
                </c:pt>
                <c:pt idx="7">
                  <c:v>1.227830076734436</c:v>
                </c:pt>
                <c:pt idx="8">
                  <c:v>1.230833006065366</c:v>
                </c:pt>
                <c:pt idx="9">
                  <c:v>1.210480249638481</c:v>
                </c:pt>
                <c:pt idx="10">
                  <c:v>1.223942169404284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849048"/>
        <c:axId val="-2050845928"/>
      </c:lineChart>
      <c:catAx>
        <c:axId val="-20508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845928"/>
        <c:crosses val="autoZero"/>
        <c:auto val="1"/>
        <c:lblAlgn val="ctr"/>
        <c:lblOffset val="100"/>
        <c:noMultiLvlLbl val="0"/>
      </c:catAx>
      <c:valAx>
        <c:axId val="-205084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4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事故形态!$A$70</c:f>
              <c:strCache>
                <c:ptCount val="1"/>
                <c:pt idx="0">
                  <c:v>正面相撞</c:v>
                </c:pt>
              </c:strCache>
            </c:strRef>
          </c:tx>
          <c:marker>
            <c:symbol val="none"/>
          </c:marker>
          <c:cat>
            <c:strRef>
              <c:f>事故形态!$B$68:$L$69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事故形态!$B$70:$L$70</c:f>
              <c:numCache>
                <c:formatCode>General</c:formatCode>
                <c:ptCount val="11"/>
                <c:pt idx="0">
                  <c:v>0.200831055062837</c:v>
                </c:pt>
                <c:pt idx="1">
                  <c:v>0.177538978992674</c:v>
                </c:pt>
                <c:pt idx="2">
                  <c:v>0.177670014756463</c:v>
                </c:pt>
                <c:pt idx="3">
                  <c:v>0.190375869659831</c:v>
                </c:pt>
                <c:pt idx="4">
                  <c:v>0.198018256515278</c:v>
                </c:pt>
                <c:pt idx="5">
                  <c:v>0.189464406865636</c:v>
                </c:pt>
                <c:pt idx="6">
                  <c:v>0.173937727434403</c:v>
                </c:pt>
                <c:pt idx="7">
                  <c:v>0.175644306003634</c:v>
                </c:pt>
                <c:pt idx="8">
                  <c:v>0.193651715385552</c:v>
                </c:pt>
                <c:pt idx="9">
                  <c:v>0.199384091206919</c:v>
                </c:pt>
                <c:pt idx="10">
                  <c:v>0.210828232294686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事故形态!$A$71</c:f>
              <c:strCache>
                <c:ptCount val="1"/>
                <c:pt idx="0">
                  <c:v>侧面相撞</c:v>
                </c:pt>
              </c:strCache>
            </c:strRef>
          </c:tx>
          <c:marker>
            <c:symbol val="none"/>
          </c:marker>
          <c:cat>
            <c:strRef>
              <c:f>事故形态!$B$68:$L$69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事故形态!$B$71:$L$71</c:f>
              <c:numCache>
                <c:formatCode>General</c:formatCode>
                <c:ptCount val="11"/>
                <c:pt idx="0">
                  <c:v>0.142969249900397</c:v>
                </c:pt>
                <c:pt idx="1">
                  <c:v>0.126811901709497</c:v>
                </c:pt>
                <c:pt idx="2">
                  <c:v>0.125620788077476</c:v>
                </c:pt>
                <c:pt idx="3">
                  <c:v>0.134566376674853</c:v>
                </c:pt>
                <c:pt idx="4">
                  <c:v>0.13805330981656</c:v>
                </c:pt>
                <c:pt idx="5">
                  <c:v>0.127952848575006</c:v>
                </c:pt>
                <c:pt idx="6">
                  <c:v>0.12639078773328</c:v>
                </c:pt>
                <c:pt idx="7">
                  <c:v>0.13057477563883</c:v>
                </c:pt>
                <c:pt idx="8">
                  <c:v>0.142899446473451</c:v>
                </c:pt>
                <c:pt idx="9">
                  <c:v>0.142495972239435</c:v>
                </c:pt>
                <c:pt idx="10">
                  <c:v>0.146273341490663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事故形态!$A$72</c:f>
              <c:strCache>
                <c:ptCount val="1"/>
                <c:pt idx="0">
                  <c:v>尾随相撞</c:v>
                </c:pt>
              </c:strCache>
            </c:strRef>
          </c:tx>
          <c:marker>
            <c:symbol val="none"/>
          </c:marker>
          <c:cat>
            <c:strRef>
              <c:f>事故形态!$B$68:$L$69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事故形态!$B$72:$L$72</c:f>
              <c:numCache>
                <c:formatCode>General</c:formatCode>
                <c:ptCount val="11"/>
                <c:pt idx="0">
                  <c:v>0.177370506651571</c:v>
                </c:pt>
                <c:pt idx="1">
                  <c:v>0.163802951799582</c:v>
                </c:pt>
                <c:pt idx="2">
                  <c:v>0.170231201193296</c:v>
                </c:pt>
                <c:pt idx="3">
                  <c:v>0.186607925284804</c:v>
                </c:pt>
                <c:pt idx="4">
                  <c:v>0.203617884038127</c:v>
                </c:pt>
                <c:pt idx="5">
                  <c:v>0.198618660345744</c:v>
                </c:pt>
                <c:pt idx="6">
                  <c:v>0.206794088060048</c:v>
                </c:pt>
                <c:pt idx="7">
                  <c:v>0.217090639664115</c:v>
                </c:pt>
                <c:pt idx="8">
                  <c:v>0.23860421929995</c:v>
                </c:pt>
                <c:pt idx="9">
                  <c:v>0.24002484086322</c:v>
                </c:pt>
                <c:pt idx="10">
                  <c:v>0.251297589989619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事故形态!$A$73</c:f>
              <c:strCache>
                <c:ptCount val="1"/>
                <c:pt idx="0">
                  <c:v>刮撞行人</c:v>
                </c:pt>
              </c:strCache>
            </c:strRef>
          </c:tx>
          <c:marker>
            <c:symbol val="none"/>
          </c:marker>
          <c:cat>
            <c:strRef>
              <c:f>事故形态!$B$68:$L$69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事故形态!$B$73:$L$73</c:f>
              <c:numCache>
                <c:formatCode>General</c:formatCode>
                <c:ptCount val="11"/>
                <c:pt idx="6">
                  <c:v>0.188230844391213</c:v>
                </c:pt>
                <c:pt idx="7">
                  <c:v>0.19934282584885</c:v>
                </c:pt>
                <c:pt idx="8">
                  <c:v>0.221221682561066</c:v>
                </c:pt>
                <c:pt idx="9">
                  <c:v>0.22644534565689</c:v>
                </c:pt>
                <c:pt idx="10">
                  <c:v>0.231423358792789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63576"/>
        <c:axId val="-2050360456"/>
      </c:lineChart>
      <c:catAx>
        <c:axId val="-205036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360456"/>
        <c:crosses val="autoZero"/>
        <c:auto val="1"/>
        <c:lblAlgn val="ctr"/>
        <c:lblOffset val="100"/>
        <c:noMultiLvlLbl val="0"/>
      </c:catAx>
      <c:valAx>
        <c:axId val="-205036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36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事故形态!$N$2:$N$9</c:f>
              <c:strCache>
                <c:ptCount val="8"/>
                <c:pt idx="0">
                  <c:v>正面相撞</c:v>
                </c:pt>
                <c:pt idx="1">
                  <c:v>侧面相撞</c:v>
                </c:pt>
                <c:pt idx="2">
                  <c:v>尾随相撞</c:v>
                </c:pt>
                <c:pt idx="3">
                  <c:v>刮撞行人</c:v>
                </c:pt>
                <c:pt idx="4">
                  <c:v>翻车</c:v>
                </c:pt>
                <c:pt idx="5">
                  <c:v>撞固定物</c:v>
                </c:pt>
                <c:pt idx="6">
                  <c:v>碾压</c:v>
                </c:pt>
                <c:pt idx="7">
                  <c:v>其他</c:v>
                </c:pt>
              </c:strCache>
            </c:strRef>
          </c:cat>
          <c:val>
            <c:numRef>
              <c:f>事故形态!$O$2:$O$9</c:f>
              <c:numCache>
                <c:formatCode>General</c:formatCode>
                <c:ptCount val="8"/>
                <c:pt idx="0">
                  <c:v>17531.0</c:v>
                </c:pt>
                <c:pt idx="1">
                  <c:v>16497.0</c:v>
                </c:pt>
                <c:pt idx="2">
                  <c:v>8957.0</c:v>
                </c:pt>
                <c:pt idx="3">
                  <c:v>7484.0</c:v>
                </c:pt>
                <c:pt idx="4">
                  <c:v>3570.0</c:v>
                </c:pt>
                <c:pt idx="5">
                  <c:v>2697.0</c:v>
                </c:pt>
                <c:pt idx="6">
                  <c:v>2173.0</c:v>
                </c:pt>
                <c:pt idx="7">
                  <c:v>1617.0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337688"/>
        <c:axId val="-2050334680"/>
      </c:barChart>
      <c:catAx>
        <c:axId val="-205033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334680"/>
        <c:crosses val="autoZero"/>
        <c:auto val="1"/>
        <c:lblAlgn val="ctr"/>
        <c:lblOffset val="100"/>
        <c:noMultiLvlLbl val="0"/>
      </c:catAx>
      <c:valAx>
        <c:axId val="-205033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33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事故形态!$A$89</c:f>
              <c:strCache>
                <c:ptCount val="1"/>
                <c:pt idx="0">
                  <c:v>正面相撞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事故形态!$B$89:$K$89</c:f>
              <c:numCache>
                <c:formatCode>General</c:formatCode>
                <c:ptCount val="10"/>
                <c:pt idx="0">
                  <c:v>27694.0</c:v>
                </c:pt>
                <c:pt idx="1">
                  <c:v>31143.0</c:v>
                </c:pt>
                <c:pt idx="2">
                  <c:v>32388.0</c:v>
                </c:pt>
                <c:pt idx="3">
                  <c:v>30182.0</c:v>
                </c:pt>
                <c:pt idx="4">
                  <c:v>31715.0</c:v>
                </c:pt>
                <c:pt idx="5">
                  <c:v>29881.0</c:v>
                </c:pt>
                <c:pt idx="6">
                  <c:v>25429.0</c:v>
                </c:pt>
                <c:pt idx="7">
                  <c:v>23683.0</c:v>
                </c:pt>
                <c:pt idx="8">
                  <c:v>20676.0</c:v>
                </c:pt>
                <c:pt idx="9">
                  <c:v>18258.0</c:v>
                </c:pt>
              </c:numCache>
            </c:numRef>
          </c:val>
        </c:ser>
        <c:ser>
          <c:idx val="1"/>
          <c:order val="1"/>
          <c:tx>
            <c:strRef>
              <c:f>事故形态!$A$90</c:f>
              <c:strCache>
                <c:ptCount val="1"/>
                <c:pt idx="0">
                  <c:v>侧面相撞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事故形态!$B$90:$K$90</c:f>
              <c:numCache>
                <c:formatCode>General</c:formatCode>
                <c:ptCount val="10"/>
                <c:pt idx="0">
                  <c:v>23684.0</c:v>
                </c:pt>
                <c:pt idx="1">
                  <c:v>28389.0</c:v>
                </c:pt>
                <c:pt idx="2">
                  <c:v>29620.0</c:v>
                </c:pt>
                <c:pt idx="3">
                  <c:v>29095.0</c:v>
                </c:pt>
                <c:pt idx="4">
                  <c:v>29900.0</c:v>
                </c:pt>
                <c:pt idx="5">
                  <c:v>27180.0</c:v>
                </c:pt>
                <c:pt idx="6">
                  <c:v>22742.0</c:v>
                </c:pt>
                <c:pt idx="7">
                  <c:v>20966.0</c:v>
                </c:pt>
                <c:pt idx="8">
                  <c:v>18820.0</c:v>
                </c:pt>
                <c:pt idx="9">
                  <c:v>17247.0</c:v>
                </c:pt>
              </c:numCache>
            </c:numRef>
          </c:val>
        </c:ser>
        <c:ser>
          <c:idx val="2"/>
          <c:order val="2"/>
          <c:tx>
            <c:strRef>
              <c:f>事故形态!$A$91</c:f>
              <c:strCache>
                <c:ptCount val="1"/>
                <c:pt idx="0">
                  <c:v>尾随相撞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事故形态!$B$91:$K$91</c:f>
              <c:numCache>
                <c:formatCode>General</c:formatCode>
                <c:ptCount val="10"/>
                <c:pt idx="0">
                  <c:v>12533.0</c:v>
                </c:pt>
                <c:pt idx="1">
                  <c:v>14195.0</c:v>
                </c:pt>
                <c:pt idx="2">
                  <c:v>15521.0</c:v>
                </c:pt>
                <c:pt idx="3">
                  <c:v>15545.0</c:v>
                </c:pt>
                <c:pt idx="4">
                  <c:v>15466.0</c:v>
                </c:pt>
                <c:pt idx="5">
                  <c:v>14580.0</c:v>
                </c:pt>
                <c:pt idx="6">
                  <c:v>13362.0</c:v>
                </c:pt>
                <c:pt idx="7">
                  <c:v>12306.0</c:v>
                </c:pt>
                <c:pt idx="8">
                  <c:v>11050.0</c:v>
                </c:pt>
                <c:pt idx="9">
                  <c:v>9276.0</c:v>
                </c:pt>
              </c:numCache>
            </c:numRef>
          </c:val>
        </c:ser>
        <c:ser>
          <c:idx val="3"/>
          <c:order val="3"/>
          <c:tx>
            <c:strRef>
              <c:f>事故形态!$A$92</c:f>
              <c:strCache>
                <c:ptCount val="1"/>
                <c:pt idx="0">
                  <c:v>刮撞行人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事故形态!$B$92:$K$92</c:f>
              <c:numCache>
                <c:formatCode>General</c:formatCode>
                <c:ptCount val="10"/>
                <c:pt idx="6">
                  <c:v>5972.0</c:v>
                </c:pt>
                <c:pt idx="7">
                  <c:v>6188.0</c:v>
                </c:pt>
                <c:pt idx="8">
                  <c:v>6240.0</c:v>
                </c:pt>
                <c:pt idx="9">
                  <c:v>7203.0</c:v>
                </c:pt>
              </c:numCache>
            </c:numRef>
          </c:val>
        </c:ser>
        <c:ser>
          <c:idx val="4"/>
          <c:order val="4"/>
          <c:tx>
            <c:strRef>
              <c:f>事故形态!$A$93</c:f>
              <c:strCache>
                <c:ptCount val="1"/>
                <c:pt idx="0">
                  <c:v>翻车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事故形态!$B$93:$K$93</c:f>
              <c:numCache>
                <c:formatCode>General</c:formatCode>
                <c:ptCount val="10"/>
                <c:pt idx="0">
                  <c:v>6432.0</c:v>
                </c:pt>
                <c:pt idx="1">
                  <c:v>6748.0</c:v>
                </c:pt>
                <c:pt idx="2">
                  <c:v>7077.0</c:v>
                </c:pt>
                <c:pt idx="3">
                  <c:v>6217.0</c:v>
                </c:pt>
                <c:pt idx="4">
                  <c:v>6791.0</c:v>
                </c:pt>
                <c:pt idx="5">
                  <c:v>6245.0</c:v>
                </c:pt>
                <c:pt idx="6">
                  <c:v>5706.0</c:v>
                </c:pt>
                <c:pt idx="7">
                  <c:v>4811.0</c:v>
                </c:pt>
                <c:pt idx="8">
                  <c:v>4313.0</c:v>
                </c:pt>
                <c:pt idx="9">
                  <c:v>4056.0</c:v>
                </c:pt>
              </c:numCache>
            </c:numRef>
          </c:val>
        </c:ser>
        <c:ser>
          <c:idx val="5"/>
          <c:order val="5"/>
          <c:tx>
            <c:strRef>
              <c:f>事故形态!$A$94</c:f>
              <c:strCache>
                <c:ptCount val="1"/>
                <c:pt idx="0">
                  <c:v>撞固定物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事故形态!$B$94:$K$94</c:f>
              <c:numCache>
                <c:formatCode>General</c:formatCode>
                <c:ptCount val="10"/>
                <c:pt idx="0">
                  <c:v>2915.0</c:v>
                </c:pt>
                <c:pt idx="1">
                  <c:v>3464.0</c:v>
                </c:pt>
                <c:pt idx="2">
                  <c:v>3697.0</c:v>
                </c:pt>
                <c:pt idx="3">
                  <c:v>3874.0</c:v>
                </c:pt>
                <c:pt idx="4">
                  <c:v>3704.0</c:v>
                </c:pt>
                <c:pt idx="5">
                  <c:v>3526.0</c:v>
                </c:pt>
                <c:pt idx="6">
                  <c:v>3321.0</c:v>
                </c:pt>
                <c:pt idx="7">
                  <c:v>2810.0</c:v>
                </c:pt>
                <c:pt idx="8">
                  <c:v>2791.0</c:v>
                </c:pt>
                <c:pt idx="9">
                  <c:v>2970.0</c:v>
                </c:pt>
              </c:numCache>
            </c:numRef>
          </c:val>
        </c:ser>
        <c:ser>
          <c:idx val="6"/>
          <c:order val="6"/>
          <c:tx>
            <c:strRef>
              <c:f>事故形态!$A$95</c:f>
              <c:strCache>
                <c:ptCount val="1"/>
                <c:pt idx="0">
                  <c:v>碾压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事故形态!$B$95:$K$95</c:f>
              <c:numCache>
                <c:formatCode>General</c:formatCode>
                <c:ptCount val="10"/>
                <c:pt idx="0">
                  <c:v>5105.0</c:v>
                </c:pt>
                <c:pt idx="1">
                  <c:v>4905.0</c:v>
                </c:pt>
                <c:pt idx="2">
                  <c:v>4452.0</c:v>
                </c:pt>
                <c:pt idx="3">
                  <c:v>4263.0</c:v>
                </c:pt>
                <c:pt idx="4">
                  <c:v>4479.0</c:v>
                </c:pt>
                <c:pt idx="5">
                  <c:v>3977.0</c:v>
                </c:pt>
                <c:pt idx="6">
                  <c:v>3480.0</c:v>
                </c:pt>
                <c:pt idx="7">
                  <c:v>2891.0</c:v>
                </c:pt>
                <c:pt idx="8">
                  <c:v>2489.0</c:v>
                </c:pt>
                <c:pt idx="9">
                  <c:v>2164.0</c:v>
                </c:pt>
              </c:numCache>
            </c:numRef>
          </c:val>
        </c:ser>
        <c:ser>
          <c:idx val="7"/>
          <c:order val="7"/>
          <c:tx>
            <c:strRef>
              <c:f>事故形态!$A$96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事故形态!$B$96:$K$96</c:f>
              <c:numCache>
                <c:formatCode>General</c:formatCode>
                <c:ptCount val="10"/>
                <c:pt idx="0">
                  <c:v>8078.0</c:v>
                </c:pt>
                <c:pt idx="1">
                  <c:v>9555.0</c:v>
                </c:pt>
                <c:pt idx="2">
                  <c:v>9319.0</c:v>
                </c:pt>
                <c:pt idx="3">
                  <c:v>7766.0</c:v>
                </c:pt>
                <c:pt idx="4">
                  <c:v>6680.0</c:v>
                </c:pt>
                <c:pt idx="5">
                  <c:v>5603.0</c:v>
                </c:pt>
                <c:pt idx="6">
                  <c:v>2717.0</c:v>
                </c:pt>
                <c:pt idx="7">
                  <c:v>2224.0</c:v>
                </c:pt>
                <c:pt idx="8">
                  <c:v>1852.0</c:v>
                </c:pt>
                <c:pt idx="9">
                  <c:v>1735.0</c:v>
                </c:pt>
              </c:numCache>
            </c:numRef>
          </c:val>
        </c:ser>
        <c:ser>
          <c:idx val="8"/>
          <c:order val="8"/>
          <c:tx>
            <c:strRef>
              <c:f>事故形态!$A$97</c:f>
              <c:strCache>
                <c:ptCount val="1"/>
                <c:pt idx="0">
                  <c:v>同向刮擦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事故形态!$B$97:$K$97</c:f>
              <c:numCache>
                <c:formatCode>General</c:formatCode>
                <c:ptCount val="10"/>
                <c:pt idx="0">
                  <c:v>2774.0</c:v>
                </c:pt>
                <c:pt idx="1">
                  <c:v>3051.0</c:v>
                </c:pt>
                <c:pt idx="2">
                  <c:v>3085.0</c:v>
                </c:pt>
                <c:pt idx="3">
                  <c:v>2778.0</c:v>
                </c:pt>
                <c:pt idx="4">
                  <c:v>2576.0</c:v>
                </c:pt>
                <c:pt idx="5">
                  <c:v>2238.0</c:v>
                </c:pt>
                <c:pt idx="6">
                  <c:v>1984.0</c:v>
                </c:pt>
                <c:pt idx="7">
                  <c:v>1856.0</c:v>
                </c:pt>
                <c:pt idx="8">
                  <c:v>1854.0</c:v>
                </c:pt>
                <c:pt idx="9">
                  <c:v>1585.0</c:v>
                </c:pt>
              </c:numCache>
            </c:numRef>
          </c:val>
        </c:ser>
        <c:ser>
          <c:idx val="9"/>
          <c:order val="9"/>
          <c:tx>
            <c:strRef>
              <c:f>事故形态!$A$98</c:f>
              <c:strCache>
                <c:ptCount val="1"/>
                <c:pt idx="0">
                  <c:v>撞静止车辆</c:v>
                </c:pt>
              </c:strCache>
            </c:strRef>
          </c:tx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事故形态!$B$98:$K$98</c:f>
              <c:numCache>
                <c:formatCode>General</c:formatCode>
                <c:ptCount val="10"/>
                <c:pt idx="3">
                  <c:v>126.0</c:v>
                </c:pt>
                <c:pt idx="4">
                  <c:v>1347.0</c:v>
                </c:pt>
                <c:pt idx="5">
                  <c:v>1664.0</c:v>
                </c:pt>
                <c:pt idx="6">
                  <c:v>1449.0</c:v>
                </c:pt>
                <c:pt idx="7">
                  <c:v>1201.0</c:v>
                </c:pt>
                <c:pt idx="8">
                  <c:v>1119.0</c:v>
                </c:pt>
                <c:pt idx="9">
                  <c:v>1111.0</c:v>
                </c:pt>
              </c:numCache>
            </c:numRef>
          </c:val>
        </c:ser>
        <c:ser>
          <c:idx val="10"/>
          <c:order val="10"/>
          <c:tx>
            <c:strRef>
              <c:f>事故形态!$A$99</c:f>
              <c:strCache>
                <c:ptCount val="1"/>
                <c:pt idx="0">
                  <c:v>对向刮擦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事故形态!$B$99:$K$99</c:f>
              <c:numCache>
                <c:formatCode>General</c:formatCode>
                <c:ptCount val="10"/>
                <c:pt idx="0">
                  <c:v>2327.0</c:v>
                </c:pt>
                <c:pt idx="1">
                  <c:v>2352.0</c:v>
                </c:pt>
                <c:pt idx="2">
                  <c:v>2155.0</c:v>
                </c:pt>
                <c:pt idx="3">
                  <c:v>2106.0</c:v>
                </c:pt>
                <c:pt idx="4">
                  <c:v>1960.0</c:v>
                </c:pt>
                <c:pt idx="5">
                  <c:v>1615.0</c:v>
                </c:pt>
                <c:pt idx="6">
                  <c:v>1486.0</c:v>
                </c:pt>
                <c:pt idx="7">
                  <c:v>1241.0</c:v>
                </c:pt>
                <c:pt idx="8">
                  <c:v>1098.0</c:v>
                </c:pt>
                <c:pt idx="9">
                  <c:v>1054.0</c:v>
                </c:pt>
              </c:numCache>
            </c:numRef>
          </c:val>
        </c:ser>
        <c:ser>
          <c:idx val="11"/>
          <c:order val="11"/>
          <c:tx>
            <c:strRef>
              <c:f>事故形态!$A$100</c:f>
              <c:strCache>
                <c:ptCount val="1"/>
                <c:pt idx="0">
                  <c:v>坠车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事故形态!$B$100:$K$100</c:f>
              <c:numCache>
                <c:formatCode>General</c:formatCode>
                <c:ptCount val="10"/>
                <c:pt idx="0">
                  <c:v>2230.0</c:v>
                </c:pt>
                <c:pt idx="1">
                  <c:v>2087.0</c:v>
                </c:pt>
                <c:pt idx="2">
                  <c:v>2013.0</c:v>
                </c:pt>
                <c:pt idx="3">
                  <c:v>2353.0</c:v>
                </c:pt>
                <c:pt idx="4">
                  <c:v>2383.0</c:v>
                </c:pt>
                <c:pt idx="5">
                  <c:v>2177.0</c:v>
                </c:pt>
                <c:pt idx="6">
                  <c:v>1732.0</c:v>
                </c:pt>
                <c:pt idx="7">
                  <c:v>1419.0</c:v>
                </c:pt>
                <c:pt idx="8">
                  <c:v>1130.0</c:v>
                </c:pt>
                <c:pt idx="9">
                  <c:v>1072.0</c:v>
                </c:pt>
              </c:numCache>
            </c:numRef>
          </c:val>
        </c:ser>
        <c:ser>
          <c:idx val="12"/>
          <c:order val="12"/>
          <c:tx>
            <c:strRef>
              <c:f>事故形态!$A$101</c:f>
              <c:strCache>
                <c:ptCount val="1"/>
                <c:pt idx="0">
                  <c:v>失火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事故形态!$B$101:$K$101</c:f>
              <c:numCache>
                <c:formatCode>General</c:formatCode>
                <c:ptCount val="10"/>
                <c:pt idx="0">
                  <c:v>80.0</c:v>
                </c:pt>
                <c:pt idx="1">
                  <c:v>42.0</c:v>
                </c:pt>
                <c:pt idx="2">
                  <c:v>55.0</c:v>
                </c:pt>
                <c:pt idx="3">
                  <c:v>66.0</c:v>
                </c:pt>
                <c:pt idx="4">
                  <c:v>77.0</c:v>
                </c:pt>
                <c:pt idx="5">
                  <c:v>52.0</c:v>
                </c:pt>
                <c:pt idx="6">
                  <c:v>47.0</c:v>
                </c:pt>
                <c:pt idx="7">
                  <c:v>34.0</c:v>
                </c:pt>
                <c:pt idx="8">
                  <c:v>41.0</c:v>
                </c:pt>
                <c:pt idx="9">
                  <c:v>19.0</c:v>
                </c:pt>
              </c:numCache>
            </c:numRef>
          </c:val>
        </c:ser>
        <c:ser>
          <c:idx val="13"/>
          <c:order val="13"/>
          <c:tx>
            <c:strRef>
              <c:f>事故形态!$A$102</c:f>
              <c:strCache>
                <c:ptCount val="1"/>
                <c:pt idx="0">
                  <c:v>撞动物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事故形态!$B$88:$K$88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</c:numCache>
            </c:numRef>
          </c:cat>
          <c:val>
            <c:numRef>
              <c:f>事故形态!$B$102:$K$102</c:f>
              <c:numCache>
                <c:formatCode>General</c:formatCode>
                <c:ptCount val="10"/>
                <c:pt idx="6">
                  <c:v>28.0</c:v>
                </c:pt>
                <c:pt idx="7">
                  <c:v>19.0</c:v>
                </c:pt>
                <c:pt idx="8">
                  <c:v>11.0</c:v>
                </c:pt>
                <c:pt idx="9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41800"/>
        <c:axId val="-2050679224"/>
      </c:areaChart>
      <c:catAx>
        <c:axId val="-204894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679224"/>
        <c:crosses val="autoZero"/>
        <c:auto val="1"/>
        <c:lblAlgn val="ctr"/>
        <c:lblOffset val="100"/>
        <c:noMultiLvlLbl val="0"/>
      </c:catAx>
      <c:valAx>
        <c:axId val="-205067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941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事故形态!$A$54</c:f>
              <c:strCache>
                <c:ptCount val="1"/>
                <c:pt idx="0">
                  <c:v>正面相撞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事故形态!$B$54:$L$54</c:f>
              <c:numCache>
                <c:formatCode>General</c:formatCode>
                <c:ptCount val="11"/>
                <c:pt idx="0">
                  <c:v>1.072961406784936</c:v>
                </c:pt>
                <c:pt idx="1">
                  <c:v>1.117129337740331</c:v>
                </c:pt>
                <c:pt idx="2">
                  <c:v>1.150723411776588</c:v>
                </c:pt>
                <c:pt idx="3">
                  <c:v>1.185870296955644</c:v>
                </c:pt>
                <c:pt idx="4">
                  <c:v>1.296050235885318</c:v>
                </c:pt>
                <c:pt idx="5">
                  <c:v>1.325352739985042</c:v>
                </c:pt>
                <c:pt idx="6">
                  <c:v>1.42624678061344</c:v>
                </c:pt>
                <c:pt idx="7">
                  <c:v>1.460596869414505</c:v>
                </c:pt>
                <c:pt idx="8">
                  <c:v>1.473977027997128</c:v>
                </c:pt>
                <c:pt idx="9">
                  <c:v>1.511587982832618</c:v>
                </c:pt>
                <c:pt idx="10">
                  <c:v>1.525995118459929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事故形态!$A$55</c:f>
              <c:strCache>
                <c:ptCount val="1"/>
                <c:pt idx="0">
                  <c:v>侧面相撞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事故形态!$B$55:$L$55</c:f>
              <c:numCache>
                <c:formatCode>General</c:formatCode>
                <c:ptCount val="11"/>
                <c:pt idx="0">
                  <c:v>0.780330865034952</c:v>
                </c:pt>
                <c:pt idx="1">
                  <c:v>0.874760665525676</c:v>
                </c:pt>
                <c:pt idx="2">
                  <c:v>0.910923869791304</c:v>
                </c:pt>
                <c:pt idx="3">
                  <c:v>0.945859162076915</c:v>
                </c:pt>
                <c:pt idx="4">
                  <c:v>1.100534558278031</c:v>
                </c:pt>
                <c:pt idx="5">
                  <c:v>1.19442882526259</c:v>
                </c:pt>
                <c:pt idx="6">
                  <c:v>1.284554702837765</c:v>
                </c:pt>
                <c:pt idx="7">
                  <c:v>1.331986693986578</c:v>
                </c:pt>
                <c:pt idx="8">
                  <c:v>1.347435084201265</c:v>
                </c:pt>
                <c:pt idx="9">
                  <c:v>1.361596094136705</c:v>
                </c:pt>
                <c:pt idx="10">
                  <c:v>1.377708827050402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事故形态!$A$56</c:f>
              <c:strCache>
                <c:ptCount val="1"/>
                <c:pt idx="0">
                  <c:v>尾随相撞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事故形态!$B$56:$L$56</c:f>
              <c:numCache>
                <c:formatCode>General</c:formatCode>
                <c:ptCount val="11"/>
                <c:pt idx="0">
                  <c:v>0.58864692847265</c:v>
                </c:pt>
                <c:pt idx="1">
                  <c:v>0.680858586255392</c:v>
                </c:pt>
                <c:pt idx="2">
                  <c:v>0.703220084069261</c:v>
                </c:pt>
                <c:pt idx="3">
                  <c:v>0.687715677371419</c:v>
                </c:pt>
                <c:pt idx="4">
                  <c:v>0.949283875321819</c:v>
                </c:pt>
                <c:pt idx="5">
                  <c:v>1.266140021042827</c:v>
                </c:pt>
                <c:pt idx="6">
                  <c:v>1.440402148955616</c:v>
                </c:pt>
                <c:pt idx="7">
                  <c:v>1.489228667507356</c:v>
                </c:pt>
                <c:pt idx="8">
                  <c:v>1.509485006518905</c:v>
                </c:pt>
                <c:pt idx="9">
                  <c:v>1.54380218112092</c:v>
                </c:pt>
                <c:pt idx="10">
                  <c:v>1.600278363938401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事故形态!$A$85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事故形态!$B$85:$L$85</c:f>
              <c:numCache>
                <c:formatCode>General</c:formatCode>
                <c:ptCount val="11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091544"/>
        <c:axId val="-2120392920"/>
      </c:lineChart>
      <c:lineChart>
        <c:grouping val="standard"/>
        <c:varyColors val="0"/>
        <c:ser>
          <c:idx val="4"/>
          <c:order val="4"/>
          <c:tx>
            <c:strRef>
              <c:f>事故形态!$A$32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事故形态!$B$17:$L$17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事故形态!$B$32:$L$32</c:f>
              <c:numCache>
                <c:formatCode>General</c:formatCode>
                <c:ptCount val="11"/>
                <c:pt idx="0">
                  <c:v>616969.0</c:v>
                </c:pt>
                <c:pt idx="1">
                  <c:v>754918.0</c:v>
                </c:pt>
                <c:pt idx="2">
                  <c:v>773138.0</c:v>
                </c:pt>
                <c:pt idx="3">
                  <c:v>667506.0</c:v>
                </c:pt>
                <c:pt idx="4">
                  <c:v>517890.0</c:v>
                </c:pt>
                <c:pt idx="5">
                  <c:v>450254.0</c:v>
                </c:pt>
                <c:pt idx="6">
                  <c:v>378781.0</c:v>
                </c:pt>
                <c:pt idx="7">
                  <c:v>327209.0</c:v>
                </c:pt>
                <c:pt idx="8">
                  <c:v>265204.0</c:v>
                </c:pt>
                <c:pt idx="9">
                  <c:v>238351.0</c:v>
                </c:pt>
                <c:pt idx="10">
                  <c:v>219521.0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86888"/>
        <c:axId val="-2120389880"/>
      </c:lineChart>
      <c:catAx>
        <c:axId val="-20500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392920"/>
        <c:crosses val="autoZero"/>
        <c:auto val="1"/>
        <c:lblAlgn val="ctr"/>
        <c:lblOffset val="100"/>
        <c:noMultiLvlLbl val="0"/>
      </c:catAx>
      <c:valAx>
        <c:axId val="-2120392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091544"/>
        <c:crosses val="autoZero"/>
        <c:crossBetween val="between"/>
      </c:valAx>
      <c:valAx>
        <c:axId val="-2120389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0386888"/>
        <c:crosses val="max"/>
        <c:crossBetween val="between"/>
      </c:valAx>
      <c:catAx>
        <c:axId val="-2120386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3898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F/(F+I)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0.0173352862756104</c:v>
                </c:pt>
                <c:pt idx="1">
                  <c:v>0.0218638443603858</c:v>
                </c:pt>
                <c:pt idx="2">
                  <c:v>0.0201563056948057</c:v>
                </c:pt>
                <c:pt idx="3">
                  <c:v>0.0192982115839702</c:v>
                </c:pt>
                <c:pt idx="4">
                  <c:v>0.0186496753314622</c:v>
                </c:pt>
                <c:pt idx="5">
                  <c:v>0.018125173745914</c:v>
                </c:pt>
                <c:pt idx="6">
                  <c:v>0.0174491349150057</c:v>
                </c:pt>
                <c:pt idx="7">
                  <c:v>0.0167744872391066</c:v>
                </c:pt>
                <c:pt idx="8">
                  <c:v>0.0154263122363203</c:v>
                </c:pt>
                <c:pt idx="9">
                  <c:v>0.0146946770555437</c:v>
                </c:pt>
                <c:pt idx="10">
                  <c:v>0.014666413853633</c:v>
                </c:pt>
                <c:pt idx="11">
                  <c:v>0.0139052759132001</c:v>
                </c:pt>
                <c:pt idx="12">
                  <c:v>0.0141581566667701</c:v>
                </c:pt>
                <c:pt idx="13">
                  <c:v>0.0141067402188219</c:v>
                </c:pt>
                <c:pt idx="14">
                  <c:v>0.0130995945897463</c:v>
                </c:pt>
                <c:pt idx="15">
                  <c:v>0.0122172997511417</c:v>
                </c:pt>
                <c:pt idx="16">
                  <c:v>0.0119107779555855</c:v>
                </c:pt>
                <c:pt idx="17">
                  <c:v>0.0113413449198841</c:v>
                </c:pt>
                <c:pt idx="18">
                  <c:v>0.0108264574728432</c:v>
                </c:pt>
                <c:pt idx="19">
                  <c:v>0.0103329077728253</c:v>
                </c:pt>
                <c:pt idx="20">
                  <c:v>0.00973272361519457</c:v>
                </c:pt>
                <c:pt idx="21">
                  <c:v>0.0101141850878211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0.0186549310955829</c:v>
                </c:pt>
                <c:pt idx="12">
                  <c:v>0.0181077175714905</c:v>
                </c:pt>
                <c:pt idx="13">
                  <c:v>0.0180779973446306</c:v>
                </c:pt>
                <c:pt idx="14">
                  <c:v>0.0175265317106548</c:v>
                </c:pt>
                <c:pt idx="15">
                  <c:v>0.0170779603901689</c:v>
                </c:pt>
                <c:pt idx="16">
                  <c:v>0.016741677888818</c:v>
                </c:pt>
                <c:pt idx="17">
                  <c:v>0.0155025409543837</c:v>
                </c:pt>
                <c:pt idx="18">
                  <c:v>0.0149776523916696</c:v>
                </c:pt>
                <c:pt idx="19">
                  <c:v>0.0136023191681301</c:v>
                </c:pt>
                <c:pt idx="20">
                  <c:v>0.0133300741465004</c:v>
                </c:pt>
                <c:pt idx="21">
                  <c:v>0.0130458734820653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0.043569949481048</c:v>
                </c:pt>
                <c:pt idx="1">
                  <c:v>0.0446088549759955</c:v>
                </c:pt>
                <c:pt idx="2">
                  <c:v>0.0438396231423786</c:v>
                </c:pt>
                <c:pt idx="3">
                  <c:v>0.0457005533341411</c:v>
                </c:pt>
                <c:pt idx="4">
                  <c:v>0.0450611253399519</c:v>
                </c:pt>
                <c:pt idx="5">
                  <c:v>0.0443168348128441</c:v>
                </c:pt>
                <c:pt idx="6">
                  <c:v>0.0453430753604157</c:v>
                </c:pt>
                <c:pt idx="7">
                  <c:v>0.0449914680092585</c:v>
                </c:pt>
                <c:pt idx="8">
                  <c:v>0.0476742083493434</c:v>
                </c:pt>
                <c:pt idx="9">
                  <c:v>0.0457229742427435</c:v>
                </c:pt>
                <c:pt idx="10">
                  <c:v>0.0450223845428841</c:v>
                </c:pt>
                <c:pt idx="11">
                  <c:v>0.0477530696192744</c:v>
                </c:pt>
                <c:pt idx="12">
                  <c:v>0.0499169429491112</c:v>
                </c:pt>
                <c:pt idx="13">
                  <c:v>0.0471066907775768</c:v>
                </c:pt>
                <c:pt idx="14">
                  <c:v>0.0459112487824568</c:v>
                </c:pt>
                <c:pt idx="15">
                  <c:v>0.0468984249607563</c:v>
                </c:pt>
                <c:pt idx="16">
                  <c:v>0.0440777280640994</c:v>
                </c:pt>
                <c:pt idx="17">
                  <c:v>0.0428487956891515</c:v>
                </c:pt>
                <c:pt idx="18">
                  <c:v>0.0435899788932734</c:v>
                </c:pt>
                <c:pt idx="19">
                  <c:v>0.044881153696682</c:v>
                </c:pt>
                <c:pt idx="20">
                  <c:v>0.0451313126745277</c:v>
                </c:pt>
                <c:pt idx="21">
                  <c:v>0.0465064426033281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0.0152893906223899</c:v>
                </c:pt>
                <c:pt idx="1">
                  <c:v>0.0146613259384789</c:v>
                </c:pt>
                <c:pt idx="2">
                  <c:v>0.0135880653795115</c:v>
                </c:pt>
                <c:pt idx="3">
                  <c:v>0.0124716330841623</c:v>
                </c:pt>
                <c:pt idx="4">
                  <c:v>0.0115634405195628</c:v>
                </c:pt>
                <c:pt idx="5">
                  <c:v>0.0116572929711771</c:v>
                </c:pt>
                <c:pt idx="6">
                  <c:v>0.011222777434669</c:v>
                </c:pt>
                <c:pt idx="7">
                  <c:v>0.0109859920207327</c:v>
                </c:pt>
                <c:pt idx="8">
                  <c:v>0.0105125360686618</c:v>
                </c:pt>
                <c:pt idx="9">
                  <c:v>0.0106827537349067</c:v>
                </c:pt>
                <c:pt idx="10">
                  <c:v>0.010639526355377</c:v>
                </c:pt>
                <c:pt idx="11">
                  <c:v>0.0110065401180412</c:v>
                </c:pt>
                <c:pt idx="12">
                  <c:v>0.0113447364853471</c:v>
                </c:pt>
                <c:pt idx="13">
                  <c:v>0.012075398956311</c:v>
                </c:pt>
                <c:pt idx="14">
                  <c:v>0.0114536254404899</c:v>
                </c:pt>
                <c:pt idx="15">
                  <c:v>0.0118030538235478</c:v>
                </c:pt>
                <c:pt idx="16">
                  <c:v>0.0122863827215965</c:v>
                </c:pt>
                <c:pt idx="17">
                  <c:v>0.0118816193848661</c:v>
                </c:pt>
                <c:pt idx="18">
                  <c:v>0.0110090310491112</c:v>
                </c:pt>
                <c:pt idx="19">
                  <c:v>0.00999900999901</c:v>
                </c:pt>
                <c:pt idx="20">
                  <c:v>0.0088580320804405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0.0136169134405918</c:v>
                </c:pt>
                <c:pt idx="1">
                  <c:v>0.0132259402787045</c:v>
                </c:pt>
                <c:pt idx="2">
                  <c:v>0.0126252350947439</c:v>
                </c:pt>
                <c:pt idx="3">
                  <c:v>0.0125889141050395</c:v>
                </c:pt>
                <c:pt idx="4">
                  <c:v>0.0123133908579212</c:v>
                </c:pt>
                <c:pt idx="5">
                  <c:v>0.0119235401597219</c:v>
                </c:pt>
                <c:pt idx="6">
                  <c:v>0.0119320335033006</c:v>
                </c:pt>
                <c:pt idx="7">
                  <c:v>0.0123945791085568</c:v>
                </c:pt>
                <c:pt idx="8">
                  <c:v>0.0128345563494577</c:v>
                </c:pt>
                <c:pt idx="9">
                  <c:v>0.0127265322434262</c:v>
                </c:pt>
                <c:pt idx="10">
                  <c:v>0.012983274496664</c:v>
                </c:pt>
                <c:pt idx="11">
                  <c:v>0.0137228655018687</c:v>
                </c:pt>
                <c:pt idx="12">
                  <c:v>0.0144858313041492</c:v>
                </c:pt>
                <c:pt idx="13">
                  <c:v>0.0146287632377447</c:v>
                </c:pt>
                <c:pt idx="14">
                  <c:v>0.0151299054045367</c:v>
                </c:pt>
                <c:pt idx="15">
                  <c:v>0.0158651675888227</c:v>
                </c:pt>
                <c:pt idx="16">
                  <c:v>0.0163171303123897</c:v>
                </c:pt>
                <c:pt idx="17">
                  <c:v>0.0162963624183977</c:v>
                </c:pt>
                <c:pt idx="18">
                  <c:v>0.0157031000856006</c:v>
                </c:pt>
                <c:pt idx="19">
                  <c:v>0.0150513646754248</c:v>
                </c:pt>
                <c:pt idx="20">
                  <c:v>0.0144742928899685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344376"/>
        <c:axId val="-2049341320"/>
      </c:lineChart>
      <c:catAx>
        <c:axId val="-204934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341320"/>
        <c:crosses val="autoZero"/>
        <c:auto val="1"/>
        <c:lblAlgn val="ctr"/>
        <c:lblOffset val="100"/>
        <c:noMultiLvlLbl val="0"/>
      </c:catAx>
      <c:valAx>
        <c:axId val="-204934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34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事故形态!$A$70</c:f>
              <c:strCache>
                <c:ptCount val="1"/>
                <c:pt idx="0">
                  <c:v>正面相撞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事故形态!$B$70:$L$70</c:f>
              <c:numCache>
                <c:formatCode>General</c:formatCode>
                <c:ptCount val="11"/>
                <c:pt idx="0">
                  <c:v>0.200831055062837</c:v>
                </c:pt>
                <c:pt idx="1">
                  <c:v>0.177538978992674</c:v>
                </c:pt>
                <c:pt idx="2">
                  <c:v>0.177670014756463</c:v>
                </c:pt>
                <c:pt idx="3">
                  <c:v>0.190375869659831</c:v>
                </c:pt>
                <c:pt idx="4">
                  <c:v>0.198018256515278</c:v>
                </c:pt>
                <c:pt idx="5">
                  <c:v>0.189464406865636</c:v>
                </c:pt>
                <c:pt idx="6">
                  <c:v>0.173937727434403</c:v>
                </c:pt>
                <c:pt idx="7">
                  <c:v>0.175644306003634</c:v>
                </c:pt>
                <c:pt idx="8">
                  <c:v>0.193651715385552</c:v>
                </c:pt>
                <c:pt idx="9">
                  <c:v>0.199384091206919</c:v>
                </c:pt>
                <c:pt idx="10">
                  <c:v>0.210828232294686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事故形态!$A$71</c:f>
              <c:strCache>
                <c:ptCount val="1"/>
                <c:pt idx="0">
                  <c:v>侧面相撞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事故形态!$B$71:$L$71</c:f>
              <c:numCache>
                <c:formatCode>General</c:formatCode>
                <c:ptCount val="11"/>
                <c:pt idx="0">
                  <c:v>0.142969249900397</c:v>
                </c:pt>
                <c:pt idx="1">
                  <c:v>0.126811901709497</c:v>
                </c:pt>
                <c:pt idx="2">
                  <c:v>0.125620788077476</c:v>
                </c:pt>
                <c:pt idx="3">
                  <c:v>0.134566376674853</c:v>
                </c:pt>
                <c:pt idx="4">
                  <c:v>0.13805330981656</c:v>
                </c:pt>
                <c:pt idx="5">
                  <c:v>0.127952848575006</c:v>
                </c:pt>
                <c:pt idx="6">
                  <c:v>0.12639078773328</c:v>
                </c:pt>
                <c:pt idx="7">
                  <c:v>0.13057477563883</c:v>
                </c:pt>
                <c:pt idx="8">
                  <c:v>0.142899446473451</c:v>
                </c:pt>
                <c:pt idx="9">
                  <c:v>0.142495972239435</c:v>
                </c:pt>
                <c:pt idx="10">
                  <c:v>0.146273341490663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事故形态!$A$72</c:f>
              <c:strCache>
                <c:ptCount val="1"/>
                <c:pt idx="0">
                  <c:v>尾随相撞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事故形态!$B$72:$L$72</c:f>
              <c:numCache>
                <c:formatCode>General</c:formatCode>
                <c:ptCount val="11"/>
                <c:pt idx="0">
                  <c:v>0.177370506651571</c:v>
                </c:pt>
                <c:pt idx="1">
                  <c:v>0.163802951799582</c:v>
                </c:pt>
                <c:pt idx="2">
                  <c:v>0.170231201193296</c:v>
                </c:pt>
                <c:pt idx="3">
                  <c:v>0.186607925284804</c:v>
                </c:pt>
                <c:pt idx="4">
                  <c:v>0.203617884038127</c:v>
                </c:pt>
                <c:pt idx="5">
                  <c:v>0.198618660345744</c:v>
                </c:pt>
                <c:pt idx="6">
                  <c:v>0.206794088060048</c:v>
                </c:pt>
                <c:pt idx="7">
                  <c:v>0.217090639664115</c:v>
                </c:pt>
                <c:pt idx="8">
                  <c:v>0.23860421929995</c:v>
                </c:pt>
                <c:pt idx="9">
                  <c:v>0.24002484086322</c:v>
                </c:pt>
                <c:pt idx="10">
                  <c:v>0.251297589989619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事故形态!$A$86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事故形态!$B$69:$L$69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事故形态!$B$86:$L$86</c:f>
              <c:numCache>
                <c:formatCode>General</c:formatCode>
                <c:ptCount val="11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6264"/>
        <c:axId val="-2120343144"/>
      </c:lineChart>
      <c:catAx>
        <c:axId val="-212034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343144"/>
        <c:crosses val="autoZero"/>
        <c:auto val="1"/>
        <c:lblAlgn val="ctr"/>
        <c:lblOffset val="100"/>
        <c:noMultiLvlLbl val="0"/>
      </c:catAx>
      <c:valAx>
        <c:axId val="-2120343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034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(F+I)/A </a:t>
            </a:r>
          </a:p>
        </c:rich>
      </c:tx>
      <c:layout>
        <c:manualLayout>
          <c:xMode val="edge"/>
          <c:yMode val="edge"/>
          <c:x val="0.32003894674456"/>
          <c:y val="0.027649769585253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上下行隔离!$A$20</c:f>
              <c:strCache>
                <c:ptCount val="1"/>
                <c:pt idx="0">
                  <c:v>混合型</c:v>
                </c:pt>
              </c:strCache>
            </c:strRef>
          </c:tx>
          <c:marker>
            <c:symbol val="none"/>
          </c:marker>
          <c:cat>
            <c:numRef>
              <c:f>上下行隔离!$B$1:$L$1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上下行隔离!$B$20:$L$20</c:f>
              <c:numCache>
                <c:formatCode>General</c:formatCode>
                <c:ptCount val="11"/>
                <c:pt idx="0">
                  <c:v>0.96590548733583</c:v>
                </c:pt>
                <c:pt idx="1">
                  <c:v>0.936114062701715</c:v>
                </c:pt>
                <c:pt idx="2">
                  <c:v>0.928485276677349</c:v>
                </c:pt>
                <c:pt idx="3">
                  <c:v>0.988231196436446</c:v>
                </c:pt>
                <c:pt idx="4">
                  <c:v>1.237371850404207</c:v>
                </c:pt>
                <c:pt idx="5">
                  <c:v>1.308315367041009</c:v>
                </c:pt>
                <c:pt idx="6">
                  <c:v>1.392508124836841</c:v>
                </c:pt>
                <c:pt idx="7">
                  <c:v>1.429922644009393</c:v>
                </c:pt>
                <c:pt idx="8">
                  <c:v>1.436042920472497</c:v>
                </c:pt>
                <c:pt idx="9">
                  <c:v>1.441350790045787</c:v>
                </c:pt>
                <c:pt idx="10">
                  <c:v>1.452187887107034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上下行隔离!$A$21</c:f>
              <c:strCache>
                <c:ptCount val="1"/>
                <c:pt idx="0">
                  <c:v>中心隔离</c:v>
                </c:pt>
              </c:strCache>
            </c:strRef>
          </c:tx>
          <c:marker>
            <c:symbol val="none"/>
          </c:marker>
          <c:cat>
            <c:numRef>
              <c:f>上下行隔离!$B$1:$L$1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上下行隔离!$B$21:$L$21</c:f>
              <c:numCache>
                <c:formatCode>General</c:formatCode>
                <c:ptCount val="11"/>
                <c:pt idx="0">
                  <c:v>0.770699673163055</c:v>
                </c:pt>
                <c:pt idx="1">
                  <c:v>0.864702854391179</c:v>
                </c:pt>
                <c:pt idx="2">
                  <c:v>0.895002892901733</c:v>
                </c:pt>
                <c:pt idx="3">
                  <c:v>0.915406972024225</c:v>
                </c:pt>
                <c:pt idx="4">
                  <c:v>1.126734253261992</c:v>
                </c:pt>
                <c:pt idx="5">
                  <c:v>1.2727456358572</c:v>
                </c:pt>
                <c:pt idx="6">
                  <c:v>1.422325155247888</c:v>
                </c:pt>
                <c:pt idx="7">
                  <c:v>1.453899876753331</c:v>
                </c:pt>
                <c:pt idx="8">
                  <c:v>1.498495623632385</c:v>
                </c:pt>
                <c:pt idx="9">
                  <c:v>1.55156002115283</c:v>
                </c:pt>
                <c:pt idx="10">
                  <c:v>1.570167651609303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上下行隔离!$A$22</c:f>
              <c:strCache>
                <c:ptCount val="1"/>
                <c:pt idx="0">
                  <c:v>机非隔离</c:v>
                </c:pt>
              </c:strCache>
            </c:strRef>
          </c:tx>
          <c:marker>
            <c:symbol val="none"/>
          </c:marker>
          <c:cat>
            <c:numRef>
              <c:f>上下行隔离!$B$1:$L$1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上下行隔离!$B$22:$L$22</c:f>
              <c:numCache>
                <c:formatCode>General</c:formatCode>
                <c:ptCount val="11"/>
                <c:pt idx="0">
                  <c:v>0.724019185832001</c:v>
                </c:pt>
                <c:pt idx="1">
                  <c:v>0.809653465346535</c:v>
                </c:pt>
                <c:pt idx="2">
                  <c:v>0.84156862745098</c:v>
                </c:pt>
                <c:pt idx="3">
                  <c:v>0.833879829847572</c:v>
                </c:pt>
                <c:pt idx="4">
                  <c:v>1.004116022099448</c:v>
                </c:pt>
                <c:pt idx="5">
                  <c:v>1.158739365815932</c:v>
                </c:pt>
                <c:pt idx="6">
                  <c:v>1.227076289872115</c:v>
                </c:pt>
                <c:pt idx="7">
                  <c:v>1.270576346783748</c:v>
                </c:pt>
                <c:pt idx="8">
                  <c:v>1.286358857543368</c:v>
                </c:pt>
                <c:pt idx="9">
                  <c:v>1.273698465242251</c:v>
                </c:pt>
                <c:pt idx="10">
                  <c:v>1.302424620975527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上下行隔离!$A$23</c:f>
              <c:strCache>
                <c:ptCount val="1"/>
                <c:pt idx="0">
                  <c:v>中心机非隔离</c:v>
                </c:pt>
              </c:strCache>
            </c:strRef>
          </c:tx>
          <c:marker>
            <c:symbol val="none"/>
          </c:marker>
          <c:cat>
            <c:numRef>
              <c:f>上下行隔离!$B$1:$L$1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上下行隔离!$B$23:$L$23</c:f>
              <c:numCache>
                <c:formatCode>General</c:formatCode>
                <c:ptCount val="11"/>
                <c:pt idx="0">
                  <c:v>0.606418705089542</c:v>
                </c:pt>
                <c:pt idx="1">
                  <c:v>0.706625062123719</c:v>
                </c:pt>
                <c:pt idx="2">
                  <c:v>0.722019028218246</c:v>
                </c:pt>
                <c:pt idx="3">
                  <c:v>0.73356834760933</c:v>
                </c:pt>
                <c:pt idx="4">
                  <c:v>0.9892701905833</c:v>
                </c:pt>
                <c:pt idx="5">
                  <c:v>1.191187552639745</c:v>
                </c:pt>
                <c:pt idx="6">
                  <c:v>1.253451080641413</c:v>
                </c:pt>
                <c:pt idx="7">
                  <c:v>1.299235743680188</c:v>
                </c:pt>
                <c:pt idx="8">
                  <c:v>1.322665638455112</c:v>
                </c:pt>
                <c:pt idx="9">
                  <c:v>1.320359281437126</c:v>
                </c:pt>
                <c:pt idx="10">
                  <c:v>1.33802709697062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上下行隔离!$A$24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上下行隔离!$B$1:$L$1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上下行隔离!$B$24:$L$24</c:f>
              <c:numCache>
                <c:formatCode>General</c:formatCode>
                <c:ptCount val="11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67432"/>
        <c:axId val="-2120464520"/>
      </c:lineChart>
      <c:lineChart>
        <c:grouping val="standard"/>
        <c:varyColors val="0"/>
        <c:ser>
          <c:idx val="5"/>
          <c:order val="5"/>
          <c:tx>
            <c:strRef>
              <c:f>上下行隔离!$A$6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上下行隔离!$B$1:$L$1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上下行隔离!$B$6:$L$6</c:f>
              <c:numCache>
                <c:formatCode>General</c:formatCode>
                <c:ptCount val="11"/>
                <c:pt idx="0">
                  <c:v>616972.0</c:v>
                </c:pt>
                <c:pt idx="1">
                  <c:v>754919.0</c:v>
                </c:pt>
                <c:pt idx="2">
                  <c:v>773137.0</c:v>
                </c:pt>
                <c:pt idx="3">
                  <c:v>667506.0</c:v>
                </c:pt>
                <c:pt idx="4">
                  <c:v>517889.0</c:v>
                </c:pt>
                <c:pt idx="5">
                  <c:v>450254.0</c:v>
                </c:pt>
                <c:pt idx="6">
                  <c:v>378781.0</c:v>
                </c:pt>
                <c:pt idx="7">
                  <c:v>327209.0</c:v>
                </c:pt>
                <c:pt idx="8">
                  <c:v>265204.0</c:v>
                </c:pt>
                <c:pt idx="9">
                  <c:v>238351.0</c:v>
                </c:pt>
                <c:pt idx="10">
                  <c:v>219521.0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58488"/>
        <c:axId val="-2120461480"/>
      </c:lineChart>
      <c:catAx>
        <c:axId val="-212046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464520"/>
        <c:crosses val="autoZero"/>
        <c:auto val="1"/>
        <c:lblAlgn val="ctr"/>
        <c:lblOffset val="100"/>
        <c:noMultiLvlLbl val="0"/>
      </c:catAx>
      <c:valAx>
        <c:axId val="-2120464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0467432"/>
        <c:crosses val="autoZero"/>
        <c:crossBetween val="between"/>
      </c:valAx>
      <c:valAx>
        <c:axId val="-2120461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0458488"/>
        <c:crosses val="max"/>
        <c:crossBetween val="between"/>
      </c:valAx>
      <c:catAx>
        <c:axId val="-212045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461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F/(F+I)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上下行隔离!$A$26</c:f>
              <c:strCache>
                <c:ptCount val="1"/>
                <c:pt idx="0">
                  <c:v>混合型</c:v>
                </c:pt>
              </c:strCache>
            </c:strRef>
          </c:tx>
          <c:marker>
            <c:symbol val="none"/>
          </c:marker>
          <c:cat>
            <c:numRef>
              <c:f>上下行隔离!$B$25:$L$25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上下行隔离!$B$26:$L$26</c:f>
              <c:numCache>
                <c:formatCode>General</c:formatCode>
                <c:ptCount val="11"/>
                <c:pt idx="0">
                  <c:v>0.189794498729026</c:v>
                </c:pt>
                <c:pt idx="1">
                  <c:v>0.168664122441077</c:v>
                </c:pt>
                <c:pt idx="2">
                  <c:v>0.171783959474737</c:v>
                </c:pt>
                <c:pt idx="3">
                  <c:v>0.182511325312113</c:v>
                </c:pt>
                <c:pt idx="4">
                  <c:v>0.189619016650187</c:v>
                </c:pt>
                <c:pt idx="5">
                  <c:v>0.176734936245419</c:v>
                </c:pt>
                <c:pt idx="6">
                  <c:v>0.172415760559477</c:v>
                </c:pt>
                <c:pt idx="7">
                  <c:v>0.17731246884547</c:v>
                </c:pt>
                <c:pt idx="8">
                  <c:v>0.195589119727156</c:v>
                </c:pt>
                <c:pt idx="9">
                  <c:v>0.19628991417846</c:v>
                </c:pt>
                <c:pt idx="10">
                  <c:v>0.202760089820497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上下行隔离!$A$27</c:f>
              <c:strCache>
                <c:ptCount val="1"/>
                <c:pt idx="0">
                  <c:v>中心隔离</c:v>
                </c:pt>
              </c:strCache>
            </c:strRef>
          </c:tx>
          <c:marker>
            <c:symbol val="none"/>
          </c:marker>
          <c:cat>
            <c:numRef>
              <c:f>上下行隔离!$B$25:$L$25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上下行隔离!$B$27:$L$27</c:f>
              <c:numCache>
                <c:formatCode>General</c:formatCode>
                <c:ptCount val="11"/>
                <c:pt idx="0">
                  <c:v>0.185311710579704</c:v>
                </c:pt>
                <c:pt idx="1">
                  <c:v>0.159510321651464</c:v>
                </c:pt>
                <c:pt idx="2">
                  <c:v>0.161886291721956</c:v>
                </c:pt>
                <c:pt idx="3">
                  <c:v>0.174559676475283</c:v>
                </c:pt>
                <c:pt idx="4">
                  <c:v>0.180736643033883</c:v>
                </c:pt>
                <c:pt idx="5">
                  <c:v>0.1785544241837</c:v>
                </c:pt>
                <c:pt idx="6">
                  <c:v>0.201791742714335</c:v>
                </c:pt>
                <c:pt idx="7">
                  <c:v>0.20422772104038</c:v>
                </c:pt>
                <c:pt idx="8">
                  <c:v>0.217121474856256</c:v>
                </c:pt>
                <c:pt idx="9">
                  <c:v>0.229184925503944</c:v>
                </c:pt>
                <c:pt idx="10">
                  <c:v>0.232057764065453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上下行隔离!$A$28</c:f>
              <c:strCache>
                <c:ptCount val="1"/>
                <c:pt idx="0">
                  <c:v>机非隔离</c:v>
                </c:pt>
              </c:strCache>
            </c:strRef>
          </c:tx>
          <c:marker>
            <c:symbol val="none"/>
          </c:marker>
          <c:cat>
            <c:numRef>
              <c:f>上下行隔离!$B$25:$L$25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上下行隔离!$B$28:$L$28</c:f>
              <c:numCache>
                <c:formatCode>General</c:formatCode>
                <c:ptCount val="11"/>
                <c:pt idx="0">
                  <c:v>0.15910056055716</c:v>
                </c:pt>
                <c:pt idx="1">
                  <c:v>0.144485206698597</c:v>
                </c:pt>
                <c:pt idx="2">
                  <c:v>0.141642549991007</c:v>
                </c:pt>
                <c:pt idx="3">
                  <c:v>0.153019111890465</c:v>
                </c:pt>
                <c:pt idx="4">
                  <c:v>0.149357616440617</c:v>
                </c:pt>
                <c:pt idx="5">
                  <c:v>0.149707992658101</c:v>
                </c:pt>
                <c:pt idx="6">
                  <c:v>0.123026426124248</c:v>
                </c:pt>
                <c:pt idx="7">
                  <c:v>0.131036941557195</c:v>
                </c:pt>
                <c:pt idx="8">
                  <c:v>0.145411203814064</c:v>
                </c:pt>
                <c:pt idx="9">
                  <c:v>0.147784997046663</c:v>
                </c:pt>
                <c:pt idx="10">
                  <c:v>0.161093429829533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上下行隔离!$A$29</c:f>
              <c:strCache>
                <c:ptCount val="1"/>
                <c:pt idx="0">
                  <c:v>中心机非隔离</c:v>
                </c:pt>
              </c:strCache>
            </c:strRef>
          </c:tx>
          <c:marker>
            <c:symbol val="none"/>
          </c:marker>
          <c:cat>
            <c:numRef>
              <c:f>上下行隔离!$B$25:$L$25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上下行隔离!$B$29:$L$29</c:f>
              <c:numCache>
                <c:formatCode>General</c:formatCode>
                <c:ptCount val="11"/>
                <c:pt idx="0">
                  <c:v>0.169623890273702</c:v>
                </c:pt>
                <c:pt idx="1">
                  <c:v>0.153245550777668</c:v>
                </c:pt>
                <c:pt idx="2">
                  <c:v>0.14807393276799</c:v>
                </c:pt>
                <c:pt idx="3">
                  <c:v>0.163289441904238</c:v>
                </c:pt>
                <c:pt idx="4">
                  <c:v>0.175190499600565</c:v>
                </c:pt>
                <c:pt idx="5">
                  <c:v>0.168026198273296</c:v>
                </c:pt>
                <c:pt idx="6">
                  <c:v>0.14628448531593</c:v>
                </c:pt>
                <c:pt idx="7">
                  <c:v>0.15269436445907</c:v>
                </c:pt>
                <c:pt idx="8">
                  <c:v>0.172772325332815</c:v>
                </c:pt>
                <c:pt idx="9">
                  <c:v>0.177896555447576</c:v>
                </c:pt>
                <c:pt idx="10">
                  <c:v>0.181466522555322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上下行隔离!$A$30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上下行隔离!$B$25:$L$25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上下行隔离!$B$30:$L$30</c:f>
              <c:numCache>
                <c:formatCode>General</c:formatCode>
                <c:ptCount val="11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996968"/>
        <c:axId val="-2048993912"/>
      </c:lineChart>
      <c:catAx>
        <c:axId val="-204899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993912"/>
        <c:crosses val="autoZero"/>
        <c:auto val="1"/>
        <c:lblAlgn val="ctr"/>
        <c:lblOffset val="100"/>
        <c:noMultiLvlLbl val="0"/>
      </c:catAx>
      <c:valAx>
        <c:axId val="-2048993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899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上下行隔离!$B$32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上下行隔离!$A$33:$A$36</c:f>
              <c:strCache>
                <c:ptCount val="4"/>
                <c:pt idx="0">
                  <c:v>混合型</c:v>
                </c:pt>
                <c:pt idx="1">
                  <c:v>中心隔离</c:v>
                </c:pt>
                <c:pt idx="2">
                  <c:v>机非隔离</c:v>
                </c:pt>
                <c:pt idx="3">
                  <c:v>中心机非隔离</c:v>
                </c:pt>
              </c:strCache>
            </c:strRef>
          </c:cat>
          <c:val>
            <c:numRef>
              <c:f>上下行隔离!$B$33:$B$36</c:f>
              <c:numCache>
                <c:formatCode>General</c:formatCode>
                <c:ptCount val="4"/>
                <c:pt idx="0">
                  <c:v>43974.0</c:v>
                </c:pt>
                <c:pt idx="1">
                  <c:v>14366.0</c:v>
                </c:pt>
                <c:pt idx="2">
                  <c:v>3695.0</c:v>
                </c:pt>
                <c:pt idx="3">
                  <c:v>3190.0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219144"/>
        <c:axId val="-2121216136"/>
      </c:barChart>
      <c:catAx>
        <c:axId val="-212121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16136"/>
        <c:crosses val="autoZero"/>
        <c:auto val="1"/>
        <c:lblAlgn val="ctr"/>
        <c:lblOffset val="100"/>
        <c:noMultiLvlLbl val="0"/>
      </c:catAx>
      <c:valAx>
        <c:axId val="-212121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1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上下行隔离!$A$49</c:f>
              <c:strCache>
                <c:ptCount val="1"/>
                <c:pt idx="0">
                  <c:v>混合型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上下行隔离!$B$49:$L$49</c:f>
              <c:numCache>
                <c:formatCode>General</c:formatCode>
                <c:ptCount val="11"/>
                <c:pt idx="0">
                  <c:v>58388.0</c:v>
                </c:pt>
                <c:pt idx="1">
                  <c:v>63597.0</c:v>
                </c:pt>
                <c:pt idx="2">
                  <c:v>63211.0</c:v>
                </c:pt>
                <c:pt idx="3">
                  <c:v>56444.0</c:v>
                </c:pt>
                <c:pt idx="4">
                  <c:v>57147.0</c:v>
                </c:pt>
                <c:pt idx="5">
                  <c:v>50300.0</c:v>
                </c:pt>
                <c:pt idx="6">
                  <c:v>63459.0</c:v>
                </c:pt>
                <c:pt idx="7">
                  <c:v>57981.0</c:v>
                </c:pt>
                <c:pt idx="8">
                  <c:v>51384.0</c:v>
                </c:pt>
                <c:pt idx="9">
                  <c:v>46590.0</c:v>
                </c:pt>
                <c:pt idx="10">
                  <c:v>43974.0</c:v>
                </c:pt>
              </c:numCache>
            </c:numRef>
          </c:val>
        </c:ser>
        <c:ser>
          <c:idx val="1"/>
          <c:order val="1"/>
          <c:tx>
            <c:strRef>
              <c:f>上下行隔离!$A$50</c:f>
              <c:strCache>
                <c:ptCount val="1"/>
                <c:pt idx="0">
                  <c:v>中心隔离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上下行隔离!$B$50:$L$50</c:f>
              <c:numCache>
                <c:formatCode>General</c:formatCode>
                <c:ptCount val="11"/>
                <c:pt idx="0">
                  <c:v>14158.0</c:v>
                </c:pt>
                <c:pt idx="1">
                  <c:v>16613.0</c:v>
                </c:pt>
                <c:pt idx="2">
                  <c:v>19032.0</c:v>
                </c:pt>
                <c:pt idx="3">
                  <c:v>19683.0</c:v>
                </c:pt>
                <c:pt idx="4">
                  <c:v>21694.0</c:v>
                </c:pt>
                <c:pt idx="5">
                  <c:v>21376.0</c:v>
                </c:pt>
                <c:pt idx="6">
                  <c:v>16916.0</c:v>
                </c:pt>
                <c:pt idx="7">
                  <c:v>15178.0</c:v>
                </c:pt>
                <c:pt idx="8">
                  <c:v>14274.0</c:v>
                </c:pt>
                <c:pt idx="9">
                  <c:v>14121.0</c:v>
                </c:pt>
                <c:pt idx="10">
                  <c:v>14366.0</c:v>
                </c:pt>
              </c:numCache>
            </c:numRef>
          </c:val>
        </c:ser>
        <c:ser>
          <c:idx val="2"/>
          <c:order val="2"/>
          <c:tx>
            <c:strRef>
              <c:f>上下行隔离!$A$51</c:f>
              <c:strCache>
                <c:ptCount val="1"/>
                <c:pt idx="0">
                  <c:v>机非隔离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上下行隔离!$B$51:$L$51</c:f>
              <c:numCache>
                <c:formatCode>General</c:formatCode>
                <c:ptCount val="11"/>
                <c:pt idx="0">
                  <c:v>7493.0</c:v>
                </c:pt>
                <c:pt idx="1">
                  <c:v>8507.0</c:v>
                </c:pt>
                <c:pt idx="2">
                  <c:v>8663.0</c:v>
                </c:pt>
                <c:pt idx="3">
                  <c:v>8639.0</c:v>
                </c:pt>
                <c:pt idx="4">
                  <c:v>5429.0</c:v>
                </c:pt>
                <c:pt idx="5">
                  <c:v>4486.0</c:v>
                </c:pt>
                <c:pt idx="6">
                  <c:v>5135.0</c:v>
                </c:pt>
                <c:pt idx="7">
                  <c:v>4778.0</c:v>
                </c:pt>
                <c:pt idx="8">
                  <c:v>4270.0</c:v>
                </c:pt>
                <c:pt idx="9">
                  <c:v>3753.0</c:v>
                </c:pt>
                <c:pt idx="10">
                  <c:v>3695.0</c:v>
                </c:pt>
              </c:numCache>
            </c:numRef>
          </c:val>
        </c:ser>
        <c:ser>
          <c:idx val="3"/>
          <c:order val="3"/>
          <c:tx>
            <c:strRef>
              <c:f>上下行隔离!$A$52</c:f>
              <c:strCache>
                <c:ptCount val="1"/>
                <c:pt idx="0">
                  <c:v>中心机非隔离</c:v>
                </c:pt>
              </c:strCache>
            </c:strRef>
          </c:tx>
          <c:cat>
            <c:numRef>
              <c:f>上下行隔离!$B$48:$L$48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上下行隔离!$B$52:$L$52</c:f>
              <c:numCache>
                <c:formatCode>General</c:formatCode>
                <c:ptCount val="11"/>
                <c:pt idx="0">
                  <c:v>13814.0</c:v>
                </c:pt>
                <c:pt idx="1">
                  <c:v>17213.0</c:v>
                </c:pt>
                <c:pt idx="2">
                  <c:v>18474.0</c:v>
                </c:pt>
                <c:pt idx="3">
                  <c:v>19606.0</c:v>
                </c:pt>
                <c:pt idx="4">
                  <c:v>22807.0</c:v>
                </c:pt>
                <c:pt idx="5">
                  <c:v>22576.0</c:v>
                </c:pt>
                <c:pt idx="6">
                  <c:v>3945.0</c:v>
                </c:pt>
                <c:pt idx="7">
                  <c:v>3712.0</c:v>
                </c:pt>
                <c:pt idx="8">
                  <c:v>3556.0</c:v>
                </c:pt>
                <c:pt idx="9">
                  <c:v>3295.0</c:v>
                </c:pt>
                <c:pt idx="10">
                  <c:v>3190.0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532120"/>
        <c:axId val="-2050529000"/>
      </c:areaChart>
      <c:catAx>
        <c:axId val="-205053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529000"/>
        <c:crosses val="autoZero"/>
        <c:auto val="1"/>
        <c:lblAlgn val="ctr"/>
        <c:lblOffset val="100"/>
        <c:noMultiLvlLbl val="0"/>
      </c:catAx>
      <c:valAx>
        <c:axId val="-2050529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5321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事故位置!$A$30</c:f>
              <c:strCache>
                <c:ptCount val="1"/>
                <c:pt idx="0">
                  <c:v>机动车道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事故位置!$B$30:$F$30</c:f>
              <c:numCache>
                <c:formatCode>General</c:formatCode>
                <c:ptCount val="5"/>
                <c:pt idx="0">
                  <c:v>1.364458769680558</c:v>
                </c:pt>
                <c:pt idx="1">
                  <c:v>1.400884279424796</c:v>
                </c:pt>
                <c:pt idx="2">
                  <c:v>1.422185372256273</c:v>
                </c:pt>
                <c:pt idx="3">
                  <c:v>1.443718469381651</c:v>
                </c:pt>
                <c:pt idx="4">
                  <c:v>1.464333361719038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事故位置!$A$31</c:f>
              <c:strCache>
                <c:ptCount val="1"/>
                <c:pt idx="0">
                  <c:v>非机动车道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事故位置!$B$31:$F$31</c:f>
              <c:numCache>
                <c:formatCode>General</c:formatCode>
                <c:ptCount val="5"/>
                <c:pt idx="0">
                  <c:v>1.286490275100753</c:v>
                </c:pt>
                <c:pt idx="1">
                  <c:v>1.322911897442606</c:v>
                </c:pt>
                <c:pt idx="2">
                  <c:v>1.341376015289059</c:v>
                </c:pt>
                <c:pt idx="3">
                  <c:v>1.340984382394699</c:v>
                </c:pt>
                <c:pt idx="4">
                  <c:v>1.320439100888656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事故位置!$A$32</c:f>
              <c:strCache>
                <c:ptCount val="1"/>
                <c:pt idx="0">
                  <c:v>机非混合道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事故位置!$B$32:$F$32</c:f>
              <c:numCache>
                <c:formatCode>General</c:formatCode>
                <c:ptCount val="5"/>
                <c:pt idx="0">
                  <c:v>1.420411498180198</c:v>
                </c:pt>
                <c:pt idx="1">
                  <c:v>1.460851557917669</c:v>
                </c:pt>
                <c:pt idx="2">
                  <c:v>1.460533352605333</c:v>
                </c:pt>
                <c:pt idx="3">
                  <c:v>1.458420718144264</c:v>
                </c:pt>
                <c:pt idx="4">
                  <c:v>1.468306442919257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事故位置!$A$33</c:f>
              <c:strCache>
                <c:ptCount val="1"/>
                <c:pt idx="0">
                  <c:v>人行道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事故位置!$B$33:$F$33</c:f>
              <c:numCache>
                <c:formatCode>General</c:formatCode>
                <c:ptCount val="5"/>
                <c:pt idx="0">
                  <c:v>1.276663146779303</c:v>
                </c:pt>
                <c:pt idx="1">
                  <c:v>1.342290467050544</c:v>
                </c:pt>
                <c:pt idx="2">
                  <c:v>1.297805642633229</c:v>
                </c:pt>
                <c:pt idx="3">
                  <c:v>1.276223776223776</c:v>
                </c:pt>
                <c:pt idx="4">
                  <c:v>1.310626702997275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事故位置!$A$34</c:f>
              <c:strCache>
                <c:ptCount val="1"/>
                <c:pt idx="0">
                  <c:v>人行横道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事故位置!$B$34:$F$34</c:f>
              <c:numCache>
                <c:formatCode>General</c:formatCode>
                <c:ptCount val="5"/>
                <c:pt idx="0">
                  <c:v>1.163366336633663</c:v>
                </c:pt>
                <c:pt idx="1">
                  <c:v>1.201875</c:v>
                </c:pt>
                <c:pt idx="2">
                  <c:v>1.214898309237932</c:v>
                </c:pt>
                <c:pt idx="3">
                  <c:v>1.182782125725827</c:v>
                </c:pt>
                <c:pt idx="4">
                  <c:v>1.196308724832215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事故位置!$A$35</c:f>
              <c:strCache>
                <c:ptCount val="1"/>
                <c:pt idx="0">
                  <c:v>紧急停车带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事故位置!$B$35:$F$35</c:f>
              <c:numCache>
                <c:formatCode>General</c:formatCode>
                <c:ptCount val="5"/>
                <c:pt idx="0">
                  <c:v>1.464150943396226</c:v>
                </c:pt>
                <c:pt idx="1">
                  <c:v>1.551537070524412</c:v>
                </c:pt>
                <c:pt idx="2">
                  <c:v>1.724705882352941</c:v>
                </c:pt>
                <c:pt idx="3">
                  <c:v>2.077694235588972</c:v>
                </c:pt>
                <c:pt idx="4">
                  <c:v>2.069053708439898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事故位置!$A$36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事故位置!$B$36:$F$36</c:f>
              <c:numCache>
                <c:formatCode>General</c:formatCode>
                <c:ptCount val="5"/>
                <c:pt idx="0">
                  <c:v>1.457894198301443</c:v>
                </c:pt>
                <c:pt idx="1">
                  <c:v>1.505377658274261</c:v>
                </c:pt>
                <c:pt idx="2">
                  <c:v>1.489382927176856</c:v>
                </c:pt>
                <c:pt idx="3">
                  <c:v>1.46165191740413</c:v>
                </c:pt>
                <c:pt idx="4">
                  <c:v>1.490860802999531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50616"/>
        <c:axId val="-2050647736"/>
      </c:lineChart>
      <c:catAx>
        <c:axId val="-205065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647736"/>
        <c:crosses val="autoZero"/>
        <c:auto val="1"/>
        <c:lblAlgn val="ctr"/>
        <c:lblOffset val="100"/>
        <c:noMultiLvlLbl val="0"/>
      </c:catAx>
      <c:valAx>
        <c:axId val="-2050647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65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事故位置!$A$39</c:f>
              <c:strCache>
                <c:ptCount val="1"/>
                <c:pt idx="0">
                  <c:v>机动车道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事故位置!$B$39:$F$39</c:f>
              <c:numCache>
                <c:formatCode>General</c:formatCode>
                <c:ptCount val="5"/>
                <c:pt idx="0">
                  <c:v>0.175517014270033</c:v>
                </c:pt>
                <c:pt idx="1">
                  <c:v>0.180834186798401</c:v>
                </c:pt>
                <c:pt idx="2">
                  <c:v>0.197838599498173</c:v>
                </c:pt>
                <c:pt idx="3">
                  <c:v>0.202255002163844</c:v>
                </c:pt>
                <c:pt idx="4">
                  <c:v>0.20869598929963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事故位置!$A$40</c:f>
              <c:strCache>
                <c:ptCount val="1"/>
                <c:pt idx="0">
                  <c:v>非机动车道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事故位置!$B$40:$F$40</c:f>
              <c:numCache>
                <c:formatCode>General</c:formatCode>
                <c:ptCount val="5"/>
                <c:pt idx="0">
                  <c:v>0.14460183419595</c:v>
                </c:pt>
                <c:pt idx="1">
                  <c:v>0.149609413626026</c:v>
                </c:pt>
                <c:pt idx="2">
                  <c:v>0.164499851588008</c:v>
                </c:pt>
                <c:pt idx="3">
                  <c:v>0.159578848303041</c:v>
                </c:pt>
                <c:pt idx="4">
                  <c:v>0.164027447875429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事故位置!$A$41</c:f>
              <c:strCache>
                <c:ptCount val="1"/>
                <c:pt idx="0">
                  <c:v>机非混合道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事故位置!$B$41:$F$41</c:f>
              <c:numCache>
                <c:formatCode>General</c:formatCode>
                <c:ptCount val="5"/>
                <c:pt idx="0">
                  <c:v>0.164528876969394</c:v>
                </c:pt>
                <c:pt idx="1">
                  <c:v>0.169697069017789</c:v>
                </c:pt>
                <c:pt idx="2">
                  <c:v>0.188456856710244</c:v>
                </c:pt>
                <c:pt idx="3">
                  <c:v>0.19072260412014</c:v>
                </c:pt>
                <c:pt idx="4">
                  <c:v>0.198096007243983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事故位置!$A$42</c:f>
              <c:strCache>
                <c:ptCount val="1"/>
                <c:pt idx="0">
                  <c:v>人行道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事故位置!$B$42:$F$42</c:f>
              <c:numCache>
                <c:formatCode>General</c:formatCode>
                <c:ptCount val="5"/>
                <c:pt idx="0">
                  <c:v>0.144334160463193</c:v>
                </c:pt>
                <c:pt idx="1">
                  <c:v>0.159675881792183</c:v>
                </c:pt>
                <c:pt idx="2">
                  <c:v>0.169082125603865</c:v>
                </c:pt>
                <c:pt idx="3">
                  <c:v>0.195205479452055</c:v>
                </c:pt>
                <c:pt idx="4">
                  <c:v>0.178794178794179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事故位置!$A$43</c:f>
              <c:strCache>
                <c:ptCount val="1"/>
                <c:pt idx="0">
                  <c:v>人行横道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事故位置!$B$43:$F$43</c:f>
              <c:numCache>
                <c:formatCode>General</c:formatCode>
                <c:ptCount val="5"/>
                <c:pt idx="0">
                  <c:v>0.12854609929078</c:v>
                </c:pt>
                <c:pt idx="1">
                  <c:v>0.13225862367828</c:v>
                </c:pt>
                <c:pt idx="2">
                  <c:v>0.141387656313029</c:v>
                </c:pt>
                <c:pt idx="3">
                  <c:v>0.145357524012807</c:v>
                </c:pt>
                <c:pt idx="4">
                  <c:v>0.149135109864423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事故位置!$A$44</c:f>
              <c:strCache>
                <c:ptCount val="1"/>
                <c:pt idx="0">
                  <c:v>紧急停车带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事故位置!$B$44:$F$44</c:f>
              <c:numCache>
                <c:formatCode>General</c:formatCode>
                <c:ptCount val="5"/>
                <c:pt idx="0">
                  <c:v>0.333762886597938</c:v>
                </c:pt>
                <c:pt idx="1">
                  <c:v>0.298368298368298</c:v>
                </c:pt>
                <c:pt idx="2">
                  <c:v>0.351978171896316</c:v>
                </c:pt>
                <c:pt idx="3">
                  <c:v>0.341375150784077</c:v>
                </c:pt>
                <c:pt idx="4">
                  <c:v>0.357231149567367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事故位置!$A$45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事故位置!$B$45:$F$45</c:f>
              <c:numCache>
                <c:formatCode>General</c:formatCode>
                <c:ptCount val="5"/>
                <c:pt idx="0">
                  <c:v>0.207186973610331</c:v>
                </c:pt>
                <c:pt idx="1">
                  <c:v>0.205325972233498</c:v>
                </c:pt>
                <c:pt idx="2">
                  <c:v>0.230886996459669</c:v>
                </c:pt>
                <c:pt idx="3">
                  <c:v>0.238042381432896</c:v>
                </c:pt>
                <c:pt idx="4">
                  <c:v>0.24111914492298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44264"/>
        <c:axId val="-2121241384"/>
      </c:lineChart>
      <c:catAx>
        <c:axId val="-212124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241384"/>
        <c:crosses val="autoZero"/>
        <c:auto val="1"/>
        <c:lblAlgn val="ctr"/>
        <c:lblOffset val="100"/>
        <c:noMultiLvlLbl val="0"/>
      </c:catAx>
      <c:valAx>
        <c:axId val="-2121241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124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事故位置!$B$49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事故位置!$A$50:$A$56</c:f>
              <c:strCache>
                <c:ptCount val="7"/>
                <c:pt idx="0">
                  <c:v>机动车道</c:v>
                </c:pt>
                <c:pt idx="1">
                  <c:v>机非混合道</c:v>
                </c:pt>
                <c:pt idx="2">
                  <c:v>非机动车道</c:v>
                </c:pt>
                <c:pt idx="3">
                  <c:v>其他</c:v>
                </c:pt>
                <c:pt idx="4">
                  <c:v>人行横道</c:v>
                </c:pt>
                <c:pt idx="5">
                  <c:v>紧急停车带</c:v>
                </c:pt>
                <c:pt idx="6">
                  <c:v>人行道</c:v>
                </c:pt>
              </c:strCache>
            </c:strRef>
          </c:cat>
          <c:val>
            <c:numRef>
              <c:f>事故位置!$B$50:$B$56</c:f>
              <c:numCache>
                <c:formatCode>General</c:formatCode>
                <c:ptCount val="7"/>
                <c:pt idx="0">
                  <c:v>43064.0</c:v>
                </c:pt>
                <c:pt idx="1">
                  <c:v>16189.0</c:v>
                </c:pt>
                <c:pt idx="2">
                  <c:v>2486.0</c:v>
                </c:pt>
                <c:pt idx="3">
                  <c:v>2301.0</c:v>
                </c:pt>
                <c:pt idx="4">
                  <c:v>638.0</c:v>
                </c:pt>
                <c:pt idx="5">
                  <c:v>289.0</c:v>
                </c:pt>
                <c:pt idx="6">
                  <c:v>258.0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56664"/>
        <c:axId val="-2049253656"/>
      </c:barChart>
      <c:catAx>
        <c:axId val="-20492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253656"/>
        <c:crosses val="autoZero"/>
        <c:auto val="1"/>
        <c:lblAlgn val="ctr"/>
        <c:lblOffset val="100"/>
        <c:noMultiLvlLbl val="0"/>
      </c:catAx>
      <c:valAx>
        <c:axId val="-204925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2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事故数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事故位置!$A$59</c:f>
              <c:strCache>
                <c:ptCount val="1"/>
                <c:pt idx="0">
                  <c:v>机动车道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事故位置!$B$59:$F$59</c:f>
              <c:numCache>
                <c:formatCode>General</c:formatCode>
                <c:ptCount val="5"/>
                <c:pt idx="0">
                  <c:v>59961.0</c:v>
                </c:pt>
                <c:pt idx="1">
                  <c:v>54030.0</c:v>
                </c:pt>
                <c:pt idx="2">
                  <c:v>48018.0</c:v>
                </c:pt>
                <c:pt idx="3">
                  <c:v>43931.0</c:v>
                </c:pt>
                <c:pt idx="4">
                  <c:v>43064.0</c:v>
                </c:pt>
              </c:numCache>
            </c:numRef>
          </c:val>
        </c:ser>
        <c:ser>
          <c:idx val="1"/>
          <c:order val="1"/>
          <c:tx>
            <c:strRef>
              <c:f>事故位置!$A$60</c:f>
              <c:strCache>
                <c:ptCount val="1"/>
                <c:pt idx="0">
                  <c:v>机非混合道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事故位置!$B$60:$F$60</c:f>
              <c:numCache>
                <c:formatCode>General</c:formatCode>
                <c:ptCount val="5"/>
                <c:pt idx="0">
                  <c:v>22024.0</c:v>
                </c:pt>
                <c:pt idx="1">
                  <c:v>20710.0</c:v>
                </c:pt>
                <c:pt idx="2">
                  <c:v>19043.0</c:v>
                </c:pt>
                <c:pt idx="3">
                  <c:v>17507.0</c:v>
                </c:pt>
                <c:pt idx="4">
                  <c:v>16189.0</c:v>
                </c:pt>
              </c:numCache>
            </c:numRef>
          </c:val>
        </c:ser>
        <c:ser>
          <c:idx val="2"/>
          <c:order val="2"/>
          <c:tx>
            <c:strRef>
              <c:f>事故位置!$A$61</c:f>
              <c:strCache>
                <c:ptCount val="1"/>
                <c:pt idx="0">
                  <c:v>非机动车道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事故位置!$B$61:$F$61</c:f>
              <c:numCache>
                <c:formatCode>General</c:formatCode>
                <c:ptCount val="5"/>
                <c:pt idx="0">
                  <c:v>3185.0</c:v>
                </c:pt>
                <c:pt idx="1">
                  <c:v>3026.0</c:v>
                </c:pt>
                <c:pt idx="2">
                  <c:v>2771.0</c:v>
                </c:pt>
                <c:pt idx="3">
                  <c:v>2713.0</c:v>
                </c:pt>
                <c:pt idx="4">
                  <c:v>2486.0</c:v>
                </c:pt>
              </c:numCache>
            </c:numRef>
          </c:val>
        </c:ser>
        <c:ser>
          <c:idx val="3"/>
          <c:order val="3"/>
          <c:tx>
            <c:strRef>
              <c:f>事故位置!$A$62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事故位置!$B$62:$F$62</c:f>
              <c:numCache>
                <c:formatCode>General</c:formatCode>
                <c:ptCount val="5"/>
                <c:pt idx="0">
                  <c:v>2952.0</c:v>
                </c:pt>
                <c:pt idx="1">
                  <c:v>2529.0</c:v>
                </c:pt>
                <c:pt idx="2">
                  <c:v>2413.0</c:v>
                </c:pt>
                <c:pt idx="3">
                  <c:v>2359.0</c:v>
                </c:pt>
                <c:pt idx="4">
                  <c:v>2301.0</c:v>
                </c:pt>
              </c:numCache>
            </c:numRef>
          </c:val>
        </c:ser>
        <c:ser>
          <c:idx val="4"/>
          <c:order val="4"/>
          <c:tx>
            <c:strRef>
              <c:f>事故位置!$A$63</c:f>
              <c:strCache>
                <c:ptCount val="1"/>
                <c:pt idx="0">
                  <c:v>人行横道</c:v>
                </c:pt>
              </c:strCache>
            </c:strRef>
          </c:tx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事故位置!$B$63:$F$63</c:f>
              <c:numCache>
                <c:formatCode>General</c:formatCode>
                <c:ptCount val="5"/>
                <c:pt idx="0">
                  <c:v>725.0</c:v>
                </c:pt>
                <c:pt idx="1">
                  <c:v>763.0</c:v>
                </c:pt>
                <c:pt idx="2">
                  <c:v>701.0</c:v>
                </c:pt>
                <c:pt idx="3">
                  <c:v>681.0</c:v>
                </c:pt>
                <c:pt idx="4">
                  <c:v>638.0</c:v>
                </c:pt>
              </c:numCache>
            </c:numRef>
          </c:val>
        </c:ser>
        <c:ser>
          <c:idx val="5"/>
          <c:order val="5"/>
          <c:tx>
            <c:strRef>
              <c:f>事故位置!$A$64</c:f>
              <c:strCache>
                <c:ptCount val="1"/>
                <c:pt idx="0">
                  <c:v>紧急停车带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事故位置!$B$64:$F$64</c:f>
              <c:numCache>
                <c:formatCode>General</c:formatCode>
                <c:ptCount val="5"/>
                <c:pt idx="0">
                  <c:v>259.0</c:v>
                </c:pt>
                <c:pt idx="1">
                  <c:v>256.0</c:v>
                </c:pt>
                <c:pt idx="2">
                  <c:v>258.0</c:v>
                </c:pt>
                <c:pt idx="3">
                  <c:v>283.0</c:v>
                </c:pt>
                <c:pt idx="4">
                  <c:v>289.0</c:v>
                </c:pt>
              </c:numCache>
            </c:numRef>
          </c:val>
        </c:ser>
        <c:ser>
          <c:idx val="6"/>
          <c:order val="6"/>
          <c:tx>
            <c:strRef>
              <c:f>事故位置!$A$65</c:f>
              <c:strCache>
                <c:ptCount val="1"/>
                <c:pt idx="0">
                  <c:v>人行道</c:v>
                </c:pt>
              </c:strCache>
            </c:strRef>
          </c:tx>
          <c:spPr>
            <a:ln w="25400">
              <a:noFill/>
            </a:ln>
          </c:spPr>
          <c:cat>
            <c:numRef>
              <c:f>事故位置!$B$58:$F$58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事故位置!$B$65:$F$65</c:f>
              <c:numCache>
                <c:formatCode>General</c:formatCode>
                <c:ptCount val="5"/>
                <c:pt idx="0">
                  <c:v>349.0</c:v>
                </c:pt>
                <c:pt idx="1">
                  <c:v>335.0</c:v>
                </c:pt>
                <c:pt idx="2">
                  <c:v>280.0</c:v>
                </c:pt>
                <c:pt idx="3">
                  <c:v>285.0</c:v>
                </c:pt>
                <c:pt idx="4">
                  <c:v>258.0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56536"/>
        <c:axId val="2093270328"/>
      </c:areaChart>
      <c:catAx>
        <c:axId val="-20495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270328"/>
        <c:crosses val="autoZero"/>
        <c:auto val="1"/>
        <c:lblAlgn val="ctr"/>
        <c:lblOffset val="100"/>
        <c:noMultiLvlLbl val="0"/>
      </c:catAx>
      <c:valAx>
        <c:axId val="209327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5565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>
        <c:manualLayout>
          <c:xMode val="edge"/>
          <c:yMode val="edge"/>
          <c:x val="0.449071204809076"/>
          <c:y val="0.166666666666667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事故位置!$A$30</c:f>
              <c:strCache>
                <c:ptCount val="1"/>
                <c:pt idx="0">
                  <c:v>机动车道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事故位置!$B$30:$F$30</c:f>
              <c:numCache>
                <c:formatCode>General</c:formatCode>
                <c:ptCount val="5"/>
                <c:pt idx="0">
                  <c:v>1.364458769680558</c:v>
                </c:pt>
                <c:pt idx="1">
                  <c:v>1.400884279424796</c:v>
                </c:pt>
                <c:pt idx="2">
                  <c:v>1.422185372256273</c:v>
                </c:pt>
                <c:pt idx="3">
                  <c:v>1.443718469381651</c:v>
                </c:pt>
                <c:pt idx="4">
                  <c:v>1.464333361719038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事故位置!$A$32</c:f>
              <c:strCache>
                <c:ptCount val="1"/>
                <c:pt idx="0">
                  <c:v>机非混合道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事故位置!$B$32:$F$32</c:f>
              <c:numCache>
                <c:formatCode>General</c:formatCode>
                <c:ptCount val="5"/>
                <c:pt idx="0">
                  <c:v>1.420411498180198</c:v>
                </c:pt>
                <c:pt idx="1">
                  <c:v>1.460851557917669</c:v>
                </c:pt>
                <c:pt idx="2">
                  <c:v>1.460533352605333</c:v>
                </c:pt>
                <c:pt idx="3">
                  <c:v>1.458420718144264</c:v>
                </c:pt>
                <c:pt idx="4">
                  <c:v>1.468306442919257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事故位置!$A$37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事故位置!$B$37:$F$37</c:f>
              <c:numCache>
                <c:formatCode>General</c:formatCode>
                <c:ptCount val="5"/>
                <c:pt idx="0">
                  <c:v>1.374393118979041</c:v>
                </c:pt>
                <c:pt idx="1">
                  <c:v>1.412219712782961</c:v>
                </c:pt>
                <c:pt idx="2">
                  <c:v>1.426837453432075</c:v>
                </c:pt>
                <c:pt idx="3">
                  <c:v>1.438567490801381</c:v>
                </c:pt>
                <c:pt idx="4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21992"/>
        <c:axId val="-2121018744"/>
      </c:lineChart>
      <c:lineChart>
        <c:grouping val="standard"/>
        <c:varyColors val="0"/>
        <c:ser>
          <c:idx val="1"/>
          <c:order val="3"/>
          <c:tx>
            <c:strRef>
              <c:f>事故位置!$A$9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事故位置!$B$29:$F$29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事故位置!$B$9:$F$9</c:f>
              <c:numCache>
                <c:formatCode>General</c:formatCode>
                <c:ptCount val="5"/>
                <c:pt idx="0">
                  <c:v>378781.0</c:v>
                </c:pt>
                <c:pt idx="1">
                  <c:v>327209.0</c:v>
                </c:pt>
                <c:pt idx="2">
                  <c:v>265204.0</c:v>
                </c:pt>
                <c:pt idx="3">
                  <c:v>238351.0</c:v>
                </c:pt>
                <c:pt idx="4">
                  <c:v>219521.0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27656"/>
        <c:axId val="-2050561656"/>
      </c:lineChart>
      <c:catAx>
        <c:axId val="-212102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018744"/>
        <c:crosses val="autoZero"/>
        <c:auto val="1"/>
        <c:lblAlgn val="ctr"/>
        <c:lblOffset val="100"/>
        <c:noMultiLvlLbl val="0"/>
      </c:catAx>
      <c:valAx>
        <c:axId val="-2121018744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1021992"/>
        <c:crosses val="autoZero"/>
        <c:crossBetween val="between"/>
      </c:valAx>
      <c:valAx>
        <c:axId val="-2050561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0427656"/>
        <c:crosses val="max"/>
        <c:crossBetween val="between"/>
      </c:valAx>
      <c:catAx>
        <c:axId val="-212042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05616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CN</a:t>
            </a:r>
            <a:r>
              <a:rPr lang="en-US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'All-交通方式'!$A$10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'All-交通方式'!$B$10:$L$10</c:f>
              <c:numCache>
                <c:formatCode>General</c:formatCode>
                <c:ptCount val="11"/>
                <c:pt idx="0">
                  <c:v>24580.0</c:v>
                </c:pt>
                <c:pt idx="1">
                  <c:v>28274.0</c:v>
                </c:pt>
                <c:pt idx="2">
                  <c:v>27575.0</c:v>
                </c:pt>
                <c:pt idx="3">
                  <c:v>25673.0</c:v>
                </c:pt>
                <c:pt idx="4">
                  <c:v>26741.0</c:v>
                </c:pt>
                <c:pt idx="5">
                  <c:v>24451.0</c:v>
                </c:pt>
                <c:pt idx="6">
                  <c:v>23285.0</c:v>
                </c:pt>
                <c:pt idx="7">
                  <c:v>21106.0</c:v>
                </c:pt>
                <c:pt idx="8">
                  <c:v>18913.0</c:v>
                </c:pt>
                <c:pt idx="9">
                  <c:v>16683.0</c:v>
                </c:pt>
                <c:pt idx="10">
                  <c:v>16281.0</c:v>
                </c:pt>
              </c:numCache>
            </c:numRef>
          </c:val>
        </c:ser>
        <c:ser>
          <c:idx val="1"/>
          <c:order val="1"/>
          <c:tx>
            <c:strRef>
              <c:f>'All-交通方式'!$A$9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'All-交通方式'!$B$9:$L$9</c:f>
              <c:numCache>
                <c:formatCode>General</c:formatCode>
                <c:ptCount val="11"/>
                <c:pt idx="0">
                  <c:v>34857.0</c:v>
                </c:pt>
                <c:pt idx="1">
                  <c:v>39490.0</c:v>
                </c:pt>
                <c:pt idx="2">
                  <c:v>41368.0</c:v>
                </c:pt>
                <c:pt idx="3">
                  <c:v>38648.0</c:v>
                </c:pt>
                <c:pt idx="4">
                  <c:v>40085.0</c:v>
                </c:pt>
                <c:pt idx="5">
                  <c:v>37145.0</c:v>
                </c:pt>
                <c:pt idx="6">
                  <c:v>32275.0</c:v>
                </c:pt>
                <c:pt idx="7">
                  <c:v>30366.0</c:v>
                </c:pt>
                <c:pt idx="8">
                  <c:v>27794.0</c:v>
                </c:pt>
                <c:pt idx="9">
                  <c:v>25908.0</c:v>
                </c:pt>
                <c:pt idx="10">
                  <c:v>24917.0</c:v>
                </c:pt>
              </c:numCache>
            </c:numRef>
          </c:val>
        </c:ser>
        <c:ser>
          <c:idx val="2"/>
          <c:order val="2"/>
          <c:tx>
            <c:strRef>
              <c:f>'All-交通方式'!$A$8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'All-交通方式'!$B$8:$L$8</c:f>
              <c:numCache>
                <c:formatCode>General</c:formatCode>
                <c:ptCount val="11"/>
                <c:pt idx="0">
                  <c:v>29638.0</c:v>
                </c:pt>
                <c:pt idx="1">
                  <c:v>33068.0</c:v>
                </c:pt>
                <c:pt idx="2">
                  <c:v>35352.0</c:v>
                </c:pt>
                <c:pt idx="3">
                  <c:v>34547.0</c:v>
                </c:pt>
                <c:pt idx="4">
                  <c:v>35686.0</c:v>
                </c:pt>
                <c:pt idx="5">
                  <c:v>33369.0</c:v>
                </c:pt>
                <c:pt idx="6">
                  <c:v>31014.0</c:v>
                </c:pt>
                <c:pt idx="7">
                  <c:v>27879.0</c:v>
                </c:pt>
                <c:pt idx="8">
                  <c:v>24813.0</c:v>
                </c:pt>
                <c:pt idx="9">
                  <c:v>23131.0</c:v>
                </c:pt>
                <c:pt idx="10">
                  <c:v>22184.0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11400"/>
        <c:axId val="-2050008360"/>
      </c:areaChart>
      <c:catAx>
        <c:axId val="-20500114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2050008360"/>
        <c:crosses val="autoZero"/>
        <c:auto val="1"/>
        <c:lblAlgn val="ctr"/>
        <c:lblOffset val="100"/>
        <c:noMultiLvlLbl val="0"/>
      </c:catAx>
      <c:valAx>
        <c:axId val="-2050008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0114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 w="38100" cmpd="sng">
      <a:solidFill>
        <a:schemeClr val="tx2"/>
      </a:solidFill>
    </a:ln>
  </c:sp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事故位置!$A$39</c:f>
              <c:strCache>
                <c:ptCount val="1"/>
                <c:pt idx="0">
                  <c:v>机动车道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事故位置!$B$39:$F$39</c:f>
              <c:numCache>
                <c:formatCode>General</c:formatCode>
                <c:ptCount val="5"/>
                <c:pt idx="0">
                  <c:v>0.175517014270033</c:v>
                </c:pt>
                <c:pt idx="1">
                  <c:v>0.180834186798401</c:v>
                </c:pt>
                <c:pt idx="2">
                  <c:v>0.197838599498173</c:v>
                </c:pt>
                <c:pt idx="3">
                  <c:v>0.202255002163844</c:v>
                </c:pt>
                <c:pt idx="4">
                  <c:v>0.20869598929963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事故位置!$A$41</c:f>
              <c:strCache>
                <c:ptCount val="1"/>
                <c:pt idx="0">
                  <c:v>机非混合道</c:v>
                </c:pt>
              </c:strCache>
            </c:strRef>
          </c:tx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事故位置!$B$41:$F$41</c:f>
              <c:numCache>
                <c:formatCode>General</c:formatCode>
                <c:ptCount val="5"/>
                <c:pt idx="0">
                  <c:v>0.164528876969394</c:v>
                </c:pt>
                <c:pt idx="1">
                  <c:v>0.169697069017789</c:v>
                </c:pt>
                <c:pt idx="2">
                  <c:v>0.188456856710244</c:v>
                </c:pt>
                <c:pt idx="3">
                  <c:v>0.19072260412014</c:v>
                </c:pt>
                <c:pt idx="4">
                  <c:v>0.198096007243983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事故位置!$A$46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事故位置!$B$38:$F$38</c:f>
              <c:numCache>
                <c:formatCode>General</c:formatCode>
                <c:ptCount val="5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</c:numCache>
            </c:numRef>
          </c:cat>
          <c:val>
            <c:numRef>
              <c:f>事故位置!$B$46:$F$46</c:f>
              <c:numCache>
                <c:formatCode>General</c:formatCode>
                <c:ptCount val="5"/>
                <c:pt idx="0">
                  <c:v>0.1718325604982</c:v>
                </c:pt>
                <c:pt idx="1">
                  <c:v>0.176694633740973</c:v>
                </c:pt>
                <c:pt idx="2">
                  <c:v>0.194195077734585</c:v>
                </c:pt>
                <c:pt idx="3">
                  <c:v>0.197614936829948</c:v>
                </c:pt>
                <c:pt idx="4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13032"/>
        <c:axId val="-2120510056"/>
      </c:lineChart>
      <c:catAx>
        <c:axId val="-212051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510056"/>
        <c:crosses val="autoZero"/>
        <c:auto val="1"/>
        <c:lblAlgn val="ctr"/>
        <c:lblOffset val="100"/>
        <c:noMultiLvlLbl val="0"/>
      </c:catAx>
      <c:valAx>
        <c:axId val="-2120510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051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事发点钟!$A$27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事发点钟!$B$27:$L$27</c:f>
              <c:numCache>
                <c:formatCode>General</c:formatCode>
                <c:ptCount val="11"/>
                <c:pt idx="0">
                  <c:v>0.813704017123799</c:v>
                </c:pt>
                <c:pt idx="1">
                  <c:v>0.879854294635022</c:v>
                </c:pt>
                <c:pt idx="2">
                  <c:v>0.8750972399415</c:v>
                </c:pt>
                <c:pt idx="3">
                  <c:v>0.918993823947328</c:v>
                </c:pt>
                <c:pt idx="4">
                  <c:v>1.16791486007095</c:v>
                </c:pt>
                <c:pt idx="5">
                  <c:v>1.329934678837618</c:v>
                </c:pt>
                <c:pt idx="6">
                  <c:v>1.437483068587612</c:v>
                </c:pt>
                <c:pt idx="7">
                  <c:v>1.481457837618246</c:v>
                </c:pt>
                <c:pt idx="8">
                  <c:v>1.499323410013532</c:v>
                </c:pt>
                <c:pt idx="9">
                  <c:v>1.527892561983471</c:v>
                </c:pt>
                <c:pt idx="10">
                  <c:v>1.545159043417692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事发点钟!$A$28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事发点钟!$B$28:$L$28</c:f>
              <c:numCache>
                <c:formatCode>General</c:formatCode>
                <c:ptCount val="11"/>
                <c:pt idx="0">
                  <c:v>0.844711846466672</c:v>
                </c:pt>
                <c:pt idx="1">
                  <c:v>0.827327046961068</c:v>
                </c:pt>
                <c:pt idx="2">
                  <c:v>0.864571856683266</c:v>
                </c:pt>
                <c:pt idx="3">
                  <c:v>0.951908206535296</c:v>
                </c:pt>
                <c:pt idx="4">
                  <c:v>1.202607493250807</c:v>
                </c:pt>
                <c:pt idx="5">
                  <c:v>1.354676376728582</c:v>
                </c:pt>
                <c:pt idx="6">
                  <c:v>1.483475783475783</c:v>
                </c:pt>
                <c:pt idx="7">
                  <c:v>1.491640105127775</c:v>
                </c:pt>
                <c:pt idx="8">
                  <c:v>1.533733443708609</c:v>
                </c:pt>
                <c:pt idx="9">
                  <c:v>1.564792367247986</c:v>
                </c:pt>
                <c:pt idx="10">
                  <c:v>1.584086942725686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事发点钟!$A$29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事发点钟!$B$29:$L$29</c:f>
              <c:numCache>
                <c:formatCode>General</c:formatCode>
                <c:ptCount val="11"/>
                <c:pt idx="0">
                  <c:v>0.802804037970133</c:v>
                </c:pt>
                <c:pt idx="1">
                  <c:v>0.832066705384551</c:v>
                </c:pt>
                <c:pt idx="2">
                  <c:v>0.844731521721827</c:v>
                </c:pt>
                <c:pt idx="3">
                  <c:v>0.867302552277134</c:v>
                </c:pt>
                <c:pt idx="4">
                  <c:v>1.101938951814168</c:v>
                </c:pt>
                <c:pt idx="5">
                  <c:v>1.238748191499068</c:v>
                </c:pt>
                <c:pt idx="6">
                  <c:v>1.354974991501967</c:v>
                </c:pt>
                <c:pt idx="7">
                  <c:v>1.402829621806661</c:v>
                </c:pt>
                <c:pt idx="8">
                  <c:v>1.401529072801107</c:v>
                </c:pt>
                <c:pt idx="9">
                  <c:v>1.388540907987376</c:v>
                </c:pt>
                <c:pt idx="10">
                  <c:v>1.42446631726959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事发点钟!$A$30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事发点钟!$B$30:$L$30</c:f>
              <c:numCache>
                <c:formatCode>General</c:formatCode>
                <c:ptCount val="11"/>
                <c:pt idx="0">
                  <c:v>0.777973234763633</c:v>
                </c:pt>
                <c:pt idx="1">
                  <c:v>0.802321532211259</c:v>
                </c:pt>
                <c:pt idx="2">
                  <c:v>0.809203155983968</c:v>
                </c:pt>
                <c:pt idx="3">
                  <c:v>0.812826876428441</c:v>
                </c:pt>
                <c:pt idx="4">
                  <c:v>1.084475687259828</c:v>
                </c:pt>
                <c:pt idx="5">
                  <c:v>1.226064614880009</c:v>
                </c:pt>
                <c:pt idx="6">
                  <c:v>1.352261751448809</c:v>
                </c:pt>
                <c:pt idx="7">
                  <c:v>1.391877488322518</c:v>
                </c:pt>
                <c:pt idx="8">
                  <c:v>1.401076926078389</c:v>
                </c:pt>
                <c:pt idx="9">
                  <c:v>1.419756761353972</c:v>
                </c:pt>
                <c:pt idx="10">
                  <c:v>1.435840862113013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事发点钟!$A$31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事发点钟!$B$31:$L$31</c:f>
              <c:numCache>
                <c:formatCode>General</c:formatCode>
                <c:ptCount val="11"/>
                <c:pt idx="0">
                  <c:v>0.825981639424349</c:v>
                </c:pt>
                <c:pt idx="1">
                  <c:v>0.856172202586112</c:v>
                </c:pt>
                <c:pt idx="2">
                  <c:v>0.858803589665587</c:v>
                </c:pt>
                <c:pt idx="3">
                  <c:v>0.883615748816347</c:v>
                </c:pt>
                <c:pt idx="4">
                  <c:v>1.122171342935642</c:v>
                </c:pt>
                <c:pt idx="5">
                  <c:v>1.241291890288819</c:v>
                </c:pt>
                <c:pt idx="6">
                  <c:v>1.353180140439323</c:v>
                </c:pt>
                <c:pt idx="7">
                  <c:v>1.396576244403476</c:v>
                </c:pt>
                <c:pt idx="8">
                  <c:v>1.42177296430004</c:v>
                </c:pt>
                <c:pt idx="9">
                  <c:v>1.440832646035787</c:v>
                </c:pt>
                <c:pt idx="10">
                  <c:v>1.450686319302358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事发点钟!$A$32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事发点钟!$B$26:$L$26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事发点钟!$B$32:$L$32</c:f>
              <c:numCache>
                <c:formatCode>General</c:formatCode>
                <c:ptCount val="11"/>
                <c:pt idx="0">
                  <c:v>0.930846097991079</c:v>
                </c:pt>
                <c:pt idx="1">
                  <c:v>0.969122845031893</c:v>
                </c:pt>
                <c:pt idx="2">
                  <c:v>0.960266313305969</c:v>
                </c:pt>
                <c:pt idx="3">
                  <c:v>0.994967229308318</c:v>
                </c:pt>
                <c:pt idx="4">
                  <c:v>1.188832938388626</c:v>
                </c:pt>
                <c:pt idx="5">
                  <c:v>1.282447096351571</c:v>
                </c:pt>
                <c:pt idx="6">
                  <c:v>1.373037887935254</c:v>
                </c:pt>
                <c:pt idx="7">
                  <c:v>1.402184347999551</c:v>
                </c:pt>
                <c:pt idx="8">
                  <c:v>1.414967125289176</c:v>
                </c:pt>
                <c:pt idx="9">
                  <c:v>1.423649204607789</c:v>
                </c:pt>
                <c:pt idx="10">
                  <c:v>1.427847239298617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517048"/>
        <c:axId val="-2049513912"/>
      </c:lineChart>
      <c:catAx>
        <c:axId val="-204951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513912"/>
        <c:crosses val="autoZero"/>
        <c:auto val="1"/>
        <c:lblAlgn val="ctr"/>
        <c:lblOffset val="100"/>
        <c:noMultiLvlLbl val="0"/>
      </c:catAx>
      <c:valAx>
        <c:axId val="-204951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5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事发点钟!$A$35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事发点钟!$B$35:$L$35</c:f>
              <c:numCache>
                <c:formatCode>General</c:formatCode>
                <c:ptCount val="11"/>
                <c:pt idx="0">
                  <c:v>0.203560395191631</c:v>
                </c:pt>
                <c:pt idx="1">
                  <c:v>0.185652491563359</c:v>
                </c:pt>
                <c:pt idx="2">
                  <c:v>0.186561414737641</c:v>
                </c:pt>
                <c:pt idx="3">
                  <c:v>0.209160632549026</c:v>
                </c:pt>
                <c:pt idx="4">
                  <c:v>0.212223483570092</c:v>
                </c:pt>
                <c:pt idx="5">
                  <c:v>0.210632369378021</c:v>
                </c:pt>
                <c:pt idx="6">
                  <c:v>0.205965495382823</c:v>
                </c:pt>
                <c:pt idx="7">
                  <c:v>0.213754064324049</c:v>
                </c:pt>
                <c:pt idx="8">
                  <c:v>0.230510293687189</c:v>
                </c:pt>
                <c:pt idx="9">
                  <c:v>0.239322740590489</c:v>
                </c:pt>
                <c:pt idx="10">
                  <c:v>0.244447783621337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事发点钟!$A$36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事发点钟!$B$36:$L$36</c:f>
              <c:numCache>
                <c:formatCode>General</c:formatCode>
                <c:ptCount val="11"/>
                <c:pt idx="0">
                  <c:v>0.271615115742267</c:v>
                </c:pt>
                <c:pt idx="1">
                  <c:v>0.244851323139423</c:v>
                </c:pt>
                <c:pt idx="2">
                  <c:v>0.245055561219288</c:v>
                </c:pt>
                <c:pt idx="3">
                  <c:v>0.253917509564488</c:v>
                </c:pt>
                <c:pt idx="4">
                  <c:v>0.285479632063075</c:v>
                </c:pt>
                <c:pt idx="5">
                  <c:v>0.283168735465555</c:v>
                </c:pt>
                <c:pt idx="6">
                  <c:v>0.27687087894501</c:v>
                </c:pt>
                <c:pt idx="7">
                  <c:v>0.28348641049672</c:v>
                </c:pt>
                <c:pt idx="8">
                  <c:v>0.296226330229838</c:v>
                </c:pt>
                <c:pt idx="9">
                  <c:v>0.305312609325803</c:v>
                </c:pt>
                <c:pt idx="10">
                  <c:v>0.307576743953127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事发点钟!$A$37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事发点钟!$B$37:$L$37</c:f>
              <c:numCache>
                <c:formatCode>General</c:formatCode>
                <c:ptCount val="11"/>
                <c:pt idx="0">
                  <c:v>0.17197768283975</c:v>
                </c:pt>
                <c:pt idx="1">
                  <c:v>0.14962757630448</c:v>
                </c:pt>
                <c:pt idx="2">
                  <c:v>0.154192618278101</c:v>
                </c:pt>
                <c:pt idx="3">
                  <c:v>0.160634076580659</c:v>
                </c:pt>
                <c:pt idx="4">
                  <c:v>0.170147571223611</c:v>
                </c:pt>
                <c:pt idx="5">
                  <c:v>0.15842084218944</c:v>
                </c:pt>
                <c:pt idx="6">
                  <c:v>0.162527326810737</c:v>
                </c:pt>
                <c:pt idx="7">
                  <c:v>0.164767269800888</c:v>
                </c:pt>
                <c:pt idx="8">
                  <c:v>0.181067694001101</c:v>
                </c:pt>
                <c:pt idx="9">
                  <c:v>0.186820295835227</c:v>
                </c:pt>
                <c:pt idx="10">
                  <c:v>0.194030654366632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事发点钟!$A$38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事发点钟!$B$38:$L$38</c:f>
              <c:numCache>
                <c:formatCode>General</c:formatCode>
                <c:ptCount val="11"/>
                <c:pt idx="0">
                  <c:v>0.160722804205545</c:v>
                </c:pt>
                <c:pt idx="1">
                  <c:v>0.139726486354776</c:v>
                </c:pt>
                <c:pt idx="2">
                  <c:v>0.139450519348797</c:v>
                </c:pt>
                <c:pt idx="3">
                  <c:v>0.14574780058651</c:v>
                </c:pt>
                <c:pt idx="4">
                  <c:v>0.153082171361402</c:v>
                </c:pt>
                <c:pt idx="5">
                  <c:v>0.143487720925255</c:v>
                </c:pt>
                <c:pt idx="6">
                  <c:v>0.143755642193189</c:v>
                </c:pt>
                <c:pt idx="7">
                  <c:v>0.148019684906362</c:v>
                </c:pt>
                <c:pt idx="8">
                  <c:v>0.163921186381675</c:v>
                </c:pt>
                <c:pt idx="9">
                  <c:v>0.167085991553599</c:v>
                </c:pt>
                <c:pt idx="10">
                  <c:v>0.172071882632677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事发点钟!$A$39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事发点钟!$B$39:$L$39</c:f>
              <c:numCache>
                <c:formatCode>General</c:formatCode>
                <c:ptCount val="11"/>
                <c:pt idx="0">
                  <c:v>0.164382998997815</c:v>
                </c:pt>
                <c:pt idx="1">
                  <c:v>0.144918524596469</c:v>
                </c:pt>
                <c:pt idx="2">
                  <c:v>0.143157149001847</c:v>
                </c:pt>
                <c:pt idx="3">
                  <c:v>0.155416743044882</c:v>
                </c:pt>
                <c:pt idx="4">
                  <c:v>0.161265432098765</c:v>
                </c:pt>
                <c:pt idx="5">
                  <c:v>0.153971838367334</c:v>
                </c:pt>
                <c:pt idx="6">
                  <c:v>0.15169356917729</c:v>
                </c:pt>
                <c:pt idx="7">
                  <c:v>0.158152296899751</c:v>
                </c:pt>
                <c:pt idx="8">
                  <c:v>0.175145578476956</c:v>
                </c:pt>
                <c:pt idx="9">
                  <c:v>0.177175495576212</c:v>
                </c:pt>
                <c:pt idx="10">
                  <c:v>0.185049774747018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事发点钟!$A$40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事发点钟!$B$40:$L$40</c:f>
              <c:numCache>
                <c:formatCode>General</c:formatCode>
                <c:ptCount val="11"/>
                <c:pt idx="0">
                  <c:v>0.197225214516548</c:v>
                </c:pt>
                <c:pt idx="1">
                  <c:v>0.176611562163748</c:v>
                </c:pt>
                <c:pt idx="2">
                  <c:v>0.17632170600035</c:v>
                </c:pt>
                <c:pt idx="3">
                  <c:v>0.189357431174045</c:v>
                </c:pt>
                <c:pt idx="4">
                  <c:v>0.194212180948124</c:v>
                </c:pt>
                <c:pt idx="5">
                  <c:v>0.184011429925084</c:v>
                </c:pt>
                <c:pt idx="6">
                  <c:v>0.177829538432286</c:v>
                </c:pt>
                <c:pt idx="7">
                  <c:v>0.182839105499489</c:v>
                </c:pt>
                <c:pt idx="8">
                  <c:v>0.204046510127032</c:v>
                </c:pt>
                <c:pt idx="9">
                  <c:v>0.205599036724865</c:v>
                </c:pt>
                <c:pt idx="10">
                  <c:v>0.211774368757121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466088"/>
        <c:axId val="-2049462952"/>
      </c:lineChart>
      <c:catAx>
        <c:axId val="-204946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462952"/>
        <c:crosses val="autoZero"/>
        <c:auto val="1"/>
        <c:lblAlgn val="ctr"/>
        <c:lblOffset val="100"/>
        <c:noMultiLvlLbl val="0"/>
      </c:catAx>
      <c:valAx>
        <c:axId val="-204946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46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事发点钟!$B$43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事发点钟!$A$44:$A$49</c:f>
              <c:strCache>
                <c:ptCount val="6"/>
                <c:pt idx="0">
                  <c:v>18:00-21:59</c:v>
                </c:pt>
                <c:pt idx="1">
                  <c:v>14:00-17:59</c:v>
                </c:pt>
                <c:pt idx="2">
                  <c:v>06:00-09:59</c:v>
                </c:pt>
                <c:pt idx="3">
                  <c:v>10:00-13:59</c:v>
                </c:pt>
                <c:pt idx="4">
                  <c:v>22:00-01:59</c:v>
                </c:pt>
                <c:pt idx="5">
                  <c:v>02:00-05:59</c:v>
                </c:pt>
              </c:strCache>
            </c:strRef>
          </c:cat>
          <c:val>
            <c:numRef>
              <c:f>事发点钟!$B$44:$B$49</c:f>
              <c:numCache>
                <c:formatCode>General</c:formatCode>
                <c:ptCount val="6"/>
                <c:pt idx="0">
                  <c:v>15986.0</c:v>
                </c:pt>
                <c:pt idx="1">
                  <c:v>13514.0</c:v>
                </c:pt>
                <c:pt idx="2">
                  <c:v>10811.0</c:v>
                </c:pt>
                <c:pt idx="3">
                  <c:v>10638.0</c:v>
                </c:pt>
                <c:pt idx="4">
                  <c:v>8134.0</c:v>
                </c:pt>
                <c:pt idx="5">
                  <c:v>6142.0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619224"/>
        <c:axId val="-2050616216"/>
      </c:barChart>
      <c:catAx>
        <c:axId val="-205061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16216"/>
        <c:crosses val="autoZero"/>
        <c:auto val="1"/>
        <c:lblAlgn val="ctr"/>
        <c:lblOffset val="100"/>
        <c:noMultiLvlLbl val="0"/>
      </c:catAx>
      <c:valAx>
        <c:axId val="-205061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61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事故数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事发点钟!$A$53</c:f>
              <c:strCache>
                <c:ptCount val="1"/>
                <c:pt idx="0">
                  <c:v>18:00-21:59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事发点钟!$B$53:$L$53</c:f>
              <c:numCache>
                <c:formatCode>General</c:formatCode>
                <c:ptCount val="11"/>
                <c:pt idx="0">
                  <c:v>21238.0</c:v>
                </c:pt>
                <c:pt idx="1">
                  <c:v>25277.0</c:v>
                </c:pt>
                <c:pt idx="2">
                  <c:v>26194.0</c:v>
                </c:pt>
                <c:pt idx="3">
                  <c:v>26130.0</c:v>
                </c:pt>
                <c:pt idx="4">
                  <c:v>26502.0</c:v>
                </c:pt>
                <c:pt idx="5">
                  <c:v>24857.0</c:v>
                </c:pt>
                <c:pt idx="6">
                  <c:v>22446.0</c:v>
                </c:pt>
                <c:pt idx="7">
                  <c:v>20563.0</c:v>
                </c:pt>
                <c:pt idx="8">
                  <c:v>18970.0</c:v>
                </c:pt>
                <c:pt idx="9">
                  <c:v>17075.0</c:v>
                </c:pt>
                <c:pt idx="10">
                  <c:v>15986.0</c:v>
                </c:pt>
              </c:numCache>
            </c:numRef>
          </c:val>
        </c:ser>
        <c:ser>
          <c:idx val="1"/>
          <c:order val="1"/>
          <c:tx>
            <c:strRef>
              <c:f>事发点钟!$A$54</c:f>
              <c:strCache>
                <c:ptCount val="1"/>
                <c:pt idx="0">
                  <c:v>14:00-17:59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事发点钟!$B$54:$L$54</c:f>
              <c:numCache>
                <c:formatCode>General</c:formatCode>
                <c:ptCount val="11"/>
                <c:pt idx="0">
                  <c:v>20011.0</c:v>
                </c:pt>
                <c:pt idx="1">
                  <c:v>22607.0</c:v>
                </c:pt>
                <c:pt idx="2">
                  <c:v>22632.0</c:v>
                </c:pt>
                <c:pt idx="3">
                  <c:v>22044.0</c:v>
                </c:pt>
                <c:pt idx="4">
                  <c:v>21736.0</c:v>
                </c:pt>
                <c:pt idx="5">
                  <c:v>19978.0</c:v>
                </c:pt>
                <c:pt idx="6">
                  <c:v>18241.0</c:v>
                </c:pt>
                <c:pt idx="7">
                  <c:v>16773.0</c:v>
                </c:pt>
                <c:pt idx="8">
                  <c:v>15520.0</c:v>
                </c:pt>
                <c:pt idx="9">
                  <c:v>14238.0</c:v>
                </c:pt>
                <c:pt idx="10">
                  <c:v>13514.0</c:v>
                </c:pt>
              </c:numCache>
            </c:numRef>
          </c:val>
        </c:ser>
        <c:ser>
          <c:idx val="2"/>
          <c:order val="2"/>
          <c:tx>
            <c:strRef>
              <c:f>事发点钟!$A$55</c:f>
              <c:strCache>
                <c:ptCount val="1"/>
                <c:pt idx="0">
                  <c:v>06:00-09:59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事发点钟!$B$55:$L$55</c:f>
              <c:numCache>
                <c:formatCode>General</c:formatCode>
                <c:ptCount val="11"/>
                <c:pt idx="0">
                  <c:v>14210.0</c:v>
                </c:pt>
                <c:pt idx="1">
                  <c:v>15006.0</c:v>
                </c:pt>
                <c:pt idx="2">
                  <c:v>16364.0</c:v>
                </c:pt>
                <c:pt idx="3">
                  <c:v>15950.0</c:v>
                </c:pt>
                <c:pt idx="4">
                  <c:v>16603.0</c:v>
                </c:pt>
                <c:pt idx="5">
                  <c:v>15056.0</c:v>
                </c:pt>
                <c:pt idx="6">
                  <c:v>13605.0</c:v>
                </c:pt>
                <c:pt idx="7">
                  <c:v>12694.0</c:v>
                </c:pt>
                <c:pt idx="8">
                  <c:v>11186.0</c:v>
                </c:pt>
                <c:pt idx="9">
                  <c:v>10685.0</c:v>
                </c:pt>
                <c:pt idx="10">
                  <c:v>10811.0</c:v>
                </c:pt>
              </c:numCache>
            </c:numRef>
          </c:val>
        </c:ser>
        <c:ser>
          <c:idx val="3"/>
          <c:order val="3"/>
          <c:tx>
            <c:strRef>
              <c:f>事发点钟!$A$56</c:f>
              <c:strCache>
                <c:ptCount val="1"/>
                <c:pt idx="0">
                  <c:v>10:00-13:59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事发点钟!$B$56:$L$56</c:f>
              <c:numCache>
                <c:formatCode>General</c:formatCode>
                <c:ptCount val="11"/>
                <c:pt idx="0">
                  <c:v>16846.0</c:v>
                </c:pt>
                <c:pt idx="1">
                  <c:v>18350.0</c:v>
                </c:pt>
                <c:pt idx="2">
                  <c:v>18836.0</c:v>
                </c:pt>
                <c:pt idx="3">
                  <c:v>16898.0</c:v>
                </c:pt>
                <c:pt idx="4">
                  <c:v>17972.0</c:v>
                </c:pt>
                <c:pt idx="5">
                  <c:v>16091.0</c:v>
                </c:pt>
                <c:pt idx="6">
                  <c:v>14491.0</c:v>
                </c:pt>
                <c:pt idx="7">
                  <c:v>13144.0</c:v>
                </c:pt>
                <c:pt idx="8">
                  <c:v>11772.0</c:v>
                </c:pt>
                <c:pt idx="9">
                  <c:v>11157.0</c:v>
                </c:pt>
                <c:pt idx="10">
                  <c:v>10638.0</c:v>
                </c:pt>
              </c:numCache>
            </c:numRef>
          </c:val>
        </c:ser>
        <c:ser>
          <c:idx val="4"/>
          <c:order val="4"/>
          <c:tx>
            <c:strRef>
              <c:f>事发点钟!$A$57</c:f>
              <c:strCache>
                <c:ptCount val="1"/>
                <c:pt idx="0">
                  <c:v>22:00-01:59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事发点钟!$B$57:$L$57</c:f>
              <c:numCache>
                <c:formatCode>General</c:formatCode>
                <c:ptCount val="11"/>
                <c:pt idx="0">
                  <c:v>13310.0</c:v>
                </c:pt>
                <c:pt idx="1">
                  <c:v>16009.0</c:v>
                </c:pt>
                <c:pt idx="2">
                  <c:v>15740.0</c:v>
                </c:pt>
                <c:pt idx="3">
                  <c:v>13663.0</c:v>
                </c:pt>
                <c:pt idx="4">
                  <c:v>13834.0</c:v>
                </c:pt>
                <c:pt idx="5">
                  <c:v>13380.0</c:v>
                </c:pt>
                <c:pt idx="6">
                  <c:v>12022.0</c:v>
                </c:pt>
                <c:pt idx="7">
                  <c:v>10913.0</c:v>
                </c:pt>
                <c:pt idx="8">
                  <c:v>9450.0</c:v>
                </c:pt>
                <c:pt idx="9">
                  <c:v>8495.0</c:v>
                </c:pt>
                <c:pt idx="10">
                  <c:v>8134.0</c:v>
                </c:pt>
              </c:numCache>
            </c:numRef>
          </c:val>
        </c:ser>
        <c:ser>
          <c:idx val="5"/>
          <c:order val="5"/>
          <c:tx>
            <c:strRef>
              <c:f>事发点钟!$A$58</c:f>
              <c:strCache>
                <c:ptCount val="1"/>
                <c:pt idx="0">
                  <c:v>02:00-05:59</c:v>
                </c:pt>
              </c:strCache>
            </c:strRef>
          </c:tx>
          <c:cat>
            <c:numRef>
              <c:f>事发点钟!$B$52:$L$52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事发点钟!$B$58:$L$58</c:f>
              <c:numCache>
                <c:formatCode>General</c:formatCode>
                <c:ptCount val="11"/>
                <c:pt idx="0">
                  <c:v>8237.0</c:v>
                </c:pt>
                <c:pt idx="1">
                  <c:v>8679.0</c:v>
                </c:pt>
                <c:pt idx="2">
                  <c:v>9615.0</c:v>
                </c:pt>
                <c:pt idx="3">
                  <c:v>9690.0</c:v>
                </c:pt>
                <c:pt idx="4">
                  <c:v>10428.0</c:v>
                </c:pt>
                <c:pt idx="5">
                  <c:v>9376.0</c:v>
                </c:pt>
                <c:pt idx="6">
                  <c:v>8650.0</c:v>
                </c:pt>
                <c:pt idx="7">
                  <c:v>7562.0</c:v>
                </c:pt>
                <c:pt idx="8">
                  <c:v>6586.0</c:v>
                </c:pt>
                <c:pt idx="9">
                  <c:v>6109.0</c:v>
                </c:pt>
                <c:pt idx="10">
                  <c:v>6142.0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502968"/>
        <c:axId val="-2050499832"/>
      </c:areaChart>
      <c:catAx>
        <c:axId val="-205050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499832"/>
        <c:crosses val="autoZero"/>
        <c:auto val="1"/>
        <c:lblAlgn val="ctr"/>
        <c:lblOffset val="100"/>
        <c:noMultiLvlLbl val="0"/>
      </c:catAx>
      <c:valAx>
        <c:axId val="-2050499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5029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>
        <c:manualLayout>
          <c:xMode val="edge"/>
          <c:yMode val="edge"/>
          <c:x val="0.274340022013377"/>
          <c:y val="0.0324074074074074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事发点钟!$A$27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事发点钟!$B$27:$L$27</c:f>
              <c:numCache>
                <c:formatCode>General</c:formatCode>
                <c:ptCount val="11"/>
                <c:pt idx="0">
                  <c:v>0.813704017123799</c:v>
                </c:pt>
                <c:pt idx="1">
                  <c:v>0.879854294635022</c:v>
                </c:pt>
                <c:pt idx="2">
                  <c:v>0.8750972399415</c:v>
                </c:pt>
                <c:pt idx="3">
                  <c:v>0.918993823947328</c:v>
                </c:pt>
                <c:pt idx="4">
                  <c:v>1.16791486007095</c:v>
                </c:pt>
                <c:pt idx="5">
                  <c:v>1.329934678837618</c:v>
                </c:pt>
                <c:pt idx="6">
                  <c:v>1.437483068587612</c:v>
                </c:pt>
                <c:pt idx="7">
                  <c:v>1.481457837618246</c:v>
                </c:pt>
                <c:pt idx="8">
                  <c:v>1.499323410013532</c:v>
                </c:pt>
                <c:pt idx="9">
                  <c:v>1.527892561983471</c:v>
                </c:pt>
                <c:pt idx="10">
                  <c:v>1.545159043417692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事发点钟!$A$28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事发点钟!$B$28:$L$28</c:f>
              <c:numCache>
                <c:formatCode>General</c:formatCode>
                <c:ptCount val="11"/>
                <c:pt idx="0">
                  <c:v>0.844711846466672</c:v>
                </c:pt>
                <c:pt idx="1">
                  <c:v>0.827327046961068</c:v>
                </c:pt>
                <c:pt idx="2">
                  <c:v>0.864571856683266</c:v>
                </c:pt>
                <c:pt idx="3">
                  <c:v>0.951908206535296</c:v>
                </c:pt>
                <c:pt idx="4">
                  <c:v>1.202607493250807</c:v>
                </c:pt>
                <c:pt idx="5">
                  <c:v>1.354676376728582</c:v>
                </c:pt>
                <c:pt idx="6">
                  <c:v>1.483475783475783</c:v>
                </c:pt>
                <c:pt idx="7">
                  <c:v>1.491640105127775</c:v>
                </c:pt>
                <c:pt idx="8">
                  <c:v>1.533733443708609</c:v>
                </c:pt>
                <c:pt idx="9">
                  <c:v>1.564792367247986</c:v>
                </c:pt>
                <c:pt idx="10">
                  <c:v>1.584086942725686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事发点钟!$A$29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事发点钟!$B$29:$L$29</c:f>
              <c:numCache>
                <c:formatCode>General</c:formatCode>
                <c:ptCount val="11"/>
                <c:pt idx="0">
                  <c:v>0.802804037970133</c:v>
                </c:pt>
                <c:pt idx="1">
                  <c:v>0.832066705384551</c:v>
                </c:pt>
                <c:pt idx="2">
                  <c:v>0.844731521721827</c:v>
                </c:pt>
                <c:pt idx="3">
                  <c:v>0.867302552277134</c:v>
                </c:pt>
                <c:pt idx="4">
                  <c:v>1.101938951814168</c:v>
                </c:pt>
                <c:pt idx="5">
                  <c:v>1.238748191499068</c:v>
                </c:pt>
                <c:pt idx="6">
                  <c:v>1.354974991501967</c:v>
                </c:pt>
                <c:pt idx="7">
                  <c:v>1.402829621806661</c:v>
                </c:pt>
                <c:pt idx="8">
                  <c:v>1.401529072801107</c:v>
                </c:pt>
                <c:pt idx="9">
                  <c:v>1.388540907987376</c:v>
                </c:pt>
                <c:pt idx="10">
                  <c:v>1.42446631726959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事发点钟!$A$30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事发点钟!$B$30:$L$30</c:f>
              <c:numCache>
                <c:formatCode>General</c:formatCode>
                <c:ptCount val="11"/>
                <c:pt idx="0">
                  <c:v>0.777973234763633</c:v>
                </c:pt>
                <c:pt idx="1">
                  <c:v>0.802321532211259</c:v>
                </c:pt>
                <c:pt idx="2">
                  <c:v>0.809203155983968</c:v>
                </c:pt>
                <c:pt idx="3">
                  <c:v>0.812826876428441</c:v>
                </c:pt>
                <c:pt idx="4">
                  <c:v>1.084475687259828</c:v>
                </c:pt>
                <c:pt idx="5">
                  <c:v>1.226064614880009</c:v>
                </c:pt>
                <c:pt idx="6">
                  <c:v>1.352261751448809</c:v>
                </c:pt>
                <c:pt idx="7">
                  <c:v>1.391877488322518</c:v>
                </c:pt>
                <c:pt idx="8">
                  <c:v>1.401076926078389</c:v>
                </c:pt>
                <c:pt idx="9">
                  <c:v>1.419756761353972</c:v>
                </c:pt>
                <c:pt idx="10">
                  <c:v>1.435840862113013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事发点钟!$A$31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事发点钟!$B$31:$L$31</c:f>
              <c:numCache>
                <c:formatCode>General</c:formatCode>
                <c:ptCount val="11"/>
                <c:pt idx="0">
                  <c:v>0.825981639424349</c:v>
                </c:pt>
                <c:pt idx="1">
                  <c:v>0.856172202586112</c:v>
                </c:pt>
                <c:pt idx="2">
                  <c:v>0.858803589665587</c:v>
                </c:pt>
                <c:pt idx="3">
                  <c:v>0.883615748816347</c:v>
                </c:pt>
                <c:pt idx="4">
                  <c:v>1.122171342935642</c:v>
                </c:pt>
                <c:pt idx="5">
                  <c:v>1.241291890288819</c:v>
                </c:pt>
                <c:pt idx="6">
                  <c:v>1.353180140439323</c:v>
                </c:pt>
                <c:pt idx="7">
                  <c:v>1.396576244403476</c:v>
                </c:pt>
                <c:pt idx="8">
                  <c:v>1.42177296430004</c:v>
                </c:pt>
                <c:pt idx="9">
                  <c:v>1.440832646035787</c:v>
                </c:pt>
                <c:pt idx="10">
                  <c:v>1.450686319302358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事发点钟!$A$32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事发点钟!$B$32:$L$32</c:f>
              <c:numCache>
                <c:formatCode>General</c:formatCode>
                <c:ptCount val="11"/>
                <c:pt idx="0">
                  <c:v>0.930846097991079</c:v>
                </c:pt>
                <c:pt idx="1">
                  <c:v>0.969122845031893</c:v>
                </c:pt>
                <c:pt idx="2">
                  <c:v>0.960266313305969</c:v>
                </c:pt>
                <c:pt idx="3">
                  <c:v>0.994967229308318</c:v>
                </c:pt>
                <c:pt idx="4">
                  <c:v>1.188832938388626</c:v>
                </c:pt>
                <c:pt idx="5">
                  <c:v>1.282447096351571</c:v>
                </c:pt>
                <c:pt idx="6">
                  <c:v>1.373037887935254</c:v>
                </c:pt>
                <c:pt idx="7">
                  <c:v>1.402184347999551</c:v>
                </c:pt>
                <c:pt idx="8">
                  <c:v>1.414967125289176</c:v>
                </c:pt>
                <c:pt idx="9">
                  <c:v>1.423649204607789</c:v>
                </c:pt>
                <c:pt idx="10">
                  <c:v>1.427847239298617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事发点钟!$A$33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事发点钟!$B$33:$L$33</c:f>
              <c:numCache>
                <c:formatCode>General</c:formatCode>
                <c:ptCount val="11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918584"/>
        <c:axId val="-2050915608"/>
      </c:lineChart>
      <c:lineChart>
        <c:grouping val="standard"/>
        <c:varyColors val="0"/>
        <c:ser>
          <c:idx val="7"/>
          <c:order val="7"/>
          <c:tx>
            <c:strRef>
              <c:f>事发点钟!$A$8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事发点钟!$B$1:$L$1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事发点钟!$B$8:$L$8</c:f>
              <c:numCache>
                <c:formatCode>General</c:formatCode>
                <c:ptCount val="11"/>
                <c:pt idx="0">
                  <c:v>616972.0</c:v>
                </c:pt>
                <c:pt idx="1">
                  <c:v>754951.0</c:v>
                </c:pt>
                <c:pt idx="2">
                  <c:v>773137.0</c:v>
                </c:pt>
                <c:pt idx="3">
                  <c:v>667506.0</c:v>
                </c:pt>
                <c:pt idx="4">
                  <c:v>517891.0</c:v>
                </c:pt>
                <c:pt idx="5">
                  <c:v>450254.0</c:v>
                </c:pt>
                <c:pt idx="6">
                  <c:v>378781.0</c:v>
                </c:pt>
                <c:pt idx="7">
                  <c:v>327209.0</c:v>
                </c:pt>
                <c:pt idx="8">
                  <c:v>265204.0</c:v>
                </c:pt>
                <c:pt idx="9">
                  <c:v>238351.0</c:v>
                </c:pt>
                <c:pt idx="10">
                  <c:v>219521.0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909576"/>
        <c:axId val="-2050912568"/>
      </c:lineChart>
      <c:catAx>
        <c:axId val="-205091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915608"/>
        <c:crosses val="autoZero"/>
        <c:auto val="1"/>
        <c:lblAlgn val="ctr"/>
        <c:lblOffset val="100"/>
        <c:noMultiLvlLbl val="0"/>
      </c:catAx>
      <c:valAx>
        <c:axId val="-2050915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918584"/>
        <c:crosses val="autoZero"/>
        <c:crossBetween val="between"/>
      </c:valAx>
      <c:valAx>
        <c:axId val="-2050912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0909576"/>
        <c:crosses val="max"/>
        <c:crossBetween val="between"/>
      </c:valAx>
      <c:catAx>
        <c:axId val="-2050909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09125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事发点钟!$A$35</c:f>
              <c:strCache>
                <c:ptCount val="1"/>
                <c:pt idx="0">
                  <c:v>22:00-01:59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事发点钟!$B$35:$L$35</c:f>
              <c:numCache>
                <c:formatCode>General</c:formatCode>
                <c:ptCount val="11"/>
                <c:pt idx="0">
                  <c:v>0.203560395191631</c:v>
                </c:pt>
                <c:pt idx="1">
                  <c:v>0.185652491563359</c:v>
                </c:pt>
                <c:pt idx="2">
                  <c:v>0.186561414737641</c:v>
                </c:pt>
                <c:pt idx="3">
                  <c:v>0.209160632549026</c:v>
                </c:pt>
                <c:pt idx="4">
                  <c:v>0.212223483570092</c:v>
                </c:pt>
                <c:pt idx="5">
                  <c:v>0.210632369378021</c:v>
                </c:pt>
                <c:pt idx="6">
                  <c:v>0.205965495382823</c:v>
                </c:pt>
                <c:pt idx="7">
                  <c:v>0.213754064324049</c:v>
                </c:pt>
                <c:pt idx="8">
                  <c:v>0.230510293687189</c:v>
                </c:pt>
                <c:pt idx="9">
                  <c:v>0.239322740590489</c:v>
                </c:pt>
                <c:pt idx="10">
                  <c:v>0.244447783621337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事发点钟!$A$36</c:f>
              <c:strCache>
                <c:ptCount val="1"/>
                <c:pt idx="0">
                  <c:v>02:00-05:59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事发点钟!$B$36:$L$36</c:f>
              <c:numCache>
                <c:formatCode>General</c:formatCode>
                <c:ptCount val="11"/>
                <c:pt idx="0">
                  <c:v>0.271615115742267</c:v>
                </c:pt>
                <c:pt idx="1">
                  <c:v>0.244851323139423</c:v>
                </c:pt>
                <c:pt idx="2">
                  <c:v>0.245055561219288</c:v>
                </c:pt>
                <c:pt idx="3">
                  <c:v>0.253917509564488</c:v>
                </c:pt>
                <c:pt idx="4">
                  <c:v>0.285479632063075</c:v>
                </c:pt>
                <c:pt idx="5">
                  <c:v>0.283168735465555</c:v>
                </c:pt>
                <c:pt idx="6">
                  <c:v>0.27687087894501</c:v>
                </c:pt>
                <c:pt idx="7">
                  <c:v>0.28348641049672</c:v>
                </c:pt>
                <c:pt idx="8">
                  <c:v>0.296226330229838</c:v>
                </c:pt>
                <c:pt idx="9">
                  <c:v>0.305312609325803</c:v>
                </c:pt>
                <c:pt idx="10">
                  <c:v>0.307576743953127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事发点钟!$A$37</c:f>
              <c:strCache>
                <c:ptCount val="1"/>
                <c:pt idx="0">
                  <c:v>06:00-09:59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事发点钟!$B$37:$L$37</c:f>
              <c:numCache>
                <c:formatCode>General</c:formatCode>
                <c:ptCount val="11"/>
                <c:pt idx="0">
                  <c:v>0.17197768283975</c:v>
                </c:pt>
                <c:pt idx="1">
                  <c:v>0.14962757630448</c:v>
                </c:pt>
                <c:pt idx="2">
                  <c:v>0.154192618278101</c:v>
                </c:pt>
                <c:pt idx="3">
                  <c:v>0.160634076580659</c:v>
                </c:pt>
                <c:pt idx="4">
                  <c:v>0.170147571223611</c:v>
                </c:pt>
                <c:pt idx="5">
                  <c:v>0.15842084218944</c:v>
                </c:pt>
                <c:pt idx="6">
                  <c:v>0.162527326810737</c:v>
                </c:pt>
                <c:pt idx="7">
                  <c:v>0.164767269800888</c:v>
                </c:pt>
                <c:pt idx="8">
                  <c:v>0.181067694001101</c:v>
                </c:pt>
                <c:pt idx="9">
                  <c:v>0.186820295835227</c:v>
                </c:pt>
                <c:pt idx="10">
                  <c:v>0.194030654366632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事发点钟!$A$38</c:f>
              <c:strCache>
                <c:ptCount val="1"/>
                <c:pt idx="0">
                  <c:v>10:00-13:59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事发点钟!$B$38:$L$38</c:f>
              <c:numCache>
                <c:formatCode>General</c:formatCode>
                <c:ptCount val="11"/>
                <c:pt idx="0">
                  <c:v>0.160722804205545</c:v>
                </c:pt>
                <c:pt idx="1">
                  <c:v>0.139726486354776</c:v>
                </c:pt>
                <c:pt idx="2">
                  <c:v>0.139450519348797</c:v>
                </c:pt>
                <c:pt idx="3">
                  <c:v>0.14574780058651</c:v>
                </c:pt>
                <c:pt idx="4">
                  <c:v>0.153082171361402</c:v>
                </c:pt>
                <c:pt idx="5">
                  <c:v>0.143487720925255</c:v>
                </c:pt>
                <c:pt idx="6">
                  <c:v>0.143755642193189</c:v>
                </c:pt>
                <c:pt idx="7">
                  <c:v>0.148019684906362</c:v>
                </c:pt>
                <c:pt idx="8">
                  <c:v>0.163921186381675</c:v>
                </c:pt>
                <c:pt idx="9">
                  <c:v>0.167085991553599</c:v>
                </c:pt>
                <c:pt idx="10">
                  <c:v>0.172071882632677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事发点钟!$A$39</c:f>
              <c:strCache>
                <c:ptCount val="1"/>
                <c:pt idx="0">
                  <c:v>14:00-17:59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事发点钟!$B$39:$L$39</c:f>
              <c:numCache>
                <c:formatCode>General</c:formatCode>
                <c:ptCount val="11"/>
                <c:pt idx="0">
                  <c:v>0.164382998997815</c:v>
                </c:pt>
                <c:pt idx="1">
                  <c:v>0.144918524596469</c:v>
                </c:pt>
                <c:pt idx="2">
                  <c:v>0.143157149001847</c:v>
                </c:pt>
                <c:pt idx="3">
                  <c:v>0.155416743044882</c:v>
                </c:pt>
                <c:pt idx="4">
                  <c:v>0.161265432098765</c:v>
                </c:pt>
                <c:pt idx="5">
                  <c:v>0.153971838367334</c:v>
                </c:pt>
                <c:pt idx="6">
                  <c:v>0.15169356917729</c:v>
                </c:pt>
                <c:pt idx="7">
                  <c:v>0.158152296899751</c:v>
                </c:pt>
                <c:pt idx="8">
                  <c:v>0.175145578476956</c:v>
                </c:pt>
                <c:pt idx="9">
                  <c:v>0.177175495576212</c:v>
                </c:pt>
                <c:pt idx="10">
                  <c:v>0.185049774747018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事发点钟!$A$40</c:f>
              <c:strCache>
                <c:ptCount val="1"/>
                <c:pt idx="0">
                  <c:v>18:00-21:59</c:v>
                </c:pt>
              </c:strCache>
            </c:strRef>
          </c:tx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事发点钟!$B$40:$L$40</c:f>
              <c:numCache>
                <c:formatCode>General</c:formatCode>
                <c:ptCount val="11"/>
                <c:pt idx="0">
                  <c:v>0.197225214516548</c:v>
                </c:pt>
                <c:pt idx="1">
                  <c:v>0.176611562163748</c:v>
                </c:pt>
                <c:pt idx="2">
                  <c:v>0.17632170600035</c:v>
                </c:pt>
                <c:pt idx="3">
                  <c:v>0.189357431174045</c:v>
                </c:pt>
                <c:pt idx="4">
                  <c:v>0.194212180948124</c:v>
                </c:pt>
                <c:pt idx="5">
                  <c:v>0.184011429925084</c:v>
                </c:pt>
                <c:pt idx="6">
                  <c:v>0.177829538432286</c:v>
                </c:pt>
                <c:pt idx="7">
                  <c:v>0.182839105499489</c:v>
                </c:pt>
                <c:pt idx="8">
                  <c:v>0.204046510127032</c:v>
                </c:pt>
                <c:pt idx="9">
                  <c:v>0.205599036724865</c:v>
                </c:pt>
                <c:pt idx="10">
                  <c:v>0.211774368757121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事发点钟!$A$41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事发点钟!$B$34:$L$34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事发点钟!$B$41:$L$41</c:f>
              <c:numCache>
                <c:formatCode>General</c:formatCode>
                <c:ptCount val="11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863864"/>
        <c:axId val="-2050860984"/>
      </c:lineChart>
      <c:catAx>
        <c:axId val="-205086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860984"/>
        <c:crosses val="autoZero"/>
        <c:auto val="1"/>
        <c:lblAlgn val="ctr"/>
        <c:lblOffset val="100"/>
        <c:noMultiLvlLbl val="0"/>
      </c:catAx>
      <c:valAx>
        <c:axId val="-205086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086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事故原因!$J$1</c:f>
              <c:strCache>
                <c:ptCount val="1"/>
                <c:pt idx="0">
                  <c:v>酒后驾驶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事故原因!$J$2:$J$12</c:f>
              <c:numCache>
                <c:formatCode>General</c:formatCode>
                <c:ptCount val="11"/>
                <c:pt idx="0">
                  <c:v>1.300501967168634</c:v>
                </c:pt>
                <c:pt idx="1">
                  <c:v>1.313729216152019</c:v>
                </c:pt>
                <c:pt idx="2">
                  <c:v>1.355342253248012</c:v>
                </c:pt>
                <c:pt idx="3">
                  <c:v>1.385818181818182</c:v>
                </c:pt>
                <c:pt idx="4">
                  <c:v>1.464336482983527</c:v>
                </c:pt>
                <c:pt idx="5">
                  <c:v>1.464489795918367</c:v>
                </c:pt>
                <c:pt idx="6">
                  <c:v>1.492056767633976</c:v>
                </c:pt>
                <c:pt idx="7">
                  <c:v>1.484232175502742</c:v>
                </c:pt>
                <c:pt idx="8">
                  <c:v>1.449853684490556</c:v>
                </c:pt>
                <c:pt idx="9">
                  <c:v>1.556542134360865</c:v>
                </c:pt>
                <c:pt idx="10">
                  <c:v>1.561671996345363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事故原因!$K$1</c:f>
              <c:strCache>
                <c:ptCount val="1"/>
                <c:pt idx="0">
                  <c:v>超速行驶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事故原因!$K$2:$K$12</c:f>
              <c:numCache>
                <c:formatCode>General</c:formatCode>
                <c:ptCount val="11"/>
                <c:pt idx="0">
                  <c:v>1.03789489481978</c:v>
                </c:pt>
                <c:pt idx="1">
                  <c:v>1.031730469272249</c:v>
                </c:pt>
                <c:pt idx="2">
                  <c:v>1.072036288957595</c:v>
                </c:pt>
                <c:pt idx="3">
                  <c:v>1.065928127533099</c:v>
                </c:pt>
                <c:pt idx="4">
                  <c:v>1.226153178025251</c:v>
                </c:pt>
                <c:pt idx="5">
                  <c:v>1.311423416579622</c:v>
                </c:pt>
                <c:pt idx="6">
                  <c:v>1.415268135352321</c:v>
                </c:pt>
                <c:pt idx="7">
                  <c:v>1.436706781736196</c:v>
                </c:pt>
                <c:pt idx="8">
                  <c:v>1.46024623600089</c:v>
                </c:pt>
                <c:pt idx="9">
                  <c:v>1.487411421425594</c:v>
                </c:pt>
                <c:pt idx="10">
                  <c:v>1.496575499885084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事故原因!$L$1</c:f>
              <c:strCache>
                <c:ptCount val="1"/>
                <c:pt idx="0">
                  <c:v>无证驾驶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事故原因!$L$2:$L$12</c:f>
              <c:numCache>
                <c:formatCode>General</c:formatCode>
                <c:ptCount val="11"/>
                <c:pt idx="6">
                  <c:v>1.523959028295593</c:v>
                </c:pt>
                <c:pt idx="7">
                  <c:v>1.546657942419972</c:v>
                </c:pt>
                <c:pt idx="8">
                  <c:v>1.55651962866331</c:v>
                </c:pt>
                <c:pt idx="9">
                  <c:v>1.578337964800847</c:v>
                </c:pt>
                <c:pt idx="10">
                  <c:v>1.581229722244204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事故原因!$M$1</c:f>
              <c:strCache>
                <c:ptCount val="1"/>
                <c:pt idx="0">
                  <c:v>疏忽大意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事故原因!$M$2:$M$12</c:f>
              <c:numCache>
                <c:formatCode>General</c:formatCode>
                <c:ptCount val="11"/>
                <c:pt idx="0">
                  <c:v>0.826980438687563</c:v>
                </c:pt>
                <c:pt idx="1">
                  <c:v>0.844509506508166</c:v>
                </c:pt>
                <c:pt idx="2">
                  <c:v>0.869279653893142</c:v>
                </c:pt>
                <c:pt idx="3">
                  <c:v>0.910930333907485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事故原因!$N$1</c:f>
              <c:strCache>
                <c:ptCount val="1"/>
                <c:pt idx="0">
                  <c:v>措施不当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事故原因!$N$2:$N$12</c:f>
              <c:numCache>
                <c:formatCode>General</c:formatCode>
                <c:ptCount val="11"/>
                <c:pt idx="0">
                  <c:v>0.80814907523293</c:v>
                </c:pt>
                <c:pt idx="1">
                  <c:v>0.839938726925028</c:v>
                </c:pt>
                <c:pt idx="2">
                  <c:v>0.831007488087134</c:v>
                </c:pt>
                <c:pt idx="3">
                  <c:v>0.844145925060652</c:v>
                </c:pt>
                <c:pt idx="4">
                  <c:v>1.223997800573913</c:v>
                </c:pt>
                <c:pt idx="5">
                  <c:v>1.260061197726942</c:v>
                </c:pt>
                <c:pt idx="6">
                  <c:v>1.233734289228185</c:v>
                </c:pt>
                <c:pt idx="7">
                  <c:v>1.346172778734925</c:v>
                </c:pt>
                <c:pt idx="8">
                  <c:v>1.384924892703863</c:v>
                </c:pt>
                <c:pt idx="9">
                  <c:v>1.413934426229508</c:v>
                </c:pt>
                <c:pt idx="10">
                  <c:v>1.419354838709677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事故原因!$O$1</c:f>
              <c:strCache>
                <c:ptCount val="1"/>
                <c:pt idx="0">
                  <c:v>未按规定让行</c:v>
                </c:pt>
              </c:strCache>
            </c:strRef>
          </c:tx>
          <c:marker>
            <c:symbol val="none"/>
          </c:marker>
          <c:cat>
            <c:numRef>
              <c:f>事故原因!$I$2:$I$12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事故原因!$O$2:$O$12</c:f>
              <c:numCache>
                <c:formatCode>General</c:formatCode>
                <c:ptCount val="11"/>
                <c:pt idx="0">
                  <c:v>0.615061747102053</c:v>
                </c:pt>
                <c:pt idx="1">
                  <c:v>0.708444156902212</c:v>
                </c:pt>
                <c:pt idx="2">
                  <c:v>0.728510906087406</c:v>
                </c:pt>
                <c:pt idx="3">
                  <c:v>0.800918213951977</c:v>
                </c:pt>
                <c:pt idx="4">
                  <c:v>1.071827656602557</c:v>
                </c:pt>
                <c:pt idx="5">
                  <c:v>1.170811118798584</c:v>
                </c:pt>
                <c:pt idx="6">
                  <c:v>1.268585561105778</c:v>
                </c:pt>
                <c:pt idx="7">
                  <c:v>1.30676511932268</c:v>
                </c:pt>
                <c:pt idx="8">
                  <c:v>1.318979760429574</c:v>
                </c:pt>
                <c:pt idx="9">
                  <c:v>1.317744285475434</c:v>
                </c:pt>
                <c:pt idx="10">
                  <c:v>1.333632145117064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35608"/>
        <c:axId val="-2120532504"/>
      </c:lineChart>
      <c:catAx>
        <c:axId val="-212053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532504"/>
        <c:crosses val="autoZero"/>
        <c:auto val="1"/>
        <c:lblAlgn val="ctr"/>
        <c:lblOffset val="100"/>
        <c:noMultiLvlLbl val="0"/>
      </c:catAx>
      <c:valAx>
        <c:axId val="-212053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3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事故原因!$J$14</c:f>
              <c:strCache>
                <c:ptCount val="1"/>
                <c:pt idx="0">
                  <c:v>酒后驾驶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事故原因!$J$15:$J$25</c:f>
              <c:numCache>
                <c:formatCode>General</c:formatCode>
                <c:ptCount val="11"/>
                <c:pt idx="0">
                  <c:v>0.230127268933862</c:v>
                </c:pt>
                <c:pt idx="1">
                  <c:v>0.237217039126347</c:v>
                </c:pt>
                <c:pt idx="2">
                  <c:v>0.240932827813148</c:v>
                </c:pt>
                <c:pt idx="3">
                  <c:v>0.258265547100499</c:v>
                </c:pt>
                <c:pt idx="4">
                  <c:v>0.265989036089539</c:v>
                </c:pt>
                <c:pt idx="5">
                  <c:v>0.262820512820513</c:v>
                </c:pt>
                <c:pt idx="6">
                  <c:v>0.267106757524134</c:v>
                </c:pt>
                <c:pt idx="7">
                  <c:v>0.264434180138568</c:v>
                </c:pt>
                <c:pt idx="8">
                  <c:v>0.280733944954128</c:v>
                </c:pt>
                <c:pt idx="9">
                  <c:v>0.286836723711118</c:v>
                </c:pt>
                <c:pt idx="10">
                  <c:v>0.286382916483838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事故原因!$K$14</c:f>
              <c:strCache>
                <c:ptCount val="1"/>
                <c:pt idx="0">
                  <c:v>超速行驶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事故原因!$K$15:$K$25</c:f>
              <c:numCache>
                <c:formatCode>General</c:formatCode>
                <c:ptCount val="11"/>
                <c:pt idx="0">
                  <c:v>0.192823058755483</c:v>
                </c:pt>
                <c:pt idx="1">
                  <c:v>0.199602608958576</c:v>
                </c:pt>
                <c:pt idx="2">
                  <c:v>0.203608193166747</c:v>
                </c:pt>
                <c:pt idx="3">
                  <c:v>0.204596535699197</c:v>
                </c:pt>
                <c:pt idx="4">
                  <c:v>0.232875845930049</c:v>
                </c:pt>
                <c:pt idx="5">
                  <c:v>0.231923305287243</c:v>
                </c:pt>
                <c:pt idx="6">
                  <c:v>0.228432376059793</c:v>
                </c:pt>
                <c:pt idx="7">
                  <c:v>0.238573299245495</c:v>
                </c:pt>
                <c:pt idx="8">
                  <c:v>0.268786347360134</c:v>
                </c:pt>
                <c:pt idx="9">
                  <c:v>0.266345318499005</c:v>
                </c:pt>
                <c:pt idx="10">
                  <c:v>0.280545488052092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事故原因!$L$14</c:f>
              <c:strCache>
                <c:ptCount val="1"/>
                <c:pt idx="0">
                  <c:v>无证驾驶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事故原因!$L$15:$L$25</c:f>
              <c:numCache>
                <c:formatCode>General</c:formatCode>
                <c:ptCount val="11"/>
                <c:pt idx="6">
                  <c:v>0.196487433044911</c:v>
                </c:pt>
                <c:pt idx="7">
                  <c:v>0.197598359855511</c:v>
                </c:pt>
                <c:pt idx="8">
                  <c:v>0.215686274509804</c:v>
                </c:pt>
                <c:pt idx="9">
                  <c:v>0.216558373506602</c:v>
                </c:pt>
                <c:pt idx="10">
                  <c:v>0.222350115103593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事故原因!$M$14</c:f>
              <c:strCache>
                <c:ptCount val="1"/>
                <c:pt idx="0">
                  <c:v>疏忽大意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事故原因!$M$15:$M$25</c:f>
              <c:numCache>
                <c:formatCode>General</c:formatCode>
                <c:ptCount val="11"/>
                <c:pt idx="0">
                  <c:v>0.177653341835718</c:v>
                </c:pt>
                <c:pt idx="1">
                  <c:v>0.172242874845105</c:v>
                </c:pt>
                <c:pt idx="2">
                  <c:v>0.170904355450115</c:v>
                </c:pt>
                <c:pt idx="3">
                  <c:v>0.177309488552227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事故原因!$N$14</c:f>
              <c:strCache>
                <c:ptCount val="1"/>
                <c:pt idx="0">
                  <c:v>措施不当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事故原因!$N$15:$N$25</c:f>
              <c:numCache>
                <c:formatCode>General</c:formatCode>
                <c:ptCount val="11"/>
                <c:pt idx="0">
                  <c:v>0.157449151667412</c:v>
                </c:pt>
                <c:pt idx="1">
                  <c:v>0.151904468735117</c:v>
                </c:pt>
                <c:pt idx="2">
                  <c:v>0.15606238615174</c:v>
                </c:pt>
                <c:pt idx="3">
                  <c:v>0.168165770752391</c:v>
                </c:pt>
                <c:pt idx="4">
                  <c:v>0.183005067875844</c:v>
                </c:pt>
                <c:pt idx="5">
                  <c:v>0.188591318023081</c:v>
                </c:pt>
                <c:pt idx="6">
                  <c:v>0.189452697609959</c:v>
                </c:pt>
                <c:pt idx="7">
                  <c:v>0.17784989487156</c:v>
                </c:pt>
                <c:pt idx="8">
                  <c:v>0.198786235392859</c:v>
                </c:pt>
                <c:pt idx="9">
                  <c:v>0.203055229142186</c:v>
                </c:pt>
                <c:pt idx="10">
                  <c:v>0.209519725557461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事故原因!$O$14</c:f>
              <c:strCache>
                <c:ptCount val="1"/>
                <c:pt idx="0">
                  <c:v>未按规定让行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事故原因!$O$15:$O$25</c:f>
              <c:numCache>
                <c:formatCode>General</c:formatCode>
                <c:ptCount val="11"/>
                <c:pt idx="0">
                  <c:v>0.0908083072602301</c:v>
                </c:pt>
                <c:pt idx="1">
                  <c:v>0.0854881534220629</c:v>
                </c:pt>
                <c:pt idx="2">
                  <c:v>0.0882489047942247</c:v>
                </c:pt>
                <c:pt idx="3">
                  <c:v>0.095655996888686</c:v>
                </c:pt>
                <c:pt idx="4">
                  <c:v>0.107463285048369</c:v>
                </c:pt>
                <c:pt idx="5">
                  <c:v>0.114212550982573</c:v>
                </c:pt>
                <c:pt idx="6">
                  <c:v>0.115152758894903</c:v>
                </c:pt>
                <c:pt idx="7">
                  <c:v>0.126438913411724</c:v>
                </c:pt>
                <c:pt idx="8">
                  <c:v>0.14251937681046</c:v>
                </c:pt>
                <c:pt idx="9">
                  <c:v>0.148486496284212</c:v>
                </c:pt>
                <c:pt idx="10">
                  <c:v>0.153967814637618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23736"/>
        <c:axId val="-2134025064"/>
      </c:lineChart>
      <c:catAx>
        <c:axId val="-212122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025064"/>
        <c:crosses val="autoZero"/>
        <c:auto val="1"/>
        <c:lblAlgn val="ctr"/>
        <c:lblOffset val="100"/>
        <c:noMultiLvlLbl val="0"/>
      </c:catAx>
      <c:valAx>
        <c:axId val="-213402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事故原因!$B$41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事故原因!$A$42:$A$46</c:f>
              <c:strCache>
                <c:ptCount val="5"/>
                <c:pt idx="0">
                  <c:v>超速行驶</c:v>
                </c:pt>
                <c:pt idx="1">
                  <c:v>未按规定让行</c:v>
                </c:pt>
                <c:pt idx="2">
                  <c:v>无证驾驶</c:v>
                </c:pt>
                <c:pt idx="3">
                  <c:v>措施不当</c:v>
                </c:pt>
                <c:pt idx="4">
                  <c:v>酒后驾驶</c:v>
                </c:pt>
              </c:strCache>
            </c:strRef>
          </c:cat>
          <c:val>
            <c:numRef>
              <c:f>事故原因!$B$42:$B$46</c:f>
              <c:numCache>
                <c:formatCode>General</c:formatCode>
                <c:ptCount val="5"/>
                <c:pt idx="0">
                  <c:v>9134.0</c:v>
                </c:pt>
                <c:pt idx="1">
                  <c:v>7788.0</c:v>
                </c:pt>
                <c:pt idx="2">
                  <c:v>4443.0</c:v>
                </c:pt>
                <c:pt idx="3">
                  <c:v>2443.0</c:v>
                </c:pt>
                <c:pt idx="4">
                  <c:v>1958.0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727336"/>
        <c:axId val="-2049724328"/>
      </c:barChart>
      <c:catAx>
        <c:axId val="-204972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724328"/>
        <c:crosses val="autoZero"/>
        <c:auto val="1"/>
        <c:lblAlgn val="ctr"/>
        <c:lblOffset val="100"/>
        <c:noMultiLvlLbl val="0"/>
      </c:catAx>
      <c:valAx>
        <c:axId val="-20497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72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UK</a:t>
            </a:r>
            <a:r>
              <a:rPr lang="en-US" altLang="zh-CN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'All-交通方式'!$J$14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</c:numCache>
            </c:numRef>
          </c:cat>
          <c:val>
            <c:numRef>
              <c:f>'All-交通方式'!$J$15:$J$35</c:f>
              <c:numCache>
                <c:formatCode>General</c:formatCode>
                <c:ptCount val="21"/>
                <c:pt idx="0">
                  <c:v>1694.0</c:v>
                </c:pt>
                <c:pt idx="1">
                  <c:v>1496.0</c:v>
                </c:pt>
                <c:pt idx="2">
                  <c:v>1347.0</c:v>
                </c:pt>
                <c:pt idx="3">
                  <c:v>1241.0</c:v>
                </c:pt>
                <c:pt idx="4">
                  <c:v>1124.0</c:v>
                </c:pt>
                <c:pt idx="5">
                  <c:v>1038.0</c:v>
                </c:pt>
                <c:pt idx="6">
                  <c:v>997.0</c:v>
                </c:pt>
                <c:pt idx="7">
                  <c:v>973.0</c:v>
                </c:pt>
                <c:pt idx="8">
                  <c:v>906.0</c:v>
                </c:pt>
                <c:pt idx="9">
                  <c:v>870.0</c:v>
                </c:pt>
                <c:pt idx="10">
                  <c:v>857.0</c:v>
                </c:pt>
                <c:pt idx="11">
                  <c:v>826.0</c:v>
                </c:pt>
                <c:pt idx="12">
                  <c:v>775.0</c:v>
                </c:pt>
                <c:pt idx="13">
                  <c:v>774.0</c:v>
                </c:pt>
                <c:pt idx="14">
                  <c:v>671.0</c:v>
                </c:pt>
                <c:pt idx="15">
                  <c:v>671.0</c:v>
                </c:pt>
                <c:pt idx="16">
                  <c:v>675.0</c:v>
                </c:pt>
                <c:pt idx="17">
                  <c:v>646.0</c:v>
                </c:pt>
                <c:pt idx="18">
                  <c:v>572.0</c:v>
                </c:pt>
                <c:pt idx="19">
                  <c:v>500.0</c:v>
                </c:pt>
                <c:pt idx="20">
                  <c:v>405.0</c:v>
                </c:pt>
              </c:numCache>
            </c:numRef>
          </c:val>
        </c:ser>
        <c:ser>
          <c:idx val="1"/>
          <c:order val="1"/>
          <c:tx>
            <c:strRef>
              <c:f>'All-交通方式'!$I$14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</c:numCache>
            </c:numRef>
          </c:cat>
          <c:val>
            <c:numRef>
              <c:f>'All-交通方式'!$I$15:$I$35</c:f>
              <c:numCache>
                <c:formatCode>General</c:formatCode>
                <c:ptCount val="21"/>
                <c:pt idx="0">
                  <c:v>915.0</c:v>
                </c:pt>
                <c:pt idx="1">
                  <c:v>790.0</c:v>
                </c:pt>
                <c:pt idx="2">
                  <c:v>673.0</c:v>
                </c:pt>
                <c:pt idx="3">
                  <c:v>613.0</c:v>
                </c:pt>
                <c:pt idx="4">
                  <c:v>616.0</c:v>
                </c:pt>
                <c:pt idx="5">
                  <c:v>658.0</c:v>
                </c:pt>
                <c:pt idx="6">
                  <c:v>643.0</c:v>
                </c:pt>
                <c:pt idx="7">
                  <c:v>692.0</c:v>
                </c:pt>
                <c:pt idx="8">
                  <c:v>656.0</c:v>
                </c:pt>
                <c:pt idx="9">
                  <c:v>719.0</c:v>
                </c:pt>
                <c:pt idx="10">
                  <c:v>732.0</c:v>
                </c:pt>
                <c:pt idx="11">
                  <c:v>721.0</c:v>
                </c:pt>
                <c:pt idx="12">
                  <c:v>739.0</c:v>
                </c:pt>
                <c:pt idx="13">
                  <c:v>807.0</c:v>
                </c:pt>
                <c:pt idx="14">
                  <c:v>719.0</c:v>
                </c:pt>
                <c:pt idx="15">
                  <c:v>717.0</c:v>
                </c:pt>
                <c:pt idx="16">
                  <c:v>745.0</c:v>
                </c:pt>
                <c:pt idx="17">
                  <c:v>724.0</c:v>
                </c:pt>
                <c:pt idx="18">
                  <c:v>608.0</c:v>
                </c:pt>
                <c:pt idx="19">
                  <c:v>576.0</c:v>
                </c:pt>
                <c:pt idx="20">
                  <c:v>514.0</c:v>
                </c:pt>
              </c:numCache>
            </c:numRef>
          </c:val>
        </c:ser>
        <c:ser>
          <c:idx val="2"/>
          <c:order val="2"/>
          <c:tx>
            <c:strRef>
              <c:f>'All-交通方式'!$H$14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</c:numCache>
            </c:numRef>
          </c:cat>
          <c:val>
            <c:numRef>
              <c:f>'All-交通方式'!$H$15:$H$35</c:f>
              <c:numCache>
                <c:formatCode>General</c:formatCode>
                <c:ptCount val="21"/>
                <c:pt idx="0">
                  <c:v>2608.0</c:v>
                </c:pt>
                <c:pt idx="1">
                  <c:v>2282.0</c:v>
                </c:pt>
                <c:pt idx="2">
                  <c:v>2209.0</c:v>
                </c:pt>
                <c:pt idx="3">
                  <c:v>1960.0</c:v>
                </c:pt>
                <c:pt idx="4">
                  <c:v>1910.0</c:v>
                </c:pt>
                <c:pt idx="5">
                  <c:v>1925.0</c:v>
                </c:pt>
                <c:pt idx="6">
                  <c:v>1958.0</c:v>
                </c:pt>
                <c:pt idx="7">
                  <c:v>1934.0</c:v>
                </c:pt>
                <c:pt idx="8">
                  <c:v>1859.0</c:v>
                </c:pt>
                <c:pt idx="9">
                  <c:v>1834.0</c:v>
                </c:pt>
                <c:pt idx="10">
                  <c:v>1820.0</c:v>
                </c:pt>
                <c:pt idx="11">
                  <c:v>1903.0</c:v>
                </c:pt>
                <c:pt idx="12">
                  <c:v>1917.0</c:v>
                </c:pt>
                <c:pt idx="13">
                  <c:v>1927.0</c:v>
                </c:pt>
                <c:pt idx="14">
                  <c:v>1831.0</c:v>
                </c:pt>
                <c:pt idx="15">
                  <c:v>1813.0</c:v>
                </c:pt>
                <c:pt idx="16">
                  <c:v>1752.0</c:v>
                </c:pt>
                <c:pt idx="17">
                  <c:v>1576.0</c:v>
                </c:pt>
                <c:pt idx="18">
                  <c:v>1358.0</c:v>
                </c:pt>
                <c:pt idx="19">
                  <c:v>1146.0</c:v>
                </c:pt>
                <c:pt idx="20">
                  <c:v>931.0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63848"/>
        <c:axId val="-2050060872"/>
      </c:areaChart>
      <c:catAx>
        <c:axId val="-205006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060872"/>
        <c:crosses val="autoZero"/>
        <c:auto val="1"/>
        <c:lblAlgn val="ctr"/>
        <c:lblOffset val="100"/>
        <c:noMultiLvlLbl val="0"/>
      </c:catAx>
      <c:valAx>
        <c:axId val="-2050060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0638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 w="38100" cmpd="sng">
      <a:solidFill>
        <a:schemeClr val="accent6"/>
      </a:solidFill>
    </a:ln>
  </c:spPr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事故原因!$B$60</c:f>
              <c:strCache>
                <c:ptCount val="1"/>
                <c:pt idx="0">
                  <c:v>超速行驶</c:v>
                </c:pt>
              </c:strCache>
            </c:strRef>
          </c:tx>
          <c:cat>
            <c:numRef>
              <c:f>事故原因!$A$61:$A$71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事故原因!$B$61:$B$71</c:f>
              <c:numCache>
                <c:formatCode>General</c:formatCode>
                <c:ptCount val="11"/>
                <c:pt idx="0">
                  <c:v>8001.0</c:v>
                </c:pt>
                <c:pt idx="1">
                  <c:v>9242.0</c:v>
                </c:pt>
                <c:pt idx="2">
                  <c:v>9672.0</c:v>
                </c:pt>
                <c:pt idx="3">
                  <c:v>12107.0</c:v>
                </c:pt>
                <c:pt idx="4">
                  <c:v>18410.0</c:v>
                </c:pt>
                <c:pt idx="5">
                  <c:v>16015.0</c:v>
                </c:pt>
                <c:pt idx="6">
                  <c:v>11828.0</c:v>
                </c:pt>
                <c:pt idx="7">
                  <c:v>11478.0</c:v>
                </c:pt>
                <c:pt idx="8">
                  <c:v>10584.0</c:v>
                </c:pt>
                <c:pt idx="9">
                  <c:v>9504.0</c:v>
                </c:pt>
                <c:pt idx="10">
                  <c:v>9134.0</c:v>
                </c:pt>
              </c:numCache>
            </c:numRef>
          </c:val>
        </c:ser>
        <c:ser>
          <c:idx val="1"/>
          <c:order val="1"/>
          <c:tx>
            <c:strRef>
              <c:f>事故原因!$C$60</c:f>
              <c:strCache>
                <c:ptCount val="1"/>
                <c:pt idx="0">
                  <c:v>未按规定让行</c:v>
                </c:pt>
              </c:strCache>
            </c:strRef>
          </c:tx>
          <c:cat>
            <c:numRef>
              <c:f>事故原因!$A$61:$A$71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事故原因!$C$61:$C$71</c:f>
              <c:numCache>
                <c:formatCode>General</c:formatCode>
                <c:ptCount val="11"/>
                <c:pt idx="0">
                  <c:v>3686.0</c:v>
                </c:pt>
                <c:pt idx="1">
                  <c:v>5055.0</c:v>
                </c:pt>
                <c:pt idx="2">
                  <c:v>5721.0</c:v>
                </c:pt>
                <c:pt idx="3">
                  <c:v>5657.0</c:v>
                </c:pt>
                <c:pt idx="4">
                  <c:v>8576.0</c:v>
                </c:pt>
                <c:pt idx="5">
                  <c:v>9857.0</c:v>
                </c:pt>
                <c:pt idx="6">
                  <c:v>8978.0</c:v>
                </c:pt>
                <c:pt idx="7">
                  <c:v>10226.0</c:v>
                </c:pt>
                <c:pt idx="8">
                  <c:v>9102.0</c:v>
                </c:pt>
                <c:pt idx="9">
                  <c:v>8192.0</c:v>
                </c:pt>
                <c:pt idx="10">
                  <c:v>7788.0</c:v>
                </c:pt>
              </c:numCache>
            </c:numRef>
          </c:val>
        </c:ser>
        <c:ser>
          <c:idx val="2"/>
          <c:order val="2"/>
          <c:tx>
            <c:strRef>
              <c:f>事故原因!$D$60</c:f>
              <c:strCache>
                <c:ptCount val="1"/>
                <c:pt idx="0">
                  <c:v>疏忽大意</c:v>
                </c:pt>
              </c:strCache>
            </c:strRef>
          </c:tx>
          <c:cat>
            <c:numRef>
              <c:f>事故原因!$A$61:$A$71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事故原因!$D$61:$D$71</c:f>
              <c:numCache>
                <c:formatCode>General</c:formatCode>
                <c:ptCount val="11"/>
                <c:pt idx="0">
                  <c:v>8915.0</c:v>
                </c:pt>
                <c:pt idx="1">
                  <c:v>12371.0</c:v>
                </c:pt>
                <c:pt idx="2">
                  <c:v>13255.0</c:v>
                </c:pt>
                <c:pt idx="3">
                  <c:v>7783.0</c:v>
                </c:pt>
              </c:numCache>
            </c:numRef>
          </c:val>
        </c:ser>
        <c:ser>
          <c:idx val="3"/>
          <c:order val="3"/>
          <c:tx>
            <c:strRef>
              <c:f>事故原因!$E$60</c:f>
              <c:strCache>
                <c:ptCount val="1"/>
                <c:pt idx="0">
                  <c:v>无证驾驶</c:v>
                </c:pt>
              </c:strCache>
            </c:strRef>
          </c:tx>
          <c:cat>
            <c:numRef>
              <c:f>事故原因!$A$61:$A$71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事故原因!$E$61:$E$71</c:f>
              <c:numCache>
                <c:formatCode>General</c:formatCode>
                <c:ptCount val="11"/>
                <c:pt idx="6">
                  <c:v>7630.0</c:v>
                </c:pt>
                <c:pt idx="7">
                  <c:v>6072.0</c:v>
                </c:pt>
                <c:pt idx="8">
                  <c:v>5533.0</c:v>
                </c:pt>
                <c:pt idx="9">
                  <c:v>5166.0</c:v>
                </c:pt>
                <c:pt idx="10">
                  <c:v>4443.0</c:v>
                </c:pt>
              </c:numCache>
            </c:numRef>
          </c:val>
        </c:ser>
        <c:ser>
          <c:idx val="4"/>
          <c:order val="4"/>
          <c:tx>
            <c:strRef>
              <c:f>事故原因!$F$60</c:f>
              <c:strCache>
                <c:ptCount val="1"/>
                <c:pt idx="0">
                  <c:v>措施不当</c:v>
                </c:pt>
              </c:strCache>
            </c:strRef>
          </c:tx>
          <c:cat>
            <c:numRef>
              <c:f>事故原因!$A$61:$A$71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事故原因!$F$61:$F$71</c:f>
              <c:numCache>
                <c:formatCode>General</c:formatCode>
                <c:ptCount val="11"/>
                <c:pt idx="0">
                  <c:v>9150.0</c:v>
                </c:pt>
                <c:pt idx="1">
                  <c:v>13077.0</c:v>
                </c:pt>
                <c:pt idx="2">
                  <c:v>14479.0</c:v>
                </c:pt>
                <c:pt idx="3">
                  <c:v>9479.0</c:v>
                </c:pt>
                <c:pt idx="4">
                  <c:v>13036.0</c:v>
                </c:pt>
                <c:pt idx="5">
                  <c:v>16309.0</c:v>
                </c:pt>
                <c:pt idx="6">
                  <c:v>7792.0</c:v>
                </c:pt>
                <c:pt idx="7">
                  <c:v>3891.0</c:v>
                </c:pt>
                <c:pt idx="8">
                  <c:v>3079.0</c:v>
                </c:pt>
                <c:pt idx="9">
                  <c:v>2592.0</c:v>
                </c:pt>
                <c:pt idx="10">
                  <c:v>2443.0</c:v>
                </c:pt>
              </c:numCache>
            </c:numRef>
          </c:val>
        </c:ser>
        <c:ser>
          <c:idx val="5"/>
          <c:order val="5"/>
          <c:tx>
            <c:strRef>
              <c:f>事故原因!$G$60</c:f>
              <c:strCache>
                <c:ptCount val="1"/>
                <c:pt idx="0">
                  <c:v>酒后驾驶</c:v>
                </c:pt>
              </c:strCache>
            </c:strRef>
          </c:tx>
          <c:cat>
            <c:numRef>
              <c:f>事故原因!$A$61:$A$71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事故原因!$G$61:$G$71</c:f>
              <c:numCache>
                <c:formatCode>General</c:formatCode>
                <c:ptCount val="11"/>
                <c:pt idx="0">
                  <c:v>2206.0</c:v>
                </c:pt>
                <c:pt idx="1">
                  <c:v>3280.0</c:v>
                </c:pt>
                <c:pt idx="2">
                  <c:v>3368.0</c:v>
                </c:pt>
                <c:pt idx="3">
                  <c:v>3937.0</c:v>
                </c:pt>
                <c:pt idx="4">
                  <c:v>4658.0</c:v>
                </c:pt>
                <c:pt idx="5">
                  <c:v>4715.0</c:v>
                </c:pt>
                <c:pt idx="6">
                  <c:v>3763.0</c:v>
                </c:pt>
                <c:pt idx="7">
                  <c:v>3435.0</c:v>
                </c:pt>
                <c:pt idx="8">
                  <c:v>3060.0</c:v>
                </c:pt>
                <c:pt idx="9">
                  <c:v>2665.0</c:v>
                </c:pt>
                <c:pt idx="10">
                  <c:v>1958.0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279576"/>
        <c:axId val="-2120276440"/>
      </c:areaChart>
      <c:catAx>
        <c:axId val="-212027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276440"/>
        <c:crosses val="autoZero"/>
        <c:auto val="1"/>
        <c:lblAlgn val="ctr"/>
        <c:lblOffset val="100"/>
        <c:noMultiLvlLbl val="0"/>
      </c:catAx>
      <c:valAx>
        <c:axId val="-2120276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02795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>
        <c:manualLayout>
          <c:xMode val="edge"/>
          <c:yMode val="edge"/>
          <c:x val="0.192051500319217"/>
          <c:y val="0.0416666666666667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事故原因!$K$1</c:f>
              <c:strCache>
                <c:ptCount val="1"/>
                <c:pt idx="0">
                  <c:v>超速行驶</c:v>
                </c:pt>
              </c:strCache>
            </c:strRef>
          </c:tx>
          <c:marker>
            <c:symbol val="none"/>
          </c:marker>
          <c:cat>
            <c:numRef>
              <c:f>事故原因!$A$15:$A$25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事故原因!$K$2:$K$12</c:f>
              <c:numCache>
                <c:formatCode>General</c:formatCode>
                <c:ptCount val="11"/>
                <c:pt idx="0">
                  <c:v>1.03789489481978</c:v>
                </c:pt>
                <c:pt idx="1">
                  <c:v>1.031730469272249</c:v>
                </c:pt>
                <c:pt idx="2">
                  <c:v>1.072036288957595</c:v>
                </c:pt>
                <c:pt idx="3">
                  <c:v>1.065928127533099</c:v>
                </c:pt>
                <c:pt idx="4">
                  <c:v>1.226153178025251</c:v>
                </c:pt>
                <c:pt idx="5">
                  <c:v>1.311423416579622</c:v>
                </c:pt>
                <c:pt idx="6">
                  <c:v>1.415268135352321</c:v>
                </c:pt>
                <c:pt idx="7">
                  <c:v>1.436706781736196</c:v>
                </c:pt>
                <c:pt idx="8">
                  <c:v>1.46024623600089</c:v>
                </c:pt>
                <c:pt idx="9">
                  <c:v>1.487411421425594</c:v>
                </c:pt>
                <c:pt idx="10">
                  <c:v>1.496575499885084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事故原因!$N$1</c:f>
              <c:strCache>
                <c:ptCount val="1"/>
                <c:pt idx="0">
                  <c:v>措施不当</c:v>
                </c:pt>
              </c:strCache>
            </c:strRef>
          </c:tx>
          <c:marker>
            <c:symbol val="none"/>
          </c:marker>
          <c:cat>
            <c:numRef>
              <c:f>事故原因!$A$15:$A$25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事故原因!$N$2:$N$12</c:f>
              <c:numCache>
                <c:formatCode>General</c:formatCode>
                <c:ptCount val="11"/>
                <c:pt idx="0">
                  <c:v>0.80814907523293</c:v>
                </c:pt>
                <c:pt idx="1">
                  <c:v>0.839938726925028</c:v>
                </c:pt>
                <c:pt idx="2">
                  <c:v>0.831007488087134</c:v>
                </c:pt>
                <c:pt idx="3">
                  <c:v>0.844145925060652</c:v>
                </c:pt>
                <c:pt idx="4">
                  <c:v>1.223997800573913</c:v>
                </c:pt>
                <c:pt idx="5">
                  <c:v>1.260061197726942</c:v>
                </c:pt>
                <c:pt idx="6">
                  <c:v>1.233734289228185</c:v>
                </c:pt>
                <c:pt idx="7">
                  <c:v>1.346172778734925</c:v>
                </c:pt>
                <c:pt idx="8">
                  <c:v>1.384924892703863</c:v>
                </c:pt>
                <c:pt idx="9">
                  <c:v>1.413934426229508</c:v>
                </c:pt>
                <c:pt idx="10">
                  <c:v>1.419354838709677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事故原因!$O$1</c:f>
              <c:strCache>
                <c:ptCount val="1"/>
                <c:pt idx="0">
                  <c:v>未按规定让行</c:v>
                </c:pt>
              </c:strCache>
            </c:strRef>
          </c:tx>
          <c:marker>
            <c:symbol val="none"/>
          </c:marker>
          <c:cat>
            <c:numRef>
              <c:f>事故原因!$A$15:$A$25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事故原因!$O$2:$O$12</c:f>
              <c:numCache>
                <c:formatCode>General</c:formatCode>
                <c:ptCount val="11"/>
                <c:pt idx="0">
                  <c:v>0.615061747102053</c:v>
                </c:pt>
                <c:pt idx="1">
                  <c:v>0.708444156902212</c:v>
                </c:pt>
                <c:pt idx="2">
                  <c:v>0.728510906087406</c:v>
                </c:pt>
                <c:pt idx="3">
                  <c:v>0.800918213951977</c:v>
                </c:pt>
                <c:pt idx="4">
                  <c:v>1.071827656602557</c:v>
                </c:pt>
                <c:pt idx="5">
                  <c:v>1.170811118798584</c:v>
                </c:pt>
                <c:pt idx="6">
                  <c:v>1.268585561105778</c:v>
                </c:pt>
                <c:pt idx="7">
                  <c:v>1.30676511932268</c:v>
                </c:pt>
                <c:pt idx="8">
                  <c:v>1.318979760429574</c:v>
                </c:pt>
                <c:pt idx="9">
                  <c:v>1.317744285475434</c:v>
                </c:pt>
                <c:pt idx="10">
                  <c:v>1.333632145117064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事故原因!$P$1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numRef>
              <c:f>事故原因!$A$15:$A$25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事故原因!$P$2:$P$12</c:f>
              <c:numCache>
                <c:formatCode>General</c:formatCode>
                <c:ptCount val="11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88488"/>
        <c:axId val="-2121185560"/>
      </c:lineChart>
      <c:lineChart>
        <c:grouping val="standard"/>
        <c:varyColors val="0"/>
        <c:ser>
          <c:idx val="2"/>
          <c:order val="4"/>
          <c:tx>
            <c:strRef>
              <c:f>事故原因!$H$14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事故原因!$A$15:$A$25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事故原因!$H$15:$H$25</c:f>
              <c:numCache>
                <c:formatCode>General</c:formatCode>
                <c:ptCount val="11"/>
                <c:pt idx="0">
                  <c:v>245936.0</c:v>
                </c:pt>
                <c:pt idx="1">
                  <c:v>326408.0</c:v>
                </c:pt>
                <c:pt idx="2">
                  <c:v>344477.0</c:v>
                </c:pt>
                <c:pt idx="3">
                  <c:v>255315.0</c:v>
                </c:pt>
                <c:pt idx="4">
                  <c:v>209086.0</c:v>
                </c:pt>
                <c:pt idx="5">
                  <c:v>207248.0</c:v>
                </c:pt>
                <c:pt idx="6">
                  <c:v>166305.0</c:v>
                </c:pt>
                <c:pt idx="7">
                  <c:v>140250.0</c:v>
                </c:pt>
                <c:pt idx="8">
                  <c:v>110569.0</c:v>
                </c:pt>
                <c:pt idx="9">
                  <c:v>95968.0</c:v>
                </c:pt>
                <c:pt idx="10">
                  <c:v>84913.0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79528"/>
        <c:axId val="-2121182520"/>
      </c:lineChart>
      <c:catAx>
        <c:axId val="-212118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85560"/>
        <c:crosses val="autoZero"/>
        <c:auto val="1"/>
        <c:lblAlgn val="ctr"/>
        <c:lblOffset val="100"/>
        <c:noMultiLvlLbl val="0"/>
      </c:catAx>
      <c:valAx>
        <c:axId val="-2121185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1188488"/>
        <c:crosses val="autoZero"/>
        <c:crossBetween val="between"/>
      </c:valAx>
      <c:valAx>
        <c:axId val="-2121182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1179528"/>
        <c:crosses val="max"/>
        <c:crossBetween val="between"/>
      </c:valAx>
      <c:catAx>
        <c:axId val="-212117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1825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>
        <c:manualLayout>
          <c:xMode val="edge"/>
          <c:yMode val="edge"/>
          <c:x val="0.290221110874654"/>
          <c:y val="0.0460829493087558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事故原因!$K$14</c:f>
              <c:strCache>
                <c:ptCount val="1"/>
                <c:pt idx="0">
                  <c:v>超速行驶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事故原因!$K$15:$K$25</c:f>
              <c:numCache>
                <c:formatCode>General</c:formatCode>
                <c:ptCount val="11"/>
                <c:pt idx="0">
                  <c:v>0.192823058755483</c:v>
                </c:pt>
                <c:pt idx="1">
                  <c:v>0.199602608958576</c:v>
                </c:pt>
                <c:pt idx="2">
                  <c:v>0.203608193166747</c:v>
                </c:pt>
                <c:pt idx="3">
                  <c:v>0.204596535699197</c:v>
                </c:pt>
                <c:pt idx="4">
                  <c:v>0.232875845930049</c:v>
                </c:pt>
                <c:pt idx="5">
                  <c:v>0.231923305287243</c:v>
                </c:pt>
                <c:pt idx="6">
                  <c:v>0.228432376059793</c:v>
                </c:pt>
                <c:pt idx="7">
                  <c:v>0.238573299245495</c:v>
                </c:pt>
                <c:pt idx="8">
                  <c:v>0.268786347360134</c:v>
                </c:pt>
                <c:pt idx="9">
                  <c:v>0.266345318499005</c:v>
                </c:pt>
                <c:pt idx="10">
                  <c:v>0.280545488052092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事故原因!$N$14</c:f>
              <c:strCache>
                <c:ptCount val="1"/>
                <c:pt idx="0">
                  <c:v>措施不当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事故原因!$N$15:$N$25</c:f>
              <c:numCache>
                <c:formatCode>General</c:formatCode>
                <c:ptCount val="11"/>
                <c:pt idx="0">
                  <c:v>0.157449151667412</c:v>
                </c:pt>
                <c:pt idx="1">
                  <c:v>0.151904468735117</c:v>
                </c:pt>
                <c:pt idx="2">
                  <c:v>0.15606238615174</c:v>
                </c:pt>
                <c:pt idx="3">
                  <c:v>0.168165770752391</c:v>
                </c:pt>
                <c:pt idx="4">
                  <c:v>0.183005067875844</c:v>
                </c:pt>
                <c:pt idx="5">
                  <c:v>0.188591318023081</c:v>
                </c:pt>
                <c:pt idx="6">
                  <c:v>0.189452697609959</c:v>
                </c:pt>
                <c:pt idx="7">
                  <c:v>0.17784989487156</c:v>
                </c:pt>
                <c:pt idx="8">
                  <c:v>0.198786235392859</c:v>
                </c:pt>
                <c:pt idx="9">
                  <c:v>0.203055229142186</c:v>
                </c:pt>
                <c:pt idx="10">
                  <c:v>0.209519725557461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事故原因!$O$14</c:f>
              <c:strCache>
                <c:ptCount val="1"/>
                <c:pt idx="0">
                  <c:v>未按规定让行</c:v>
                </c:pt>
              </c:strCache>
            </c:strRef>
          </c:tx>
          <c:marker>
            <c:symbol val="none"/>
          </c:marker>
          <c:cat>
            <c:numRef>
              <c:f>事故原因!$I$15:$I$25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事故原因!$O$15:$O$25</c:f>
              <c:numCache>
                <c:formatCode>General</c:formatCode>
                <c:ptCount val="11"/>
                <c:pt idx="0">
                  <c:v>0.0908083072602301</c:v>
                </c:pt>
                <c:pt idx="1">
                  <c:v>0.0854881534220629</c:v>
                </c:pt>
                <c:pt idx="2">
                  <c:v>0.0882489047942247</c:v>
                </c:pt>
                <c:pt idx="3">
                  <c:v>0.095655996888686</c:v>
                </c:pt>
                <c:pt idx="4">
                  <c:v>0.107463285048369</c:v>
                </c:pt>
                <c:pt idx="5">
                  <c:v>0.114212550982573</c:v>
                </c:pt>
                <c:pt idx="6">
                  <c:v>0.115152758894903</c:v>
                </c:pt>
                <c:pt idx="7">
                  <c:v>0.126438913411724</c:v>
                </c:pt>
                <c:pt idx="8">
                  <c:v>0.14251937681046</c:v>
                </c:pt>
                <c:pt idx="9">
                  <c:v>0.148486496284212</c:v>
                </c:pt>
                <c:pt idx="10">
                  <c:v>0.153967814637618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15000"/>
        <c:axId val="-2050194520"/>
      </c:lineChart>
      <c:catAx>
        <c:axId val="-212031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194520"/>
        <c:crosses val="autoZero"/>
        <c:auto val="1"/>
        <c:lblAlgn val="ctr"/>
        <c:lblOffset val="100"/>
        <c:noMultiLvlLbl val="0"/>
      </c:catAx>
      <c:valAx>
        <c:axId val="-2050194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031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交通控制!$A$24</c:f>
              <c:strCache>
                <c:ptCount val="1"/>
                <c:pt idx="0">
                  <c:v>民警指挥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交通控制!$B$24:$K$24</c:f>
              <c:numCache>
                <c:formatCode>General</c:formatCode>
                <c:ptCount val="10"/>
                <c:pt idx="0">
                  <c:v>0.640976081179029</c:v>
                </c:pt>
                <c:pt idx="1">
                  <c:v>0.0933641465830307</c:v>
                </c:pt>
                <c:pt idx="2">
                  <c:v>0.0620978651796614</c:v>
                </c:pt>
                <c:pt idx="3">
                  <c:v>0.0609553928944885</c:v>
                </c:pt>
                <c:pt idx="4">
                  <c:v>0.703310696095076</c:v>
                </c:pt>
                <c:pt idx="5">
                  <c:v>1.12296195652174</c:v>
                </c:pt>
                <c:pt idx="6">
                  <c:v>1.385786802030457</c:v>
                </c:pt>
                <c:pt idx="7">
                  <c:v>1.33201581027668</c:v>
                </c:pt>
                <c:pt idx="8">
                  <c:v>1.352380952380952</c:v>
                </c:pt>
                <c:pt idx="9">
                  <c:v>1.313492063492063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交通控制!$A$25</c:f>
              <c:strCache>
                <c:ptCount val="1"/>
                <c:pt idx="0">
                  <c:v>信号灯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交通控制!$B$25:$K$25</c:f>
              <c:numCache>
                <c:formatCode>General</c:formatCode>
                <c:ptCount val="10"/>
                <c:pt idx="0">
                  <c:v>0.470381437862542</c:v>
                </c:pt>
                <c:pt idx="1">
                  <c:v>0.561378799110452</c:v>
                </c:pt>
                <c:pt idx="2">
                  <c:v>0.604884746007659</c:v>
                </c:pt>
                <c:pt idx="3">
                  <c:v>0.555620437956204</c:v>
                </c:pt>
                <c:pt idx="4">
                  <c:v>0.79417717577456</c:v>
                </c:pt>
                <c:pt idx="5">
                  <c:v>1.108137172899988</c:v>
                </c:pt>
                <c:pt idx="6">
                  <c:v>1.250741839762611</c:v>
                </c:pt>
                <c:pt idx="7">
                  <c:v>1.308580858085808</c:v>
                </c:pt>
                <c:pt idx="8">
                  <c:v>1.321184007068699</c:v>
                </c:pt>
                <c:pt idx="9">
                  <c:v>1.339419269687637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交通控制!$A$26</c:f>
              <c:strCache>
                <c:ptCount val="1"/>
                <c:pt idx="0">
                  <c:v>标志标线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交通控制!$B$26:$K$26</c:f>
              <c:numCache>
                <c:formatCode>General</c:formatCode>
                <c:ptCount val="10"/>
                <c:pt idx="0">
                  <c:v>0.72462427055505</c:v>
                </c:pt>
                <c:pt idx="1">
                  <c:v>0.822635010682973</c:v>
                </c:pt>
                <c:pt idx="2">
                  <c:v>0.843865264795248</c:v>
                </c:pt>
                <c:pt idx="3">
                  <c:v>0.873131338230498</c:v>
                </c:pt>
                <c:pt idx="4">
                  <c:v>1.086698240392871</c:v>
                </c:pt>
                <c:pt idx="5">
                  <c:v>1.243391408831481</c:v>
                </c:pt>
                <c:pt idx="6">
                  <c:v>1.412559234067245</c:v>
                </c:pt>
                <c:pt idx="7">
                  <c:v>1.434681534309187</c:v>
                </c:pt>
                <c:pt idx="8">
                  <c:v>1.450809988040445</c:v>
                </c:pt>
                <c:pt idx="9">
                  <c:v>1.478829262138678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交通控制!$A$27</c:f>
              <c:strCache>
                <c:ptCount val="1"/>
                <c:pt idx="0">
                  <c:v>混合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交通控制!$B$27:$K$27</c:f>
              <c:numCache>
                <c:formatCode>General</c:formatCode>
                <c:ptCount val="10"/>
                <c:pt idx="0">
                  <c:v>0.467590829461497</c:v>
                </c:pt>
                <c:pt idx="1">
                  <c:v>0.578196457326892</c:v>
                </c:pt>
                <c:pt idx="2">
                  <c:v>0.605519037954745</c:v>
                </c:pt>
                <c:pt idx="3">
                  <c:v>0.59459383359144</c:v>
                </c:pt>
                <c:pt idx="4">
                  <c:v>0.85469226761926</c:v>
                </c:pt>
                <c:pt idx="5">
                  <c:v>1.102722387529422</c:v>
                </c:pt>
                <c:pt idx="6">
                  <c:v>1.262951432129514</c:v>
                </c:pt>
                <c:pt idx="7">
                  <c:v>1.294255055113512</c:v>
                </c:pt>
                <c:pt idx="8">
                  <c:v>1.326355925608902</c:v>
                </c:pt>
                <c:pt idx="9">
                  <c:v>1.348078757914823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交通控制!$A$28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交通控制!$B$28:$K$28</c:f>
              <c:numCache>
                <c:formatCode>General</c:formatCode>
                <c:ptCount val="10"/>
                <c:pt idx="0">
                  <c:v>0.825266511456929</c:v>
                </c:pt>
                <c:pt idx="1">
                  <c:v>0.987027080353179</c:v>
                </c:pt>
                <c:pt idx="2">
                  <c:v>1.021373363478627</c:v>
                </c:pt>
                <c:pt idx="3">
                  <c:v>1.049038570940949</c:v>
                </c:pt>
                <c:pt idx="4">
                  <c:v>1.201377216288023</c:v>
                </c:pt>
                <c:pt idx="5">
                  <c:v>1.260037148164023</c:v>
                </c:pt>
                <c:pt idx="6">
                  <c:v>1.388417953065049</c:v>
                </c:pt>
                <c:pt idx="7">
                  <c:v>1.376352481873954</c:v>
                </c:pt>
                <c:pt idx="8">
                  <c:v>1.377631938747607</c:v>
                </c:pt>
                <c:pt idx="9">
                  <c:v>1.370031851544107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交通控制!$A$29</c:f>
              <c:strCache>
                <c:ptCount val="1"/>
                <c:pt idx="0">
                  <c:v>无控制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交通控制!$B$29:$K$29</c:f>
              <c:numCache>
                <c:formatCode>General</c:formatCode>
                <c:ptCount val="10"/>
                <c:pt idx="0">
                  <c:v>0.987630217818897</c:v>
                </c:pt>
                <c:pt idx="1">
                  <c:v>1.053595226455402</c:v>
                </c:pt>
                <c:pt idx="2">
                  <c:v>1.09415110671448</c:v>
                </c:pt>
                <c:pt idx="3">
                  <c:v>1.12939820618729</c:v>
                </c:pt>
                <c:pt idx="4">
                  <c:v>1.256383074476703</c:v>
                </c:pt>
                <c:pt idx="5">
                  <c:v>1.316905692687268</c:v>
                </c:pt>
                <c:pt idx="6">
                  <c:v>1.446898258375358</c:v>
                </c:pt>
                <c:pt idx="7">
                  <c:v>1.44745494110412</c:v>
                </c:pt>
                <c:pt idx="8">
                  <c:v>1.448479147898893</c:v>
                </c:pt>
                <c:pt idx="9">
                  <c:v>1.444617987765196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246072"/>
        <c:axId val="-2050242936"/>
      </c:lineChart>
      <c:catAx>
        <c:axId val="-205024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242936"/>
        <c:crosses val="autoZero"/>
        <c:auto val="1"/>
        <c:lblAlgn val="ctr"/>
        <c:lblOffset val="100"/>
        <c:noMultiLvlLbl val="0"/>
      </c:catAx>
      <c:valAx>
        <c:axId val="-205024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24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交通控制!$A$32</c:f>
              <c:strCache>
                <c:ptCount val="1"/>
                <c:pt idx="0">
                  <c:v>民警指挥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交通控制!$B$32:$K$32</c:f>
              <c:numCache>
                <c:formatCode>General</c:formatCode>
                <c:ptCount val="10"/>
                <c:pt idx="0">
                  <c:v>0.1409724839804</c:v>
                </c:pt>
                <c:pt idx="1">
                  <c:v>0.11975483262612</c:v>
                </c:pt>
                <c:pt idx="2">
                  <c:v>0.119022316684378</c:v>
                </c:pt>
                <c:pt idx="3">
                  <c:v>0.156066945606695</c:v>
                </c:pt>
                <c:pt idx="4">
                  <c:v>0.152685576342788</c:v>
                </c:pt>
                <c:pt idx="5">
                  <c:v>0.148820326678766</c:v>
                </c:pt>
                <c:pt idx="6">
                  <c:v>0.166666666666667</c:v>
                </c:pt>
                <c:pt idx="7">
                  <c:v>0.13946587537092</c:v>
                </c:pt>
                <c:pt idx="8">
                  <c:v>0.204225352112676</c:v>
                </c:pt>
                <c:pt idx="9">
                  <c:v>0.126888217522659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交通控制!$A$33</c:f>
              <c:strCache>
                <c:ptCount val="1"/>
                <c:pt idx="0">
                  <c:v>信号灯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交通控制!$B$33:$K$33</c:f>
              <c:numCache>
                <c:formatCode>General</c:formatCode>
                <c:ptCount val="10"/>
                <c:pt idx="0">
                  <c:v>0.103699551569507</c:v>
                </c:pt>
                <c:pt idx="1">
                  <c:v>0.126634094810511</c:v>
                </c:pt>
                <c:pt idx="2">
                  <c:v>0.113725958666826</c:v>
                </c:pt>
                <c:pt idx="3">
                  <c:v>0.108250131371519</c:v>
                </c:pt>
                <c:pt idx="4">
                  <c:v>0.117918055283278</c:v>
                </c:pt>
                <c:pt idx="5">
                  <c:v>0.111386672417511</c:v>
                </c:pt>
                <c:pt idx="6">
                  <c:v>0.122775800711744</c:v>
                </c:pt>
                <c:pt idx="7">
                  <c:v>0.137873055905843</c:v>
                </c:pt>
                <c:pt idx="8">
                  <c:v>0.150476508944992</c:v>
                </c:pt>
                <c:pt idx="9">
                  <c:v>0.140745606831992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交通控制!$A$34</c:f>
              <c:strCache>
                <c:ptCount val="1"/>
                <c:pt idx="0">
                  <c:v>标志标线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交通控制!$B$34:$K$34</c:f>
              <c:numCache>
                <c:formatCode>General</c:formatCode>
                <c:ptCount val="10"/>
                <c:pt idx="0">
                  <c:v>0.182793705717581</c:v>
                </c:pt>
                <c:pt idx="1">
                  <c:v>0.160839630562552</c:v>
                </c:pt>
                <c:pt idx="2">
                  <c:v>0.162838523307598</c:v>
                </c:pt>
                <c:pt idx="3">
                  <c:v>0.180232578821738</c:v>
                </c:pt>
                <c:pt idx="4">
                  <c:v>0.187084825993379</c:v>
                </c:pt>
                <c:pt idx="5">
                  <c:v>0.181995175312379</c:v>
                </c:pt>
                <c:pt idx="6">
                  <c:v>0.187061168290772</c:v>
                </c:pt>
                <c:pt idx="7">
                  <c:v>0.204477523126851</c:v>
                </c:pt>
                <c:pt idx="8">
                  <c:v>0.209476371520926</c:v>
                </c:pt>
                <c:pt idx="9">
                  <c:v>0.216087100248462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交通控制!$A$35</c:f>
              <c:strCache>
                <c:ptCount val="1"/>
                <c:pt idx="0">
                  <c:v>混合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交通控制!$B$35:$K$35</c:f>
              <c:numCache>
                <c:formatCode>General</c:formatCode>
                <c:ptCount val="10"/>
                <c:pt idx="0">
                  <c:v>0.102622576966933</c:v>
                </c:pt>
                <c:pt idx="1">
                  <c:v>0.0925193560964741</c:v>
                </c:pt>
                <c:pt idx="2">
                  <c:v>0.0973986993496748</c:v>
                </c:pt>
                <c:pt idx="3">
                  <c:v>0.11478903253303</c:v>
                </c:pt>
                <c:pt idx="4">
                  <c:v>0.123253080238582</c:v>
                </c:pt>
                <c:pt idx="5">
                  <c:v>0.112404349577124</c:v>
                </c:pt>
                <c:pt idx="6">
                  <c:v>0.144702460188335</c:v>
                </c:pt>
                <c:pt idx="7">
                  <c:v>0.164015792442188</c:v>
                </c:pt>
                <c:pt idx="8">
                  <c:v>0.164388383690232</c:v>
                </c:pt>
                <c:pt idx="9">
                  <c:v>0.180929095354523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交通控制!$A$36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交通控制!$B$36:$K$36</c:f>
              <c:numCache>
                <c:formatCode>General</c:formatCode>
                <c:ptCount val="10"/>
                <c:pt idx="0">
                  <c:v>0.188455827765405</c:v>
                </c:pt>
                <c:pt idx="1">
                  <c:v>0.161969015492254</c:v>
                </c:pt>
                <c:pt idx="2">
                  <c:v>0.156546807031994</c:v>
                </c:pt>
                <c:pt idx="3">
                  <c:v>0.149168474331164</c:v>
                </c:pt>
                <c:pt idx="4">
                  <c:v>0.145552195694363</c:v>
                </c:pt>
                <c:pt idx="5">
                  <c:v>0.144120648599614</c:v>
                </c:pt>
                <c:pt idx="6">
                  <c:v>0.159318766066838</c:v>
                </c:pt>
                <c:pt idx="7">
                  <c:v>0.178782721452306</c:v>
                </c:pt>
                <c:pt idx="8">
                  <c:v>0.185788011115522</c:v>
                </c:pt>
                <c:pt idx="9">
                  <c:v>0.177398160315374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交通控制!$A$37</c:f>
              <c:strCache>
                <c:ptCount val="1"/>
                <c:pt idx="0">
                  <c:v>无控制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交通控制!$B$37:$K$37</c:f>
              <c:numCache>
                <c:formatCode>General</c:formatCode>
                <c:ptCount val="10"/>
                <c:pt idx="0">
                  <c:v>0.188416487180244</c:v>
                </c:pt>
                <c:pt idx="1">
                  <c:v>0.169136061426592</c:v>
                </c:pt>
                <c:pt idx="2">
                  <c:v>0.169848301872171</c:v>
                </c:pt>
                <c:pt idx="3">
                  <c:v>0.17819780801857</c:v>
                </c:pt>
                <c:pt idx="4">
                  <c:v>0.188000987048962</c:v>
                </c:pt>
                <c:pt idx="5">
                  <c:v>0.174947066749364</c:v>
                </c:pt>
                <c:pt idx="6">
                  <c:v>0.167973153318908</c:v>
                </c:pt>
                <c:pt idx="7">
                  <c:v>0.185201526256016</c:v>
                </c:pt>
                <c:pt idx="8">
                  <c:v>0.184731609610653</c:v>
                </c:pt>
                <c:pt idx="9">
                  <c:v>0.19251984663283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66696"/>
        <c:axId val="-2121163560"/>
      </c:lineChart>
      <c:catAx>
        <c:axId val="-212116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63560"/>
        <c:crosses val="autoZero"/>
        <c:auto val="1"/>
        <c:lblAlgn val="ctr"/>
        <c:lblOffset val="100"/>
        <c:noMultiLvlLbl val="0"/>
      </c:catAx>
      <c:valAx>
        <c:axId val="-212116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6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>
        <c:manualLayout>
          <c:xMode val="edge"/>
          <c:yMode val="edge"/>
          <c:x val="0.247606273826196"/>
          <c:y val="0.0277777777777778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交通控制!$A$26</c:f>
              <c:strCache>
                <c:ptCount val="1"/>
                <c:pt idx="0">
                  <c:v>标志标线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交通控制!$B$26:$K$26</c:f>
              <c:numCache>
                <c:formatCode>General</c:formatCode>
                <c:ptCount val="10"/>
                <c:pt idx="0">
                  <c:v>0.72462427055505</c:v>
                </c:pt>
                <c:pt idx="1">
                  <c:v>0.822635010682973</c:v>
                </c:pt>
                <c:pt idx="2">
                  <c:v>0.843865264795248</c:v>
                </c:pt>
                <c:pt idx="3">
                  <c:v>0.873131338230498</c:v>
                </c:pt>
                <c:pt idx="4">
                  <c:v>1.086698240392871</c:v>
                </c:pt>
                <c:pt idx="5">
                  <c:v>1.243391408831481</c:v>
                </c:pt>
                <c:pt idx="6">
                  <c:v>1.412559234067245</c:v>
                </c:pt>
                <c:pt idx="7">
                  <c:v>1.434681534309187</c:v>
                </c:pt>
                <c:pt idx="8">
                  <c:v>1.450809988040445</c:v>
                </c:pt>
                <c:pt idx="9">
                  <c:v>1.478829262138678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交通控制!$A$29</c:f>
              <c:strCache>
                <c:ptCount val="1"/>
                <c:pt idx="0">
                  <c:v>无控制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交通控制!$B$29:$K$29</c:f>
              <c:numCache>
                <c:formatCode>General</c:formatCode>
                <c:ptCount val="10"/>
                <c:pt idx="0">
                  <c:v>0.987630217818897</c:v>
                </c:pt>
                <c:pt idx="1">
                  <c:v>1.053595226455402</c:v>
                </c:pt>
                <c:pt idx="2">
                  <c:v>1.09415110671448</c:v>
                </c:pt>
                <c:pt idx="3">
                  <c:v>1.12939820618729</c:v>
                </c:pt>
                <c:pt idx="4">
                  <c:v>1.256383074476703</c:v>
                </c:pt>
                <c:pt idx="5">
                  <c:v>1.316905692687268</c:v>
                </c:pt>
                <c:pt idx="6">
                  <c:v>1.446898258375358</c:v>
                </c:pt>
                <c:pt idx="7">
                  <c:v>1.44745494110412</c:v>
                </c:pt>
                <c:pt idx="8">
                  <c:v>1.448479147898893</c:v>
                </c:pt>
                <c:pt idx="9">
                  <c:v>1.444617987765196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交通控制!$A$30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交通控制!$B$30:$K$30</c:f>
              <c:numCache>
                <c:formatCode>General</c:formatCode>
                <c:ptCount val="10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1.412219712782961</c:v>
                </c:pt>
                <c:pt idx="7">
                  <c:v>1.426837453432075</c:v>
                </c:pt>
                <c:pt idx="8">
                  <c:v>1.438567490801381</c:v>
                </c:pt>
                <c:pt idx="9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524056"/>
        <c:axId val="-2049520776"/>
      </c:lineChart>
      <c:lineChart>
        <c:grouping val="standard"/>
        <c:varyColors val="0"/>
        <c:ser>
          <c:idx val="1"/>
          <c:order val="3"/>
          <c:tx>
            <c:strRef>
              <c:f>交通控制!$A$8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交通控制!$B$1:$K$1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交通控制!$B$8:$K$8</c:f>
              <c:numCache>
                <c:formatCode>General</c:formatCode>
                <c:ptCount val="10"/>
                <c:pt idx="0">
                  <c:v>616971.0</c:v>
                </c:pt>
                <c:pt idx="1">
                  <c:v>754919.0</c:v>
                </c:pt>
                <c:pt idx="2">
                  <c:v>773136.0</c:v>
                </c:pt>
                <c:pt idx="3">
                  <c:v>667508.0</c:v>
                </c:pt>
                <c:pt idx="4">
                  <c:v>517888.0</c:v>
                </c:pt>
                <c:pt idx="5">
                  <c:v>450254.0</c:v>
                </c:pt>
                <c:pt idx="6">
                  <c:v>327209.0</c:v>
                </c:pt>
                <c:pt idx="7">
                  <c:v>265204.0</c:v>
                </c:pt>
                <c:pt idx="8">
                  <c:v>238351.0</c:v>
                </c:pt>
                <c:pt idx="9">
                  <c:v>219521.0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07320"/>
        <c:axId val="-2050610312"/>
      </c:lineChart>
      <c:catAx>
        <c:axId val="-204952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520776"/>
        <c:crosses val="autoZero"/>
        <c:auto val="1"/>
        <c:lblAlgn val="ctr"/>
        <c:lblOffset val="100"/>
        <c:noMultiLvlLbl val="0"/>
      </c:catAx>
      <c:valAx>
        <c:axId val="-2049520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9524056"/>
        <c:crosses val="autoZero"/>
        <c:crossBetween val="between"/>
      </c:valAx>
      <c:valAx>
        <c:axId val="-205061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0607320"/>
        <c:crosses val="max"/>
        <c:crossBetween val="between"/>
      </c:valAx>
      <c:catAx>
        <c:axId val="-205060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06103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交通控制!$A$34</c:f>
              <c:strCache>
                <c:ptCount val="1"/>
                <c:pt idx="0">
                  <c:v>标志标线</c:v>
                </c:pt>
              </c:strCache>
            </c:strRef>
          </c:tx>
          <c:marker>
            <c:symbol val="none"/>
          </c:marker>
          <c:cat>
            <c:numRef>
              <c:f>交通控制!$B$31:$K$31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交通控制!$B$34:$K$34</c:f>
              <c:numCache>
                <c:formatCode>General</c:formatCode>
                <c:ptCount val="10"/>
                <c:pt idx="0">
                  <c:v>0.182793705717581</c:v>
                </c:pt>
                <c:pt idx="1">
                  <c:v>0.160839630562552</c:v>
                </c:pt>
                <c:pt idx="2">
                  <c:v>0.162838523307598</c:v>
                </c:pt>
                <c:pt idx="3">
                  <c:v>0.180232578821738</c:v>
                </c:pt>
                <c:pt idx="4">
                  <c:v>0.187084825993379</c:v>
                </c:pt>
                <c:pt idx="5">
                  <c:v>0.181995175312379</c:v>
                </c:pt>
                <c:pt idx="6">
                  <c:v>0.187061168290772</c:v>
                </c:pt>
                <c:pt idx="7">
                  <c:v>0.204477523126851</c:v>
                </c:pt>
                <c:pt idx="8">
                  <c:v>0.209476371520926</c:v>
                </c:pt>
                <c:pt idx="9">
                  <c:v>0.216087100248462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交通控制!$A$37</c:f>
              <c:strCache>
                <c:ptCount val="1"/>
                <c:pt idx="0">
                  <c:v>无控制</c:v>
                </c:pt>
              </c:strCache>
            </c:strRef>
          </c:tx>
          <c:marker>
            <c:symbol val="none"/>
          </c:marker>
          <c:cat>
            <c:numRef>
              <c:f>交通控制!$B$31:$K$31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交通控制!$B$37:$K$37</c:f>
              <c:numCache>
                <c:formatCode>General</c:formatCode>
                <c:ptCount val="10"/>
                <c:pt idx="0">
                  <c:v>0.188416487180244</c:v>
                </c:pt>
                <c:pt idx="1">
                  <c:v>0.169136061426592</c:v>
                </c:pt>
                <c:pt idx="2">
                  <c:v>0.169848301872171</c:v>
                </c:pt>
                <c:pt idx="3">
                  <c:v>0.17819780801857</c:v>
                </c:pt>
                <c:pt idx="4">
                  <c:v>0.188000987048962</c:v>
                </c:pt>
                <c:pt idx="5">
                  <c:v>0.174947066749364</c:v>
                </c:pt>
                <c:pt idx="6">
                  <c:v>0.167973153318908</c:v>
                </c:pt>
                <c:pt idx="7">
                  <c:v>0.185201526256016</c:v>
                </c:pt>
                <c:pt idx="8">
                  <c:v>0.184731609610653</c:v>
                </c:pt>
                <c:pt idx="9">
                  <c:v>0.19251984663283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交通控制!$A$38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交通控制!$B$31:$K$31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交通控制!$B$38:$K$38</c:f>
              <c:numCache>
                <c:formatCode>General</c:formatCode>
                <c:ptCount val="10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0.176694633740973</c:v>
                </c:pt>
                <c:pt idx="7">
                  <c:v>0.194195077734585</c:v>
                </c:pt>
                <c:pt idx="8">
                  <c:v>0.197614936829948</c:v>
                </c:pt>
                <c:pt idx="9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32152"/>
        <c:axId val="-2048939288"/>
      </c:lineChart>
      <c:catAx>
        <c:axId val="-21204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939288"/>
        <c:crosses val="autoZero"/>
        <c:auto val="1"/>
        <c:lblAlgn val="ctr"/>
        <c:lblOffset val="100"/>
        <c:noMultiLvlLbl val="0"/>
      </c:catAx>
      <c:valAx>
        <c:axId val="-2048939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043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交通控制!$H$41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交通控制!$G$42:$G$47</c:f>
              <c:strCache>
                <c:ptCount val="6"/>
                <c:pt idx="0">
                  <c:v>标志标线</c:v>
                </c:pt>
                <c:pt idx="1">
                  <c:v>无控制</c:v>
                </c:pt>
                <c:pt idx="2">
                  <c:v>混合</c:v>
                </c:pt>
                <c:pt idx="3">
                  <c:v>其他</c:v>
                </c:pt>
                <c:pt idx="4">
                  <c:v>信号灯</c:v>
                </c:pt>
                <c:pt idx="5">
                  <c:v>民警指挥</c:v>
                </c:pt>
              </c:strCache>
            </c:strRef>
          </c:cat>
          <c:val>
            <c:numRef>
              <c:f>交通控制!$H$42:$H$47</c:f>
              <c:numCache>
                <c:formatCode>General</c:formatCode>
                <c:ptCount val="6"/>
                <c:pt idx="0">
                  <c:v>40528.0</c:v>
                </c:pt>
                <c:pt idx="1">
                  <c:v>19231.0</c:v>
                </c:pt>
                <c:pt idx="2">
                  <c:v>2812.0</c:v>
                </c:pt>
                <c:pt idx="3">
                  <c:v>1755.0</c:v>
                </c:pt>
                <c:pt idx="4">
                  <c:v>857.0</c:v>
                </c:pt>
                <c:pt idx="5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114328"/>
        <c:axId val="-2088257736"/>
      </c:barChart>
      <c:catAx>
        <c:axId val="-208811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57736"/>
        <c:crosses val="autoZero"/>
        <c:auto val="1"/>
        <c:lblAlgn val="ctr"/>
        <c:lblOffset val="100"/>
        <c:noMultiLvlLbl val="0"/>
      </c:catAx>
      <c:valAx>
        <c:axId val="-208825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11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交通控制!$A$81</c:f>
              <c:strCache>
                <c:ptCount val="1"/>
                <c:pt idx="0">
                  <c:v>标志标线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交通控制!$B$81:$K$81</c:f>
              <c:numCache>
                <c:formatCode>General</c:formatCode>
                <c:ptCount val="10"/>
                <c:pt idx="0">
                  <c:v>35500.0</c:v>
                </c:pt>
                <c:pt idx="1">
                  <c:v>43101.0</c:v>
                </c:pt>
                <c:pt idx="2">
                  <c:v>47351.0</c:v>
                </c:pt>
                <c:pt idx="3">
                  <c:v>50665.0</c:v>
                </c:pt>
                <c:pt idx="4">
                  <c:v>52328.0</c:v>
                </c:pt>
                <c:pt idx="5">
                  <c:v>51226.0</c:v>
                </c:pt>
                <c:pt idx="6">
                  <c:v>49181.0</c:v>
                </c:pt>
                <c:pt idx="7">
                  <c:v>44672.0</c:v>
                </c:pt>
                <c:pt idx="8">
                  <c:v>41929.0</c:v>
                </c:pt>
                <c:pt idx="9">
                  <c:v>40528.0</c:v>
                </c:pt>
              </c:numCache>
            </c:numRef>
          </c:val>
        </c:ser>
        <c:ser>
          <c:idx val="1"/>
          <c:order val="1"/>
          <c:tx>
            <c:strRef>
              <c:f>交通控制!$A$82</c:f>
              <c:strCache>
                <c:ptCount val="1"/>
                <c:pt idx="0">
                  <c:v>无控制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交通控制!$B$82:$K$82</c:f>
              <c:numCache>
                <c:formatCode>General</c:formatCode>
                <c:ptCount val="10"/>
                <c:pt idx="0">
                  <c:v>51088.0</c:v>
                </c:pt>
                <c:pt idx="1">
                  <c:v>53219.0</c:v>
                </c:pt>
                <c:pt idx="2">
                  <c:v>52601.0</c:v>
                </c:pt>
                <c:pt idx="3">
                  <c:v>45753.0</c:v>
                </c:pt>
                <c:pt idx="4">
                  <c:v>47236.0</c:v>
                </c:pt>
                <c:pt idx="5">
                  <c:v>40900.0</c:v>
                </c:pt>
                <c:pt idx="6">
                  <c:v>25928.0</c:v>
                </c:pt>
                <c:pt idx="7">
                  <c:v>22667.0</c:v>
                </c:pt>
                <c:pt idx="8">
                  <c:v>20198.0</c:v>
                </c:pt>
                <c:pt idx="9">
                  <c:v>19231.0</c:v>
                </c:pt>
              </c:numCache>
            </c:numRef>
          </c:val>
        </c:ser>
        <c:ser>
          <c:idx val="2"/>
          <c:order val="2"/>
          <c:tx>
            <c:strRef>
              <c:f>交通控制!$A$83</c:f>
              <c:strCache>
                <c:ptCount val="1"/>
                <c:pt idx="0">
                  <c:v>混合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交通控制!$B$83:$K$83</c:f>
              <c:numCache>
                <c:formatCode>General</c:formatCode>
                <c:ptCount val="10"/>
                <c:pt idx="0">
                  <c:v>1260.0</c:v>
                </c:pt>
                <c:pt idx="1">
                  <c:v>1661.0</c:v>
                </c:pt>
                <c:pt idx="2">
                  <c:v>1947.0</c:v>
                </c:pt>
                <c:pt idx="3">
                  <c:v>2424.0</c:v>
                </c:pt>
                <c:pt idx="4">
                  <c:v>2831.0</c:v>
                </c:pt>
                <c:pt idx="5">
                  <c:v>2791.0</c:v>
                </c:pt>
                <c:pt idx="6">
                  <c:v>2935.0</c:v>
                </c:pt>
                <c:pt idx="7">
                  <c:v>2908.0</c:v>
                </c:pt>
                <c:pt idx="8">
                  <c:v>2802.0</c:v>
                </c:pt>
                <c:pt idx="9">
                  <c:v>2812.0</c:v>
                </c:pt>
              </c:numCache>
            </c:numRef>
          </c:val>
        </c:ser>
        <c:ser>
          <c:idx val="3"/>
          <c:order val="3"/>
          <c:tx>
            <c:strRef>
              <c:f>交通控制!$A$84</c:f>
              <c:strCache>
                <c:ptCount val="1"/>
                <c:pt idx="0">
                  <c:v>其他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交通控制!$B$84:$K$84</c:f>
              <c:numCache>
                <c:formatCode>General</c:formatCode>
                <c:ptCount val="10"/>
                <c:pt idx="0">
                  <c:v>5077.0</c:v>
                </c:pt>
                <c:pt idx="1">
                  <c:v>6482.0</c:v>
                </c:pt>
                <c:pt idx="2">
                  <c:v>6082.0</c:v>
                </c:pt>
                <c:pt idx="3">
                  <c:v>4126.0</c:v>
                </c:pt>
                <c:pt idx="4">
                  <c:v>3225.0</c:v>
                </c:pt>
                <c:pt idx="5">
                  <c:v>2542.0</c:v>
                </c:pt>
                <c:pt idx="6">
                  <c:v>2479.0</c:v>
                </c:pt>
                <c:pt idx="7">
                  <c:v>2206.0</c:v>
                </c:pt>
                <c:pt idx="8">
                  <c:v>1872.0</c:v>
                </c:pt>
                <c:pt idx="9">
                  <c:v>1755.0</c:v>
                </c:pt>
              </c:numCache>
            </c:numRef>
          </c:val>
        </c:ser>
        <c:ser>
          <c:idx val="4"/>
          <c:order val="4"/>
          <c:tx>
            <c:strRef>
              <c:f>交通控制!$A$85</c:f>
              <c:strCache>
                <c:ptCount val="1"/>
                <c:pt idx="0">
                  <c:v>信号灯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交通控制!$B$85:$K$85</c:f>
              <c:numCache>
                <c:formatCode>General</c:formatCode>
                <c:ptCount val="10"/>
                <c:pt idx="0">
                  <c:v>555.0</c:v>
                </c:pt>
                <c:pt idx="1">
                  <c:v>959.0</c:v>
                </c:pt>
                <c:pt idx="2">
                  <c:v>952.0</c:v>
                </c:pt>
                <c:pt idx="3">
                  <c:v>1030.0</c:v>
                </c:pt>
                <c:pt idx="4">
                  <c:v>1203.0</c:v>
                </c:pt>
                <c:pt idx="5">
                  <c:v>1033.0</c:v>
                </c:pt>
                <c:pt idx="6">
                  <c:v>1035.0</c:v>
                </c:pt>
                <c:pt idx="7">
                  <c:v>984.0</c:v>
                </c:pt>
                <c:pt idx="8">
                  <c:v>900.0</c:v>
                </c:pt>
                <c:pt idx="9">
                  <c:v>857.0</c:v>
                </c:pt>
              </c:numCache>
            </c:numRef>
          </c:val>
        </c:ser>
        <c:ser>
          <c:idx val="5"/>
          <c:order val="5"/>
          <c:tx>
            <c:strRef>
              <c:f>交通控制!$A$86</c:f>
              <c:strCache>
                <c:ptCount val="1"/>
                <c:pt idx="0">
                  <c:v>民警指挥</c:v>
                </c:pt>
              </c:strCache>
            </c:strRef>
          </c:tx>
          <c:cat>
            <c:numRef>
              <c:f>交通控制!$B$80:$K$80</c:f>
              <c:numCache>
                <c:formatCode>General</c:formatCode>
                <c:ptCount val="10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</c:numCache>
            </c:numRef>
          </c:cat>
          <c:val>
            <c:numRef>
              <c:f>交通控制!$B$86:$K$86</c:f>
              <c:numCache>
                <c:formatCode>General</c:formatCode>
                <c:ptCount val="10"/>
                <c:pt idx="0">
                  <c:v>374.0</c:v>
                </c:pt>
                <c:pt idx="1">
                  <c:v>508.0</c:v>
                </c:pt>
                <c:pt idx="2">
                  <c:v>448.0</c:v>
                </c:pt>
                <c:pt idx="3">
                  <c:v>373.0</c:v>
                </c:pt>
                <c:pt idx="4">
                  <c:v>253.0</c:v>
                </c:pt>
                <c:pt idx="5">
                  <c:v>246.0</c:v>
                </c:pt>
                <c:pt idx="6">
                  <c:v>91.0</c:v>
                </c:pt>
                <c:pt idx="7">
                  <c:v>47.0</c:v>
                </c:pt>
                <c:pt idx="8">
                  <c:v>58.0</c:v>
                </c:pt>
                <c:pt idx="9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43608"/>
        <c:axId val="-2087747288"/>
      </c:areaChart>
      <c:catAx>
        <c:axId val="-208774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747288"/>
        <c:crosses val="autoZero"/>
        <c:auto val="1"/>
        <c:lblAlgn val="ctr"/>
        <c:lblOffset val="100"/>
        <c:noMultiLvlLbl val="0"/>
      </c:catAx>
      <c:valAx>
        <c:axId val="-2087747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77436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驾龄!$A$31</c:f>
              <c:strCache>
                <c:ptCount val="1"/>
                <c:pt idx="0">
                  <c:v>a&lt;1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驾龄!$B$31:$L$31</c:f>
              <c:numCache>
                <c:formatCode>General</c:formatCode>
                <c:ptCount val="11"/>
                <c:pt idx="0">
                  <c:v>1.010290518918241</c:v>
                </c:pt>
                <c:pt idx="1">
                  <c:v>1.099563415717034</c:v>
                </c:pt>
                <c:pt idx="2">
                  <c:v>1.063896713615023</c:v>
                </c:pt>
                <c:pt idx="3">
                  <c:v>0.852409611618361</c:v>
                </c:pt>
                <c:pt idx="4">
                  <c:v>1.146256792728254</c:v>
                </c:pt>
                <c:pt idx="5">
                  <c:v>1.25849456378849</c:v>
                </c:pt>
                <c:pt idx="6">
                  <c:v>1.376321152661263</c:v>
                </c:pt>
                <c:pt idx="7">
                  <c:v>1.422145777893165</c:v>
                </c:pt>
                <c:pt idx="8">
                  <c:v>1.432462972678478</c:v>
                </c:pt>
                <c:pt idx="9">
                  <c:v>1.45871637364965</c:v>
                </c:pt>
                <c:pt idx="10">
                  <c:v>1.475636250775916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驾龄!$A$32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驾龄!$B$32:$L$32</c:f>
              <c:numCache>
                <c:formatCode>General</c:formatCode>
                <c:ptCount val="11"/>
                <c:pt idx="0">
                  <c:v>0.762022493697886</c:v>
                </c:pt>
                <c:pt idx="1">
                  <c:v>0.7952972816495</c:v>
                </c:pt>
                <c:pt idx="2">
                  <c:v>0.81199188882481</c:v>
                </c:pt>
                <c:pt idx="3">
                  <c:v>0.828866011615818</c:v>
                </c:pt>
                <c:pt idx="4">
                  <c:v>1.079334272447436</c:v>
                </c:pt>
                <c:pt idx="5">
                  <c:v>1.204989862956028</c:v>
                </c:pt>
                <c:pt idx="6">
                  <c:v>1.344879031637879</c:v>
                </c:pt>
                <c:pt idx="7">
                  <c:v>1.38965983286696</c:v>
                </c:pt>
                <c:pt idx="8">
                  <c:v>1.398940177156662</c:v>
                </c:pt>
                <c:pt idx="9">
                  <c:v>1.405640164456541</c:v>
                </c:pt>
                <c:pt idx="10">
                  <c:v>1.436173602702186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驾龄!$A$33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驾龄!$B$33:$L$33</c:f>
              <c:numCache>
                <c:formatCode>General</c:formatCode>
                <c:ptCount val="11"/>
                <c:pt idx="0">
                  <c:v>0.724025301531157</c:v>
                </c:pt>
                <c:pt idx="1">
                  <c:v>0.776359764782198</c:v>
                </c:pt>
                <c:pt idx="2">
                  <c:v>0.792991302155553</c:v>
                </c:pt>
                <c:pt idx="3">
                  <c:v>0.792115663123788</c:v>
                </c:pt>
                <c:pt idx="4">
                  <c:v>1.06955147897832</c:v>
                </c:pt>
                <c:pt idx="5">
                  <c:v>1.197818468054801</c:v>
                </c:pt>
                <c:pt idx="6">
                  <c:v>1.336675554772031</c:v>
                </c:pt>
                <c:pt idx="7">
                  <c:v>1.378860750837683</c:v>
                </c:pt>
                <c:pt idx="8">
                  <c:v>1.393995064436523</c:v>
                </c:pt>
                <c:pt idx="9">
                  <c:v>1.400969230258572</c:v>
                </c:pt>
                <c:pt idx="10">
                  <c:v>1.404701760104303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驾龄!$A$34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驾龄!$B$34:$L$34</c:f>
              <c:numCache>
                <c:formatCode>General</c:formatCode>
                <c:ptCount val="11"/>
                <c:pt idx="0">
                  <c:v>0.71401148427589</c:v>
                </c:pt>
                <c:pt idx="1">
                  <c:v>0.74472778995341</c:v>
                </c:pt>
                <c:pt idx="2">
                  <c:v>0.762101218313425</c:v>
                </c:pt>
                <c:pt idx="3">
                  <c:v>0.788145854919046</c:v>
                </c:pt>
                <c:pt idx="4">
                  <c:v>1.068696681107697</c:v>
                </c:pt>
                <c:pt idx="5">
                  <c:v>1.225816561041855</c:v>
                </c:pt>
                <c:pt idx="6">
                  <c:v>1.348553969781944</c:v>
                </c:pt>
                <c:pt idx="7">
                  <c:v>1.375388730981441</c:v>
                </c:pt>
                <c:pt idx="8">
                  <c:v>1.406771727258543</c:v>
                </c:pt>
                <c:pt idx="9">
                  <c:v>1.409486971530767</c:v>
                </c:pt>
                <c:pt idx="10">
                  <c:v>1.439337857289739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驾龄!$A$35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驾龄!$B$35:$L$35</c:f>
              <c:numCache>
                <c:formatCode>General</c:formatCode>
                <c:ptCount val="11"/>
                <c:pt idx="0">
                  <c:v>0.692096496074197</c:v>
                </c:pt>
                <c:pt idx="1">
                  <c:v>0.746933072009291</c:v>
                </c:pt>
                <c:pt idx="2">
                  <c:v>0.746740568117402</c:v>
                </c:pt>
                <c:pt idx="3">
                  <c:v>0.859891404061191</c:v>
                </c:pt>
                <c:pt idx="4">
                  <c:v>1.126331761058152</c:v>
                </c:pt>
                <c:pt idx="5">
                  <c:v>1.237491398800747</c:v>
                </c:pt>
                <c:pt idx="6">
                  <c:v>1.353205527847049</c:v>
                </c:pt>
                <c:pt idx="7">
                  <c:v>1.428864791765796</c:v>
                </c:pt>
                <c:pt idx="8">
                  <c:v>1.425333646892821</c:v>
                </c:pt>
                <c:pt idx="9">
                  <c:v>1.462221318696212</c:v>
                </c:pt>
                <c:pt idx="10">
                  <c:v>1.453588057054172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驾龄!$A$36</c:f>
              <c:strCache>
                <c:ptCount val="1"/>
                <c:pt idx="0">
                  <c:v>15&lt;a&lt;20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驾龄!$B$36:$L$36</c:f>
              <c:numCache>
                <c:formatCode>General</c:formatCode>
                <c:ptCount val="11"/>
                <c:pt idx="0">
                  <c:v>0.677160391441367</c:v>
                </c:pt>
                <c:pt idx="1">
                  <c:v>0.735258756226136</c:v>
                </c:pt>
                <c:pt idx="2">
                  <c:v>0.768194652051154</c:v>
                </c:pt>
                <c:pt idx="3">
                  <c:v>0.83753061318793</c:v>
                </c:pt>
                <c:pt idx="4">
                  <c:v>1.125648816305862</c:v>
                </c:pt>
                <c:pt idx="5">
                  <c:v>1.258430130235832</c:v>
                </c:pt>
                <c:pt idx="6">
                  <c:v>1.417244146181341</c:v>
                </c:pt>
                <c:pt idx="7">
                  <c:v>1.427246973989184</c:v>
                </c:pt>
                <c:pt idx="8">
                  <c:v>1.420339648571709</c:v>
                </c:pt>
                <c:pt idx="9">
                  <c:v>1.461594963273872</c:v>
                </c:pt>
                <c:pt idx="10">
                  <c:v>1.503854299025837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驾龄!$A$37</c:f>
              <c:strCache>
                <c:ptCount val="1"/>
                <c:pt idx="0">
                  <c:v>20&lt;a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驾龄!$B$37:$L$37</c:f>
              <c:numCache>
                <c:formatCode>General</c:formatCode>
                <c:ptCount val="11"/>
                <c:pt idx="0">
                  <c:v>0.707176183070429</c:v>
                </c:pt>
                <c:pt idx="1">
                  <c:v>0.750459427451301</c:v>
                </c:pt>
                <c:pt idx="2">
                  <c:v>0.758216149237782</c:v>
                </c:pt>
                <c:pt idx="3">
                  <c:v>0.854842317154999</c:v>
                </c:pt>
                <c:pt idx="4">
                  <c:v>1.151113216485078</c:v>
                </c:pt>
                <c:pt idx="5">
                  <c:v>1.316540837336994</c:v>
                </c:pt>
                <c:pt idx="6">
                  <c:v>1.443769706878431</c:v>
                </c:pt>
                <c:pt idx="7">
                  <c:v>1.452551319648094</c:v>
                </c:pt>
                <c:pt idx="8">
                  <c:v>1.491197183098591</c:v>
                </c:pt>
                <c:pt idx="9">
                  <c:v>1.495346131471786</c:v>
                </c:pt>
                <c:pt idx="10">
                  <c:v>1.53472412846555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40392"/>
        <c:axId val="-2087837512"/>
      </c:lineChart>
      <c:catAx>
        <c:axId val="-208784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37512"/>
        <c:crosses val="autoZero"/>
        <c:auto val="1"/>
        <c:lblAlgn val="ctr"/>
        <c:lblOffset val="100"/>
        <c:noMultiLvlLbl val="0"/>
      </c:catAx>
      <c:valAx>
        <c:axId val="-208783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4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FR - </a:t>
            </a:r>
            <a:r>
              <a:rPr lang="zh-CN" altLang="en-US"/>
              <a:t>交通方式</a:t>
            </a:r>
            <a:endParaRPr lang="en-US" altLang="zh-CN"/>
          </a:p>
        </c:rich>
      </c:tx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'All-交通方式'!$A$48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</c:numCache>
            </c:numRef>
          </c:cat>
          <c:val>
            <c:numRef>
              <c:f>'All-交通方式'!$B$48:$AB$48</c:f>
              <c:numCache>
                <c:formatCode>#,##0</c:formatCode>
                <c:ptCount val="27"/>
                <c:pt idx="0">
                  <c:v>1557.0</c:v>
                </c:pt>
                <c:pt idx="1">
                  <c:v>1639.0</c:v>
                </c:pt>
                <c:pt idx="2">
                  <c:v>1479.0</c:v>
                </c:pt>
                <c:pt idx="3">
                  <c:v>1592.0</c:v>
                </c:pt>
                <c:pt idx="4">
                  <c:v>1472.0</c:v>
                </c:pt>
                <c:pt idx="5">
                  <c:v>1407.0</c:v>
                </c:pt>
                <c:pt idx="6">
                  <c:v>1327.0</c:v>
                </c:pt>
                <c:pt idx="7">
                  <c:v>1165.0</c:v>
                </c:pt>
                <c:pt idx="8">
                  <c:v>1131.0</c:v>
                </c:pt>
                <c:pt idx="9">
                  <c:v>1126.0</c:v>
                </c:pt>
                <c:pt idx="10">
                  <c:v>1027.0</c:v>
                </c:pt>
                <c:pt idx="11">
                  <c:v>987.0</c:v>
                </c:pt>
                <c:pt idx="12">
                  <c:v>929.0</c:v>
                </c:pt>
                <c:pt idx="13">
                  <c:v>988.0</c:v>
                </c:pt>
                <c:pt idx="14">
                  <c:v>882.0</c:v>
                </c:pt>
                <c:pt idx="15">
                  <c:v>793.0</c:v>
                </c:pt>
                <c:pt idx="16">
                  <c:v>778.0</c:v>
                </c:pt>
                <c:pt idx="17">
                  <c:v>819.0</c:v>
                </c:pt>
                <c:pt idx="18">
                  <c:v>592.0</c:v>
                </c:pt>
                <c:pt idx="19">
                  <c:v>550.0</c:v>
                </c:pt>
                <c:pt idx="20">
                  <c:v>635.0</c:v>
                </c:pt>
                <c:pt idx="21">
                  <c:v>535.0</c:v>
                </c:pt>
                <c:pt idx="22">
                  <c:v>561.0</c:v>
                </c:pt>
                <c:pt idx="23">
                  <c:v>548.0</c:v>
                </c:pt>
                <c:pt idx="24">
                  <c:v>496.0</c:v>
                </c:pt>
                <c:pt idx="25">
                  <c:v>485.0</c:v>
                </c:pt>
                <c:pt idx="26">
                  <c:v>519.0</c:v>
                </c:pt>
              </c:numCache>
            </c:numRef>
          </c:val>
        </c:ser>
        <c:ser>
          <c:idx val="1"/>
          <c:order val="1"/>
          <c:tx>
            <c:strRef>
              <c:f>'All-交通方式'!$A$47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</c:numCache>
            </c:numRef>
          </c:cat>
          <c:val>
            <c:numRef>
              <c:f>'All-交通方式'!$B$47:$AB$47</c:f>
              <c:numCache>
                <c:formatCode>#,##0</c:formatCode>
                <c:ptCount val="27"/>
                <c:pt idx="0">
                  <c:v>2033.0</c:v>
                </c:pt>
                <c:pt idx="1">
                  <c:v>1942.0</c:v>
                </c:pt>
                <c:pt idx="2">
                  <c:v>1887.0</c:v>
                </c:pt>
                <c:pt idx="3">
                  <c:v>1980.0</c:v>
                </c:pt>
                <c:pt idx="4">
                  <c:v>2025.0</c:v>
                </c:pt>
                <c:pt idx="5">
                  <c:v>2004.0</c:v>
                </c:pt>
                <c:pt idx="6">
                  <c:v>1848.0</c:v>
                </c:pt>
                <c:pt idx="7">
                  <c:v>1797.0</c:v>
                </c:pt>
                <c:pt idx="8">
                  <c:v>1680.0</c:v>
                </c:pt>
                <c:pt idx="9">
                  <c:v>1609.0</c:v>
                </c:pt>
                <c:pt idx="10">
                  <c:v>1625.0</c:v>
                </c:pt>
                <c:pt idx="11">
                  <c:v>1519.0</c:v>
                </c:pt>
                <c:pt idx="12">
                  <c:v>1631.0</c:v>
                </c:pt>
                <c:pt idx="13">
                  <c:v>1620.0</c:v>
                </c:pt>
                <c:pt idx="14">
                  <c:v>1674.0</c:v>
                </c:pt>
                <c:pt idx="15">
                  <c:v>1572.0</c:v>
                </c:pt>
                <c:pt idx="16">
                  <c:v>1679.0</c:v>
                </c:pt>
                <c:pt idx="17">
                  <c:v>1550.0</c:v>
                </c:pt>
                <c:pt idx="18">
                  <c:v>1375.0</c:v>
                </c:pt>
                <c:pt idx="19">
                  <c:v>1302.0</c:v>
                </c:pt>
                <c:pt idx="20">
                  <c:v>1417.0</c:v>
                </c:pt>
                <c:pt idx="21">
                  <c:v>1267.0</c:v>
                </c:pt>
                <c:pt idx="22">
                  <c:v>1297.0</c:v>
                </c:pt>
                <c:pt idx="23">
                  <c:v>1234.0</c:v>
                </c:pt>
                <c:pt idx="24">
                  <c:v>1349.0</c:v>
                </c:pt>
                <c:pt idx="25">
                  <c:v>1099.0</c:v>
                </c:pt>
                <c:pt idx="26">
                  <c:v>1121.0</c:v>
                </c:pt>
              </c:numCache>
            </c:numRef>
          </c:val>
        </c:ser>
        <c:ser>
          <c:idx val="2"/>
          <c:order val="2"/>
          <c:tx>
            <c:strRef>
              <c:f>'All-交通方式'!$A$46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</c:numCache>
            </c:numRef>
          </c:cat>
          <c:val>
            <c:numRef>
              <c:f>'All-交通方式'!$B$46:$AB$46</c:f>
              <c:numCache>
                <c:formatCode>#,##0</c:formatCode>
                <c:ptCount val="27"/>
                <c:pt idx="0">
                  <c:v>6857.0</c:v>
                </c:pt>
                <c:pt idx="1">
                  <c:v>7380.0</c:v>
                </c:pt>
                <c:pt idx="2">
                  <c:v>6489.0</c:v>
                </c:pt>
                <c:pt idx="3">
                  <c:v>6976.0</c:v>
                </c:pt>
                <c:pt idx="4">
                  <c:v>7031.0</c:v>
                </c:pt>
                <c:pt idx="5">
                  <c:v>6878.0</c:v>
                </c:pt>
                <c:pt idx="6">
                  <c:v>6442.0</c:v>
                </c:pt>
                <c:pt idx="7">
                  <c:v>6121.0</c:v>
                </c:pt>
                <c:pt idx="8">
                  <c:v>6241.0</c:v>
                </c:pt>
                <c:pt idx="9">
                  <c:v>5798.0</c:v>
                </c:pt>
                <c:pt idx="10">
                  <c:v>5760.0</c:v>
                </c:pt>
                <c:pt idx="11">
                  <c:v>5574.0</c:v>
                </c:pt>
                <c:pt idx="12">
                  <c:v>5429.0</c:v>
                </c:pt>
                <c:pt idx="13">
                  <c:v>5829.0</c:v>
                </c:pt>
                <c:pt idx="14">
                  <c:v>5473.0</c:v>
                </c:pt>
                <c:pt idx="15">
                  <c:v>5278.0</c:v>
                </c:pt>
                <c:pt idx="16">
                  <c:v>5263.0</c:v>
                </c:pt>
                <c:pt idx="17">
                  <c:v>4873.0</c:v>
                </c:pt>
                <c:pt idx="18">
                  <c:v>3764.0</c:v>
                </c:pt>
                <c:pt idx="19">
                  <c:v>3380.0</c:v>
                </c:pt>
                <c:pt idx="20">
                  <c:v>3266.0</c:v>
                </c:pt>
                <c:pt idx="21">
                  <c:v>2907.0</c:v>
                </c:pt>
                <c:pt idx="22">
                  <c:v>2762.0</c:v>
                </c:pt>
                <c:pt idx="23">
                  <c:v>2493.0</c:v>
                </c:pt>
                <c:pt idx="24">
                  <c:v>2428.0</c:v>
                </c:pt>
                <c:pt idx="25">
                  <c:v>2408.0</c:v>
                </c:pt>
                <c:pt idx="26">
                  <c:v>2323.0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23928"/>
        <c:axId val="-2050020920"/>
      </c:areaChart>
      <c:catAx>
        <c:axId val="-205002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020920"/>
        <c:crosses val="autoZero"/>
        <c:auto val="1"/>
        <c:lblAlgn val="ctr"/>
        <c:lblOffset val="100"/>
        <c:noMultiLvlLbl val="0"/>
      </c:catAx>
      <c:valAx>
        <c:axId val="-2050020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0239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 w="38100" cmpd="sng">
      <a:solidFill>
        <a:schemeClr val="accent2"/>
      </a:solidFill>
    </a:ln>
  </c:spPr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驾龄!$A$41</c:f>
              <c:strCache>
                <c:ptCount val="1"/>
                <c:pt idx="0">
                  <c:v>a&lt;1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驾龄!$B$41:$L$41</c:f>
              <c:numCache>
                <c:formatCode>General</c:formatCode>
                <c:ptCount val="11"/>
                <c:pt idx="0">
                  <c:v>0.199925470467673</c:v>
                </c:pt>
                <c:pt idx="1">
                  <c:v>0.172717789966015</c:v>
                </c:pt>
                <c:pt idx="2">
                  <c:v>0.175279113896121</c:v>
                </c:pt>
                <c:pt idx="3">
                  <c:v>0.155383501715293</c:v>
                </c:pt>
                <c:pt idx="4">
                  <c:v>0.161669021017936</c:v>
                </c:pt>
                <c:pt idx="5">
                  <c:v>0.155751907880992</c:v>
                </c:pt>
                <c:pt idx="6">
                  <c:v>0.151158786459589</c:v>
                </c:pt>
                <c:pt idx="7">
                  <c:v>0.160010953402401</c:v>
                </c:pt>
                <c:pt idx="8">
                  <c:v>0.179771798844908</c:v>
                </c:pt>
                <c:pt idx="9">
                  <c:v>0.183690064763454</c:v>
                </c:pt>
                <c:pt idx="10">
                  <c:v>0.180846215865671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驾龄!$A$42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驾龄!$B$42:$L$42</c:f>
              <c:numCache>
                <c:formatCode>General</c:formatCode>
                <c:ptCount val="11"/>
                <c:pt idx="0">
                  <c:v>0.150598002417457</c:v>
                </c:pt>
                <c:pt idx="1">
                  <c:v>0.135864077213912</c:v>
                </c:pt>
                <c:pt idx="2">
                  <c:v>0.13756959241185</c:v>
                </c:pt>
                <c:pt idx="3">
                  <c:v>0.164085782187182</c:v>
                </c:pt>
                <c:pt idx="4">
                  <c:v>0.183849262360061</c:v>
                </c:pt>
                <c:pt idx="5">
                  <c:v>0.173399775665189</c:v>
                </c:pt>
                <c:pt idx="6">
                  <c:v>0.160555809698079</c:v>
                </c:pt>
                <c:pt idx="7">
                  <c:v>0.165116502061559</c:v>
                </c:pt>
                <c:pt idx="8">
                  <c:v>0.185460959985145</c:v>
                </c:pt>
                <c:pt idx="9">
                  <c:v>0.186804811732718</c:v>
                </c:pt>
                <c:pt idx="10">
                  <c:v>0.193787441757266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驾龄!$A$43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驾龄!$B$43:$L$43</c:f>
              <c:numCache>
                <c:formatCode>General</c:formatCode>
                <c:ptCount val="11"/>
                <c:pt idx="0">
                  <c:v>0.147242638968355</c:v>
                </c:pt>
                <c:pt idx="1">
                  <c:v>0.133614269626185</c:v>
                </c:pt>
                <c:pt idx="2">
                  <c:v>0.137486488204998</c:v>
                </c:pt>
                <c:pt idx="3">
                  <c:v>0.154059497985745</c:v>
                </c:pt>
                <c:pt idx="4">
                  <c:v>0.167840202209201</c:v>
                </c:pt>
                <c:pt idx="5">
                  <c:v>0.161878833395919</c:v>
                </c:pt>
                <c:pt idx="6">
                  <c:v>0.168917025240286</c:v>
                </c:pt>
                <c:pt idx="7">
                  <c:v>0.176436553593864</c:v>
                </c:pt>
                <c:pt idx="8">
                  <c:v>0.1934735144279</c:v>
                </c:pt>
                <c:pt idx="9">
                  <c:v>0.197858175184211</c:v>
                </c:pt>
                <c:pt idx="10">
                  <c:v>0.20256982916147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驾龄!$A$44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驾龄!$B$44:$L$44</c:f>
              <c:numCache>
                <c:formatCode>General</c:formatCode>
                <c:ptCount val="11"/>
                <c:pt idx="0">
                  <c:v>0.148497954412624</c:v>
                </c:pt>
                <c:pt idx="1">
                  <c:v>0.132330299545906</c:v>
                </c:pt>
                <c:pt idx="2">
                  <c:v>0.131798549903262</c:v>
                </c:pt>
                <c:pt idx="3">
                  <c:v>0.160969969589458</c:v>
                </c:pt>
                <c:pt idx="4">
                  <c:v>0.171475002901967</c:v>
                </c:pt>
                <c:pt idx="5">
                  <c:v>0.172542112888106</c:v>
                </c:pt>
                <c:pt idx="6">
                  <c:v>0.167251171596164</c:v>
                </c:pt>
                <c:pt idx="7">
                  <c:v>0.175074761129075</c:v>
                </c:pt>
                <c:pt idx="8">
                  <c:v>0.190758096716948</c:v>
                </c:pt>
                <c:pt idx="9">
                  <c:v>0.201761633568415</c:v>
                </c:pt>
                <c:pt idx="10">
                  <c:v>0.212929494963926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驾龄!$A$45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驾龄!$B$45:$L$45</c:f>
              <c:numCache>
                <c:formatCode>General</c:formatCode>
                <c:ptCount val="11"/>
                <c:pt idx="0">
                  <c:v>0.151520282528241</c:v>
                </c:pt>
                <c:pt idx="1">
                  <c:v>0.135255958599577</c:v>
                </c:pt>
                <c:pt idx="2">
                  <c:v>0.136611560953666</c:v>
                </c:pt>
                <c:pt idx="3">
                  <c:v>0.166512888530073</c:v>
                </c:pt>
                <c:pt idx="4">
                  <c:v>0.181040794213254</c:v>
                </c:pt>
                <c:pt idx="5">
                  <c:v>0.178197897635502</c:v>
                </c:pt>
                <c:pt idx="6">
                  <c:v>0.170157218820187</c:v>
                </c:pt>
                <c:pt idx="7">
                  <c:v>0.177562394840157</c:v>
                </c:pt>
                <c:pt idx="8">
                  <c:v>0.19844494400561</c:v>
                </c:pt>
                <c:pt idx="9">
                  <c:v>0.203193067012698</c:v>
                </c:pt>
                <c:pt idx="10">
                  <c:v>0.213615679894247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驾龄!$A$46</c:f>
              <c:strCache>
                <c:ptCount val="1"/>
                <c:pt idx="0">
                  <c:v>15&lt;a&lt;20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驾龄!$B$46:$L$46</c:f>
              <c:numCache>
                <c:formatCode>General</c:formatCode>
                <c:ptCount val="11"/>
                <c:pt idx="0">
                  <c:v>0.150124920393867</c:v>
                </c:pt>
                <c:pt idx="1">
                  <c:v>0.138685737902284</c:v>
                </c:pt>
                <c:pt idx="2">
                  <c:v>0.141352993319352</c:v>
                </c:pt>
                <c:pt idx="3">
                  <c:v>0.166731034482759</c:v>
                </c:pt>
                <c:pt idx="4">
                  <c:v>0.180003374008885</c:v>
                </c:pt>
                <c:pt idx="5">
                  <c:v>0.180968896844932</c:v>
                </c:pt>
                <c:pt idx="6">
                  <c:v>0.178032837510937</c:v>
                </c:pt>
                <c:pt idx="7">
                  <c:v>0.181643209431012</c:v>
                </c:pt>
                <c:pt idx="8">
                  <c:v>0.198285990738821</c:v>
                </c:pt>
                <c:pt idx="9">
                  <c:v>0.204752674276689</c:v>
                </c:pt>
                <c:pt idx="10">
                  <c:v>0.213766687320453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驾龄!$A$47</c:f>
              <c:strCache>
                <c:ptCount val="1"/>
                <c:pt idx="0">
                  <c:v>20&lt;a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驾龄!$B$47:$L$47</c:f>
              <c:numCache>
                <c:formatCode>General</c:formatCode>
                <c:ptCount val="11"/>
                <c:pt idx="0">
                  <c:v>0.156584697112501</c:v>
                </c:pt>
                <c:pt idx="1">
                  <c:v>0.142047361213144</c:v>
                </c:pt>
                <c:pt idx="2">
                  <c:v>0.147515667636211</c:v>
                </c:pt>
                <c:pt idx="3">
                  <c:v>0.165445665445665</c:v>
                </c:pt>
                <c:pt idx="4">
                  <c:v>0.191152263374486</c:v>
                </c:pt>
                <c:pt idx="5">
                  <c:v>0.177458033573141</c:v>
                </c:pt>
                <c:pt idx="6">
                  <c:v>0.181590228908841</c:v>
                </c:pt>
                <c:pt idx="7">
                  <c:v>0.180731648227409</c:v>
                </c:pt>
                <c:pt idx="8">
                  <c:v>0.210970847334484</c:v>
                </c:pt>
                <c:pt idx="9">
                  <c:v>0.222913829994165</c:v>
                </c:pt>
                <c:pt idx="10">
                  <c:v>0.218654981219818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06008"/>
        <c:axId val="-2087910056"/>
      </c:lineChart>
      <c:catAx>
        <c:axId val="-208790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910056"/>
        <c:crosses val="autoZero"/>
        <c:auto val="1"/>
        <c:lblAlgn val="ctr"/>
        <c:lblOffset val="100"/>
        <c:noMultiLvlLbl val="0"/>
      </c:catAx>
      <c:valAx>
        <c:axId val="-208791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0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驾龄!$B$50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驾龄!$A$51:$A$57</c:f>
              <c:strCache>
                <c:ptCount val="7"/>
                <c:pt idx="0">
                  <c:v>5&lt;a&lt;10</c:v>
                </c:pt>
                <c:pt idx="1">
                  <c:v>1&lt;a&lt;3</c:v>
                </c:pt>
                <c:pt idx="2">
                  <c:v>10&lt;a&lt;15</c:v>
                </c:pt>
                <c:pt idx="3">
                  <c:v>3&lt;a&lt;5</c:v>
                </c:pt>
                <c:pt idx="4">
                  <c:v>a&lt;1</c:v>
                </c:pt>
                <c:pt idx="5">
                  <c:v>15&lt;a&lt;20</c:v>
                </c:pt>
                <c:pt idx="6">
                  <c:v>20&lt;a</c:v>
                </c:pt>
              </c:strCache>
            </c:strRef>
          </c:cat>
          <c:val>
            <c:numRef>
              <c:f>驾龄!$B$51:$B$57</c:f>
              <c:numCache>
                <c:formatCode>General</c:formatCode>
                <c:ptCount val="7"/>
                <c:pt idx="0">
                  <c:v>14904.0</c:v>
                </c:pt>
                <c:pt idx="1">
                  <c:v>8734.0</c:v>
                </c:pt>
                <c:pt idx="2">
                  <c:v>8403.0</c:v>
                </c:pt>
                <c:pt idx="3">
                  <c:v>6984.0</c:v>
                </c:pt>
                <c:pt idx="4">
                  <c:v>5159.0</c:v>
                </c:pt>
                <c:pt idx="5">
                  <c:v>3795.0</c:v>
                </c:pt>
                <c:pt idx="6">
                  <c:v>2445.0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939080"/>
        <c:axId val="-2087936104"/>
      </c:barChart>
      <c:catAx>
        <c:axId val="-208793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36104"/>
        <c:crosses val="autoZero"/>
        <c:auto val="1"/>
        <c:lblAlgn val="ctr"/>
        <c:lblOffset val="100"/>
        <c:noMultiLvlLbl val="0"/>
      </c:catAx>
      <c:valAx>
        <c:axId val="-208793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3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死亡数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驾龄!$A$62</c:f>
              <c:strCache>
                <c:ptCount val="1"/>
                <c:pt idx="0">
                  <c:v>5&lt;a&lt;10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驾龄!$B$62:$L$62</c:f>
              <c:numCache>
                <c:formatCode>General</c:formatCode>
                <c:ptCount val="11"/>
                <c:pt idx="0">
                  <c:v>6352.0</c:v>
                </c:pt>
                <c:pt idx="1">
                  <c:v>6790.0</c:v>
                </c:pt>
                <c:pt idx="2">
                  <c:v>6744.0</c:v>
                </c:pt>
                <c:pt idx="3">
                  <c:v>20326.0</c:v>
                </c:pt>
                <c:pt idx="4">
                  <c:v>19204.0</c:v>
                </c:pt>
                <c:pt idx="5">
                  <c:v>18222.0</c:v>
                </c:pt>
                <c:pt idx="6">
                  <c:v>16167.0</c:v>
                </c:pt>
                <c:pt idx="7">
                  <c:v>14402.0</c:v>
                </c:pt>
                <c:pt idx="8">
                  <c:v>13759.0</c:v>
                </c:pt>
                <c:pt idx="9">
                  <c:v>13675.0</c:v>
                </c:pt>
                <c:pt idx="10">
                  <c:v>14904.0</c:v>
                </c:pt>
              </c:numCache>
            </c:numRef>
          </c:val>
        </c:ser>
        <c:ser>
          <c:idx val="1"/>
          <c:order val="1"/>
          <c:tx>
            <c:strRef>
              <c:f>驾龄!$A$63</c:f>
              <c:strCache>
                <c:ptCount val="1"/>
                <c:pt idx="0">
                  <c:v>1&lt;a&lt;3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驾龄!$B$63:$L$63</c:f>
              <c:numCache>
                <c:formatCode>General</c:formatCode>
                <c:ptCount val="11"/>
                <c:pt idx="0">
                  <c:v>9469.0</c:v>
                </c:pt>
                <c:pt idx="1">
                  <c:v>11571.0</c:v>
                </c:pt>
                <c:pt idx="2">
                  <c:v>12009.0</c:v>
                </c:pt>
                <c:pt idx="3">
                  <c:v>17399.0</c:v>
                </c:pt>
                <c:pt idx="4">
                  <c:v>19017.0</c:v>
                </c:pt>
                <c:pt idx="5">
                  <c:v>18860.0</c:v>
                </c:pt>
                <c:pt idx="6">
                  <c:v>14039.0</c:v>
                </c:pt>
                <c:pt idx="7">
                  <c:v>12054.0</c:v>
                </c:pt>
                <c:pt idx="8">
                  <c:v>9988.0</c:v>
                </c:pt>
                <c:pt idx="9">
                  <c:v>9069.0</c:v>
                </c:pt>
                <c:pt idx="10">
                  <c:v>8734.0</c:v>
                </c:pt>
              </c:numCache>
            </c:numRef>
          </c:val>
        </c:ser>
        <c:ser>
          <c:idx val="2"/>
          <c:order val="2"/>
          <c:tx>
            <c:strRef>
              <c:f>驾龄!$A$64</c:f>
              <c:strCache>
                <c:ptCount val="1"/>
                <c:pt idx="0">
                  <c:v>10&lt;a&lt;15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驾龄!$B$64:$L$64</c:f>
              <c:numCache>
                <c:formatCode>General</c:formatCode>
                <c:ptCount val="11"/>
                <c:pt idx="0">
                  <c:v>6264.0</c:v>
                </c:pt>
                <c:pt idx="1">
                  <c:v>5567.0</c:v>
                </c:pt>
                <c:pt idx="2">
                  <c:v>4859.0</c:v>
                </c:pt>
                <c:pt idx="3">
                  <c:v>5775.0</c:v>
                </c:pt>
                <c:pt idx="4">
                  <c:v>6182.0</c:v>
                </c:pt>
                <c:pt idx="5">
                  <c:v>6730.0</c:v>
                </c:pt>
                <c:pt idx="6">
                  <c:v>8864.0</c:v>
                </c:pt>
                <c:pt idx="7">
                  <c:v>10131.0</c:v>
                </c:pt>
                <c:pt idx="8">
                  <c:v>9622.0</c:v>
                </c:pt>
                <c:pt idx="9">
                  <c:v>8769.0</c:v>
                </c:pt>
                <c:pt idx="10">
                  <c:v>8403.0</c:v>
                </c:pt>
              </c:numCache>
            </c:numRef>
          </c:val>
        </c:ser>
        <c:ser>
          <c:idx val="3"/>
          <c:order val="3"/>
          <c:tx>
            <c:strRef>
              <c:f>驾龄!$A$65</c:f>
              <c:strCache>
                <c:ptCount val="1"/>
                <c:pt idx="0">
                  <c:v>3&lt;a&lt;5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驾龄!$B$65:$L$65</c:f>
              <c:numCache>
                <c:formatCode>General</c:formatCode>
                <c:ptCount val="11"/>
                <c:pt idx="0">
                  <c:v>6691.0</c:v>
                </c:pt>
                <c:pt idx="1">
                  <c:v>7356.0</c:v>
                </c:pt>
                <c:pt idx="2">
                  <c:v>8649.0</c:v>
                </c:pt>
                <c:pt idx="3">
                  <c:v>9943.0</c:v>
                </c:pt>
                <c:pt idx="4">
                  <c:v>10226.0</c:v>
                </c:pt>
                <c:pt idx="5">
                  <c:v>10346.0</c:v>
                </c:pt>
                <c:pt idx="6">
                  <c:v>10246.0</c:v>
                </c:pt>
                <c:pt idx="7">
                  <c:v>10673.0</c:v>
                </c:pt>
                <c:pt idx="8">
                  <c:v>9836.0</c:v>
                </c:pt>
                <c:pt idx="9">
                  <c:v>8351.0</c:v>
                </c:pt>
                <c:pt idx="10">
                  <c:v>6984.0</c:v>
                </c:pt>
              </c:numCache>
            </c:numRef>
          </c:val>
        </c:ser>
        <c:ser>
          <c:idx val="4"/>
          <c:order val="4"/>
          <c:tx>
            <c:strRef>
              <c:f>驾龄!$A$66</c:f>
              <c:strCache>
                <c:ptCount val="1"/>
                <c:pt idx="0">
                  <c:v>a&lt;1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驾龄!$B$66:$L$66</c:f>
              <c:numCache>
                <c:formatCode>General</c:formatCode>
                <c:ptCount val="11"/>
                <c:pt idx="0">
                  <c:v>6438.0</c:v>
                </c:pt>
                <c:pt idx="1">
                  <c:v>5133.0</c:v>
                </c:pt>
                <c:pt idx="2">
                  <c:v>3972.0</c:v>
                </c:pt>
                <c:pt idx="3">
                  <c:v>14811.0</c:v>
                </c:pt>
                <c:pt idx="4">
                  <c:v>15107.0</c:v>
                </c:pt>
                <c:pt idx="5">
                  <c:v>12674.0</c:v>
                </c:pt>
                <c:pt idx="6">
                  <c:v>8779.0</c:v>
                </c:pt>
                <c:pt idx="7">
                  <c:v>7012.0</c:v>
                </c:pt>
                <c:pt idx="8">
                  <c:v>6381.0</c:v>
                </c:pt>
                <c:pt idx="9">
                  <c:v>6325.0</c:v>
                </c:pt>
                <c:pt idx="10">
                  <c:v>5159.0</c:v>
                </c:pt>
              </c:numCache>
            </c:numRef>
          </c:val>
        </c:ser>
        <c:ser>
          <c:idx val="5"/>
          <c:order val="5"/>
          <c:tx>
            <c:strRef>
              <c:f>驾龄!$A$67</c:f>
              <c:strCache>
                <c:ptCount val="1"/>
                <c:pt idx="0">
                  <c:v>15&lt;a&lt;20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驾龄!$B$67:$L$67</c:f>
              <c:numCache>
                <c:formatCode>General</c:formatCode>
                <c:ptCount val="11"/>
                <c:pt idx="0">
                  <c:v>6129.0</c:v>
                </c:pt>
                <c:pt idx="1">
                  <c:v>7718.0</c:v>
                </c:pt>
                <c:pt idx="2">
                  <c:v>6538.0</c:v>
                </c:pt>
                <c:pt idx="3">
                  <c:v>3022.0</c:v>
                </c:pt>
                <c:pt idx="4">
                  <c:v>3201.0</c:v>
                </c:pt>
                <c:pt idx="5">
                  <c:v>3235.0</c:v>
                </c:pt>
                <c:pt idx="6">
                  <c:v>3459.0</c:v>
                </c:pt>
                <c:pt idx="7">
                  <c:v>3020.0</c:v>
                </c:pt>
                <c:pt idx="8">
                  <c:v>2869.0</c:v>
                </c:pt>
                <c:pt idx="9">
                  <c:v>2852.0</c:v>
                </c:pt>
                <c:pt idx="10">
                  <c:v>3795.0</c:v>
                </c:pt>
              </c:numCache>
            </c:numRef>
          </c:val>
        </c:ser>
        <c:ser>
          <c:idx val="6"/>
          <c:order val="6"/>
          <c:tx>
            <c:strRef>
              <c:f>驾龄!$A$68</c:f>
              <c:strCache>
                <c:ptCount val="1"/>
                <c:pt idx="0">
                  <c:v>20&lt;a</c:v>
                </c:pt>
              </c:strCache>
            </c:strRef>
          </c:tx>
          <c:cat>
            <c:numRef>
              <c:f>驾龄!$B$61:$L$61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驾龄!$B$68:$L$68</c:f>
              <c:numCache>
                <c:formatCode>General</c:formatCode>
                <c:ptCount val="11"/>
                <c:pt idx="0">
                  <c:v>10965.0</c:v>
                </c:pt>
                <c:pt idx="1">
                  <c:v>15662.0</c:v>
                </c:pt>
                <c:pt idx="2">
                  <c:v>19678.0</c:v>
                </c:pt>
                <c:pt idx="3">
                  <c:v>1897.0</c:v>
                </c:pt>
                <c:pt idx="4">
                  <c:v>1858.0</c:v>
                </c:pt>
                <c:pt idx="5">
                  <c:v>1702.0</c:v>
                </c:pt>
                <c:pt idx="6">
                  <c:v>2245.0</c:v>
                </c:pt>
                <c:pt idx="7">
                  <c:v>2238.0</c:v>
                </c:pt>
                <c:pt idx="8">
                  <c:v>2323.0</c:v>
                </c:pt>
                <c:pt idx="9">
                  <c:v>2292.0</c:v>
                </c:pt>
                <c:pt idx="10">
                  <c:v>2445.0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15800"/>
        <c:axId val="-2088018424"/>
      </c:areaChart>
      <c:catAx>
        <c:axId val="-208801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018424"/>
        <c:crosses val="autoZero"/>
        <c:auto val="1"/>
        <c:lblAlgn val="ctr"/>
        <c:lblOffset val="100"/>
        <c:noMultiLvlLbl val="0"/>
      </c:catAx>
      <c:valAx>
        <c:axId val="-2088018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015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驾龄!$A$32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驾龄!$B$32:$L$32</c:f>
              <c:numCache>
                <c:formatCode>General</c:formatCode>
                <c:ptCount val="11"/>
                <c:pt idx="0">
                  <c:v>0.762022493697886</c:v>
                </c:pt>
                <c:pt idx="1">
                  <c:v>0.7952972816495</c:v>
                </c:pt>
                <c:pt idx="2">
                  <c:v>0.81199188882481</c:v>
                </c:pt>
                <c:pt idx="3">
                  <c:v>0.828866011615818</c:v>
                </c:pt>
                <c:pt idx="4">
                  <c:v>1.079334272447436</c:v>
                </c:pt>
                <c:pt idx="5">
                  <c:v>1.204989862956028</c:v>
                </c:pt>
                <c:pt idx="6">
                  <c:v>1.344879031637879</c:v>
                </c:pt>
                <c:pt idx="7">
                  <c:v>1.38965983286696</c:v>
                </c:pt>
                <c:pt idx="8">
                  <c:v>1.398940177156662</c:v>
                </c:pt>
                <c:pt idx="9">
                  <c:v>1.405640164456541</c:v>
                </c:pt>
                <c:pt idx="10">
                  <c:v>1.436173602702186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驾龄!$A$33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驾龄!$B$33:$L$33</c:f>
              <c:numCache>
                <c:formatCode>General</c:formatCode>
                <c:ptCount val="11"/>
                <c:pt idx="0">
                  <c:v>0.724025301531157</c:v>
                </c:pt>
                <c:pt idx="1">
                  <c:v>0.776359764782198</c:v>
                </c:pt>
                <c:pt idx="2">
                  <c:v>0.792991302155553</c:v>
                </c:pt>
                <c:pt idx="3">
                  <c:v>0.792115663123788</c:v>
                </c:pt>
                <c:pt idx="4">
                  <c:v>1.06955147897832</c:v>
                </c:pt>
                <c:pt idx="5">
                  <c:v>1.197818468054801</c:v>
                </c:pt>
                <c:pt idx="6">
                  <c:v>1.336675554772031</c:v>
                </c:pt>
                <c:pt idx="7">
                  <c:v>1.378860750837683</c:v>
                </c:pt>
                <c:pt idx="8">
                  <c:v>1.393995064436523</c:v>
                </c:pt>
                <c:pt idx="9">
                  <c:v>1.400969230258572</c:v>
                </c:pt>
                <c:pt idx="10">
                  <c:v>1.404701760104303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驾龄!$A$34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驾龄!$B$34:$L$34</c:f>
              <c:numCache>
                <c:formatCode>General</c:formatCode>
                <c:ptCount val="11"/>
                <c:pt idx="0">
                  <c:v>0.71401148427589</c:v>
                </c:pt>
                <c:pt idx="1">
                  <c:v>0.74472778995341</c:v>
                </c:pt>
                <c:pt idx="2">
                  <c:v>0.762101218313425</c:v>
                </c:pt>
                <c:pt idx="3">
                  <c:v>0.788145854919046</c:v>
                </c:pt>
                <c:pt idx="4">
                  <c:v>1.068696681107697</c:v>
                </c:pt>
                <c:pt idx="5">
                  <c:v>1.225816561041855</c:v>
                </c:pt>
                <c:pt idx="6">
                  <c:v>1.348553969781944</c:v>
                </c:pt>
                <c:pt idx="7">
                  <c:v>1.375388730981441</c:v>
                </c:pt>
                <c:pt idx="8">
                  <c:v>1.406771727258543</c:v>
                </c:pt>
                <c:pt idx="9">
                  <c:v>1.409486971530767</c:v>
                </c:pt>
                <c:pt idx="10">
                  <c:v>1.439337857289739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驾龄!$A$35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驾龄!$B$35:$L$35</c:f>
              <c:numCache>
                <c:formatCode>General</c:formatCode>
                <c:ptCount val="11"/>
                <c:pt idx="0">
                  <c:v>0.692096496074197</c:v>
                </c:pt>
                <c:pt idx="1">
                  <c:v>0.746933072009291</c:v>
                </c:pt>
                <c:pt idx="2">
                  <c:v>0.746740568117402</c:v>
                </c:pt>
                <c:pt idx="3">
                  <c:v>0.859891404061191</c:v>
                </c:pt>
                <c:pt idx="4">
                  <c:v>1.126331761058152</c:v>
                </c:pt>
                <c:pt idx="5">
                  <c:v>1.237491398800747</c:v>
                </c:pt>
                <c:pt idx="6">
                  <c:v>1.353205527847049</c:v>
                </c:pt>
                <c:pt idx="7">
                  <c:v>1.428864791765796</c:v>
                </c:pt>
                <c:pt idx="8">
                  <c:v>1.425333646892821</c:v>
                </c:pt>
                <c:pt idx="9">
                  <c:v>1.462221318696212</c:v>
                </c:pt>
                <c:pt idx="10">
                  <c:v>1.453588057054172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驾龄!$A$38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驾龄!$B$38:$L$38</c:f>
              <c:numCache>
                <c:formatCode>General</c:formatCode>
                <c:ptCount val="11"/>
                <c:pt idx="0">
                  <c:v>0.830791074458929</c:v>
                </c:pt>
                <c:pt idx="1">
                  <c:v>0.864218545300887</c:v>
                </c:pt>
                <c:pt idx="2">
                  <c:v>0.868481265286747</c:v>
                </c:pt>
                <c:pt idx="3">
                  <c:v>0.89668872386357</c:v>
                </c:pt>
                <c:pt idx="4">
                  <c:v>1.135264506486911</c:v>
                </c:pt>
                <c:pt idx="5">
                  <c:v>1.26295157844239</c:v>
                </c:pt>
                <c:pt idx="6">
                  <c:v>1.374393118979041</c:v>
                </c:pt>
                <c:pt idx="7">
                  <c:v>1.412219712782961</c:v>
                </c:pt>
                <c:pt idx="8">
                  <c:v>1.426837453432075</c:v>
                </c:pt>
                <c:pt idx="9">
                  <c:v>1.438567490801381</c:v>
                </c:pt>
                <c:pt idx="10">
                  <c:v>1.454530546052542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79976"/>
        <c:axId val="-2088077064"/>
      </c:lineChart>
      <c:lineChart>
        <c:grouping val="standard"/>
        <c:varyColors val="0"/>
        <c:ser>
          <c:idx val="8"/>
          <c:order val="5"/>
          <c:tx>
            <c:strRef>
              <c:f>驾龄!$A$39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驾龄!$B$30:$L$30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驾龄!$B$39:$L$39</c:f>
              <c:numCache>
                <c:formatCode>General</c:formatCode>
                <c:ptCount val="11"/>
                <c:pt idx="0">
                  <c:v>456102.0</c:v>
                </c:pt>
                <c:pt idx="1">
                  <c:v>551642.0</c:v>
                </c:pt>
                <c:pt idx="2">
                  <c:v>559053.0</c:v>
                </c:pt>
                <c:pt idx="3">
                  <c:v>556831.0</c:v>
                </c:pt>
                <c:pt idx="4">
                  <c:v>393674.0</c:v>
                </c:pt>
                <c:pt idx="5">
                  <c:v>346442.0</c:v>
                </c:pt>
                <c:pt idx="6">
                  <c:v>285041.0</c:v>
                </c:pt>
                <c:pt idx="7">
                  <c:v>247133.0</c:v>
                </c:pt>
                <c:pt idx="8">
                  <c:v>202607.0</c:v>
                </c:pt>
                <c:pt idx="9">
                  <c:v>182277.0</c:v>
                </c:pt>
                <c:pt idx="10">
                  <c:v>170041.0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91544"/>
        <c:axId val="-2088086136"/>
      </c:lineChart>
      <c:catAx>
        <c:axId val="-208807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077064"/>
        <c:crosses val="autoZero"/>
        <c:auto val="1"/>
        <c:lblAlgn val="ctr"/>
        <c:lblOffset val="100"/>
        <c:noMultiLvlLbl val="0"/>
      </c:catAx>
      <c:valAx>
        <c:axId val="-2088077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079976"/>
        <c:crosses val="autoZero"/>
        <c:crossBetween val="between"/>
      </c:valAx>
      <c:valAx>
        <c:axId val="-2088086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8091544"/>
        <c:crosses val="max"/>
        <c:crossBetween val="between"/>
      </c:valAx>
      <c:catAx>
        <c:axId val="-208809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80861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驾龄!$A$42</c:f>
              <c:strCache>
                <c:ptCount val="1"/>
                <c:pt idx="0">
                  <c:v>1&lt;a&lt;3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驾龄!$B$42:$L$42</c:f>
              <c:numCache>
                <c:formatCode>General</c:formatCode>
                <c:ptCount val="11"/>
                <c:pt idx="0">
                  <c:v>0.150598002417457</c:v>
                </c:pt>
                <c:pt idx="1">
                  <c:v>0.135864077213912</c:v>
                </c:pt>
                <c:pt idx="2">
                  <c:v>0.13756959241185</c:v>
                </c:pt>
                <c:pt idx="3">
                  <c:v>0.164085782187182</c:v>
                </c:pt>
                <c:pt idx="4">
                  <c:v>0.183849262360061</c:v>
                </c:pt>
                <c:pt idx="5">
                  <c:v>0.173399775665189</c:v>
                </c:pt>
                <c:pt idx="6">
                  <c:v>0.160555809698079</c:v>
                </c:pt>
                <c:pt idx="7">
                  <c:v>0.165116502061559</c:v>
                </c:pt>
                <c:pt idx="8">
                  <c:v>0.185460959985145</c:v>
                </c:pt>
                <c:pt idx="9">
                  <c:v>0.186804811732718</c:v>
                </c:pt>
                <c:pt idx="10">
                  <c:v>0.193787441757266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驾龄!$A$43</c:f>
              <c:strCache>
                <c:ptCount val="1"/>
                <c:pt idx="0">
                  <c:v>3&lt;a&lt;5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驾龄!$B$43:$L$43</c:f>
              <c:numCache>
                <c:formatCode>General</c:formatCode>
                <c:ptCount val="11"/>
                <c:pt idx="0">
                  <c:v>0.147242638968355</c:v>
                </c:pt>
                <c:pt idx="1">
                  <c:v>0.133614269626185</c:v>
                </c:pt>
                <c:pt idx="2">
                  <c:v>0.137486488204998</c:v>
                </c:pt>
                <c:pt idx="3">
                  <c:v>0.154059497985745</c:v>
                </c:pt>
                <c:pt idx="4">
                  <c:v>0.167840202209201</c:v>
                </c:pt>
                <c:pt idx="5">
                  <c:v>0.161878833395919</c:v>
                </c:pt>
                <c:pt idx="6">
                  <c:v>0.168917025240286</c:v>
                </c:pt>
                <c:pt idx="7">
                  <c:v>0.176436553593864</c:v>
                </c:pt>
                <c:pt idx="8">
                  <c:v>0.1934735144279</c:v>
                </c:pt>
                <c:pt idx="9">
                  <c:v>0.197858175184211</c:v>
                </c:pt>
                <c:pt idx="10">
                  <c:v>0.20256982916147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驾龄!$A$44</c:f>
              <c:strCache>
                <c:ptCount val="1"/>
                <c:pt idx="0">
                  <c:v>5&lt;a&lt;10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驾龄!$B$44:$L$44</c:f>
              <c:numCache>
                <c:formatCode>General</c:formatCode>
                <c:ptCount val="11"/>
                <c:pt idx="0">
                  <c:v>0.148497954412624</c:v>
                </c:pt>
                <c:pt idx="1">
                  <c:v>0.132330299545906</c:v>
                </c:pt>
                <c:pt idx="2">
                  <c:v>0.131798549903262</c:v>
                </c:pt>
                <c:pt idx="3">
                  <c:v>0.160969969589458</c:v>
                </c:pt>
                <c:pt idx="4">
                  <c:v>0.171475002901967</c:v>
                </c:pt>
                <c:pt idx="5">
                  <c:v>0.172542112888106</c:v>
                </c:pt>
                <c:pt idx="6">
                  <c:v>0.167251171596164</c:v>
                </c:pt>
                <c:pt idx="7">
                  <c:v>0.175074761129075</c:v>
                </c:pt>
                <c:pt idx="8">
                  <c:v>0.190758096716948</c:v>
                </c:pt>
                <c:pt idx="9">
                  <c:v>0.201761633568415</c:v>
                </c:pt>
                <c:pt idx="10">
                  <c:v>0.212929494963926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驾龄!$A$45</c:f>
              <c:strCache>
                <c:ptCount val="1"/>
                <c:pt idx="0">
                  <c:v>10&lt;a&lt;15</c:v>
                </c:pt>
              </c:strCache>
            </c:strRef>
          </c:tx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驾龄!$B$45:$L$45</c:f>
              <c:numCache>
                <c:formatCode>General</c:formatCode>
                <c:ptCount val="11"/>
                <c:pt idx="0">
                  <c:v>0.151520282528241</c:v>
                </c:pt>
                <c:pt idx="1">
                  <c:v>0.135255958599577</c:v>
                </c:pt>
                <c:pt idx="2">
                  <c:v>0.136611560953666</c:v>
                </c:pt>
                <c:pt idx="3">
                  <c:v>0.166512888530073</c:v>
                </c:pt>
                <c:pt idx="4">
                  <c:v>0.181040794213254</c:v>
                </c:pt>
                <c:pt idx="5">
                  <c:v>0.178197897635502</c:v>
                </c:pt>
                <c:pt idx="6">
                  <c:v>0.170157218820187</c:v>
                </c:pt>
                <c:pt idx="7">
                  <c:v>0.177562394840157</c:v>
                </c:pt>
                <c:pt idx="8">
                  <c:v>0.19844494400561</c:v>
                </c:pt>
                <c:pt idx="9">
                  <c:v>0.203193067012698</c:v>
                </c:pt>
                <c:pt idx="10">
                  <c:v>0.213615679894247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驾龄!$A$48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驾龄!$B$40:$L$40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驾龄!$B$48:$L$48</c:f>
              <c:numCache>
                <c:formatCode>General</c:formatCode>
                <c:ptCount val="11"/>
                <c:pt idx="0">
                  <c:v>0.183101366827034</c:v>
                </c:pt>
                <c:pt idx="1">
                  <c:v>0.16236597870987</c:v>
                </c:pt>
                <c:pt idx="2">
                  <c:v>0.162901460261671</c:v>
                </c:pt>
                <c:pt idx="3">
                  <c:v>0.174375904274692</c:v>
                </c:pt>
                <c:pt idx="4">
                  <c:v>0.182122015644427</c:v>
                </c:pt>
                <c:pt idx="5">
                  <c:v>0.17363610944537</c:v>
                </c:pt>
                <c:pt idx="6">
                  <c:v>0.1718325604982</c:v>
                </c:pt>
                <c:pt idx="7">
                  <c:v>0.176694633740973</c:v>
                </c:pt>
                <c:pt idx="8">
                  <c:v>0.194195077734585</c:v>
                </c:pt>
                <c:pt idx="9">
                  <c:v>0.197614936829948</c:v>
                </c:pt>
                <c:pt idx="10">
                  <c:v>0.204274976511118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43912"/>
        <c:axId val="-2088140856"/>
      </c:lineChart>
      <c:catAx>
        <c:axId val="-208814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140856"/>
        <c:crosses val="autoZero"/>
        <c:auto val="1"/>
        <c:lblAlgn val="ctr"/>
        <c:lblOffset val="100"/>
        <c:noMultiLvlLbl val="0"/>
      </c:catAx>
      <c:valAx>
        <c:axId val="-2088140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1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年龄!$N$7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年龄!$O$7:$Y$7</c:f>
              <c:numCache>
                <c:formatCode>General</c:formatCode>
                <c:ptCount val="11"/>
                <c:pt idx="0">
                  <c:v>0.860968455616622</c:v>
                </c:pt>
                <c:pt idx="1">
                  <c:v>0.892328663774627</c:v>
                </c:pt>
                <c:pt idx="2">
                  <c:v>0.897168686582782</c:v>
                </c:pt>
                <c:pt idx="3">
                  <c:v>0.944957375274536</c:v>
                </c:pt>
                <c:pt idx="4">
                  <c:v>1.167931127253161</c:v>
                </c:pt>
                <c:pt idx="5">
                  <c:v>1.282053775465552</c:v>
                </c:pt>
                <c:pt idx="6">
                  <c:v>1.399092302251562</c:v>
                </c:pt>
                <c:pt idx="7">
                  <c:v>1.437513127494224</c:v>
                </c:pt>
                <c:pt idx="8">
                  <c:v>1.455259633983038</c:v>
                </c:pt>
                <c:pt idx="9">
                  <c:v>1.450067321270237</c:v>
                </c:pt>
                <c:pt idx="10">
                  <c:v>1.463056888279643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年龄!$N$8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年龄!$O$8:$Y$8</c:f>
              <c:numCache>
                <c:formatCode>General</c:formatCode>
                <c:ptCount val="11"/>
                <c:pt idx="0">
                  <c:v>0.827010844840996</c:v>
                </c:pt>
                <c:pt idx="1">
                  <c:v>0.85269363918426</c:v>
                </c:pt>
                <c:pt idx="2">
                  <c:v>0.854664877549645</c:v>
                </c:pt>
                <c:pt idx="3">
                  <c:v>0.896810281481037</c:v>
                </c:pt>
                <c:pt idx="4">
                  <c:v>1.126451313037416</c:v>
                </c:pt>
                <c:pt idx="5">
                  <c:v>1.245068745382978</c:v>
                </c:pt>
                <c:pt idx="6">
                  <c:v>1.360727170500867</c:v>
                </c:pt>
                <c:pt idx="7">
                  <c:v>1.401903965645011</c:v>
                </c:pt>
                <c:pt idx="8">
                  <c:v>1.410586618849118</c:v>
                </c:pt>
                <c:pt idx="9">
                  <c:v>1.431464297988209</c:v>
                </c:pt>
                <c:pt idx="10">
                  <c:v>1.437545209918694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年龄!$N$9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年龄!$O$9:$Y$9</c:f>
              <c:numCache>
                <c:formatCode>General</c:formatCode>
                <c:ptCount val="11"/>
                <c:pt idx="0">
                  <c:v>0.82063281177277</c:v>
                </c:pt>
                <c:pt idx="1">
                  <c:v>0.845146590718713</c:v>
                </c:pt>
                <c:pt idx="2">
                  <c:v>0.843750197748515</c:v>
                </c:pt>
                <c:pt idx="3">
                  <c:v>0.873739480687621</c:v>
                </c:pt>
                <c:pt idx="4">
                  <c:v>1.124941426235309</c:v>
                </c:pt>
                <c:pt idx="5">
                  <c:v>1.245224266248537</c:v>
                </c:pt>
                <c:pt idx="6">
                  <c:v>1.369876134142711</c:v>
                </c:pt>
                <c:pt idx="7">
                  <c:v>1.408775652394223</c:v>
                </c:pt>
                <c:pt idx="8">
                  <c:v>1.423443842334082</c:v>
                </c:pt>
                <c:pt idx="9">
                  <c:v>1.433573211213685</c:v>
                </c:pt>
                <c:pt idx="10">
                  <c:v>1.447428650213705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年龄!$N$10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年龄!$O$10:$Y$10</c:f>
              <c:numCache>
                <c:formatCode>General</c:formatCode>
                <c:ptCount val="11"/>
                <c:pt idx="0">
                  <c:v>0.782163038671318</c:v>
                </c:pt>
                <c:pt idx="1">
                  <c:v>0.834571070566303</c:v>
                </c:pt>
                <c:pt idx="2">
                  <c:v>0.844334932147871</c:v>
                </c:pt>
                <c:pt idx="3">
                  <c:v>0.870555898068228</c:v>
                </c:pt>
                <c:pt idx="4">
                  <c:v>1.13102620062124</c:v>
                </c:pt>
                <c:pt idx="5">
                  <c:v>1.256801113386902</c:v>
                </c:pt>
                <c:pt idx="6">
                  <c:v>1.364856674009136</c:v>
                </c:pt>
                <c:pt idx="7">
                  <c:v>1.40515604703061</c:v>
                </c:pt>
                <c:pt idx="8">
                  <c:v>1.426473233019603</c:v>
                </c:pt>
                <c:pt idx="9">
                  <c:v>1.438433342383926</c:v>
                </c:pt>
                <c:pt idx="10">
                  <c:v>1.457385571193102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年龄!$N$11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年龄!$O$11:$Y$11</c:f>
              <c:numCache>
                <c:formatCode>General</c:formatCode>
                <c:ptCount val="11"/>
                <c:pt idx="0">
                  <c:v>0.7550091789183</c:v>
                </c:pt>
                <c:pt idx="1">
                  <c:v>0.80168275862069</c:v>
                </c:pt>
                <c:pt idx="2">
                  <c:v>0.817258955319239</c:v>
                </c:pt>
                <c:pt idx="3">
                  <c:v>0.816204614022185</c:v>
                </c:pt>
                <c:pt idx="4">
                  <c:v>1.079027684972821</c:v>
                </c:pt>
                <c:pt idx="5">
                  <c:v>1.260439959482446</c:v>
                </c:pt>
                <c:pt idx="6">
                  <c:v>1.368607636200644</c:v>
                </c:pt>
                <c:pt idx="7">
                  <c:v>1.399847859161052</c:v>
                </c:pt>
                <c:pt idx="8">
                  <c:v>1.425078570287114</c:v>
                </c:pt>
                <c:pt idx="9">
                  <c:v>1.434988747186797</c:v>
                </c:pt>
                <c:pt idx="10">
                  <c:v>1.461347116782426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05016"/>
        <c:axId val="-2088211928"/>
      </c:lineChart>
      <c:catAx>
        <c:axId val="-208820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211928"/>
        <c:crosses val="autoZero"/>
        <c:auto val="1"/>
        <c:lblAlgn val="ctr"/>
        <c:lblOffset val="100"/>
        <c:noMultiLvlLbl val="0"/>
      </c:catAx>
      <c:valAx>
        <c:axId val="-2088211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205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91776027996"/>
          <c:y val="0.0488425925925926"/>
          <c:w val="0.142926045016077"/>
          <c:h val="0.40472053235959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年龄!$N$25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年龄!$O$25:$Y$25</c:f>
              <c:numCache>
                <c:formatCode>General</c:formatCode>
                <c:ptCount val="11"/>
                <c:pt idx="0">
                  <c:v>0.172424217759846</c:v>
                </c:pt>
                <c:pt idx="1">
                  <c:v>0.153022107356629</c:v>
                </c:pt>
                <c:pt idx="2">
                  <c:v>0.151520076481836</c:v>
                </c:pt>
                <c:pt idx="3">
                  <c:v>0.167046693764251</c:v>
                </c:pt>
                <c:pt idx="4">
                  <c:v>0.174617617248687</c:v>
                </c:pt>
                <c:pt idx="5">
                  <c:v>0.169612156148867</c:v>
                </c:pt>
                <c:pt idx="6">
                  <c:v>0.173203578098889</c:v>
                </c:pt>
                <c:pt idx="7">
                  <c:v>0.178225858822001</c:v>
                </c:pt>
                <c:pt idx="8">
                  <c:v>0.195893996401112</c:v>
                </c:pt>
                <c:pt idx="9">
                  <c:v>0.193473140683033</c:v>
                </c:pt>
                <c:pt idx="10">
                  <c:v>0.199030263281177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年龄!$N$26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年龄!$O$26:$Y$26</c:f>
              <c:numCache>
                <c:formatCode>General</c:formatCode>
                <c:ptCount val="11"/>
                <c:pt idx="0">
                  <c:v>0.173223316475912</c:v>
                </c:pt>
                <c:pt idx="1">
                  <c:v>0.152977405274282</c:v>
                </c:pt>
                <c:pt idx="2">
                  <c:v>0.155811569371062</c:v>
                </c:pt>
                <c:pt idx="3">
                  <c:v>0.169300357847564</c:v>
                </c:pt>
                <c:pt idx="4">
                  <c:v>0.195274719833633</c:v>
                </c:pt>
                <c:pt idx="5">
                  <c:v>0.188091105522298</c:v>
                </c:pt>
                <c:pt idx="6">
                  <c:v>0.17635378647017</c:v>
                </c:pt>
                <c:pt idx="7">
                  <c:v>0.183957277237117</c:v>
                </c:pt>
                <c:pt idx="8">
                  <c:v>0.198788218979066</c:v>
                </c:pt>
                <c:pt idx="9">
                  <c:v>0.202592893551008</c:v>
                </c:pt>
                <c:pt idx="10">
                  <c:v>0.208642795322344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年龄!$N$27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年龄!$O$27:$Y$27</c:f>
              <c:numCache>
                <c:formatCode>General</c:formatCode>
                <c:ptCount val="11"/>
                <c:pt idx="0">
                  <c:v>0.178179943284352</c:v>
                </c:pt>
                <c:pt idx="1">
                  <c:v>0.16128674167638</c:v>
                </c:pt>
                <c:pt idx="2">
                  <c:v>0.160705580596534</c:v>
                </c:pt>
                <c:pt idx="3">
                  <c:v>0.168881095854325</c:v>
                </c:pt>
                <c:pt idx="4">
                  <c:v>0.175680500535559</c:v>
                </c:pt>
                <c:pt idx="5">
                  <c:v>0.170692560078035</c:v>
                </c:pt>
                <c:pt idx="6">
                  <c:v>0.171063323192048</c:v>
                </c:pt>
                <c:pt idx="7">
                  <c:v>0.177211775152585</c:v>
                </c:pt>
                <c:pt idx="8">
                  <c:v>0.191940246656245</c:v>
                </c:pt>
                <c:pt idx="9">
                  <c:v>0.202383165722978</c:v>
                </c:pt>
                <c:pt idx="10">
                  <c:v>0.210645634489722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年龄!$N$28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年龄!$O$28:$Y$28</c:f>
              <c:numCache>
                <c:formatCode>General</c:formatCode>
                <c:ptCount val="11"/>
                <c:pt idx="0">
                  <c:v>0.17567754337911</c:v>
                </c:pt>
                <c:pt idx="1">
                  <c:v>0.154789805185294</c:v>
                </c:pt>
                <c:pt idx="2">
                  <c:v>0.159891927466704</c:v>
                </c:pt>
                <c:pt idx="3">
                  <c:v>0.16854043101498</c:v>
                </c:pt>
                <c:pt idx="4">
                  <c:v>0.177298158206395</c:v>
                </c:pt>
                <c:pt idx="5">
                  <c:v>0.172121642656415</c:v>
                </c:pt>
                <c:pt idx="6">
                  <c:v>0.168376244272825</c:v>
                </c:pt>
                <c:pt idx="7">
                  <c:v>0.178313224453031</c:v>
                </c:pt>
                <c:pt idx="8">
                  <c:v>0.198150872031939</c:v>
                </c:pt>
                <c:pt idx="9">
                  <c:v>0.198920925550155</c:v>
                </c:pt>
                <c:pt idx="10">
                  <c:v>0.206343958797327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年龄!$N$29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年龄!$O$29:$Y$29</c:f>
              <c:numCache>
                <c:formatCode>General</c:formatCode>
                <c:ptCount val="11"/>
                <c:pt idx="0">
                  <c:v>0.173133273758806</c:v>
                </c:pt>
                <c:pt idx="1">
                  <c:v>0.153797185231066</c:v>
                </c:pt>
                <c:pt idx="2">
                  <c:v>0.158281505159654</c:v>
                </c:pt>
                <c:pt idx="3">
                  <c:v>0.16688734414653</c:v>
                </c:pt>
                <c:pt idx="4">
                  <c:v>0.176136839110278</c:v>
                </c:pt>
                <c:pt idx="5">
                  <c:v>0.166247156937074</c:v>
                </c:pt>
                <c:pt idx="6">
                  <c:v>0.167564831631286</c:v>
                </c:pt>
                <c:pt idx="7">
                  <c:v>0.171658360116136</c:v>
                </c:pt>
                <c:pt idx="8">
                  <c:v>0.190464620790192</c:v>
                </c:pt>
                <c:pt idx="9">
                  <c:v>0.198762050145334</c:v>
                </c:pt>
                <c:pt idx="10">
                  <c:v>0.205477937925546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71320"/>
        <c:axId val="-2088268264"/>
      </c:lineChart>
      <c:catAx>
        <c:axId val="-208827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268264"/>
        <c:crosses val="autoZero"/>
        <c:auto val="1"/>
        <c:lblAlgn val="ctr"/>
        <c:lblOffset val="100"/>
        <c:noMultiLvlLbl val="0"/>
      </c:catAx>
      <c:valAx>
        <c:axId val="-2088268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27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年龄!$E$64</c:f>
              <c:strCache>
                <c:ptCount val="1"/>
                <c:pt idx="0">
                  <c:v>死亡数</c:v>
                </c:pt>
              </c:strCache>
            </c:strRef>
          </c:tx>
          <c:invertIfNegative val="0"/>
          <c:cat>
            <c:strRef>
              <c:f>年龄!$D$65:$D$79</c:f>
              <c:strCache>
                <c:ptCount val="15"/>
                <c:pt idx="0">
                  <c:v>36-40</c:v>
                </c:pt>
                <c:pt idx="1">
                  <c:v>31-35</c:v>
                </c:pt>
                <c:pt idx="2">
                  <c:v>26-30</c:v>
                </c:pt>
                <c:pt idx="3">
                  <c:v>41-45</c:v>
                </c:pt>
                <c:pt idx="4">
                  <c:v>21-25</c:v>
                </c:pt>
                <c:pt idx="5">
                  <c:v>46-50</c:v>
                </c:pt>
                <c:pt idx="6">
                  <c:v>16-20</c:v>
                </c:pt>
                <c:pt idx="7">
                  <c:v>51-55</c:v>
                </c:pt>
                <c:pt idx="8">
                  <c:v>56-60</c:v>
                </c:pt>
                <c:pt idx="9">
                  <c:v>&gt;65</c:v>
                </c:pt>
                <c:pt idx="10">
                  <c:v>61-65</c:v>
                </c:pt>
                <c:pt idx="11">
                  <c:v>13-15</c:v>
                </c:pt>
                <c:pt idx="12">
                  <c:v>1-6</c:v>
                </c:pt>
                <c:pt idx="13">
                  <c:v>7-9</c:v>
                </c:pt>
                <c:pt idx="14">
                  <c:v>10-12</c:v>
                </c:pt>
              </c:strCache>
            </c:strRef>
          </c:cat>
          <c:val>
            <c:numRef>
              <c:f>年龄!$E$65:$E$79</c:f>
              <c:numCache>
                <c:formatCode>General</c:formatCode>
                <c:ptCount val="15"/>
                <c:pt idx="0">
                  <c:v>11859.0</c:v>
                </c:pt>
                <c:pt idx="1">
                  <c:v>11057.0</c:v>
                </c:pt>
                <c:pt idx="2">
                  <c:v>10366.0</c:v>
                </c:pt>
                <c:pt idx="3">
                  <c:v>9295.0</c:v>
                </c:pt>
                <c:pt idx="4">
                  <c:v>8497.0</c:v>
                </c:pt>
                <c:pt idx="5">
                  <c:v>5377.0</c:v>
                </c:pt>
                <c:pt idx="6">
                  <c:v>2871.0</c:v>
                </c:pt>
                <c:pt idx="7">
                  <c:v>2819.0</c:v>
                </c:pt>
                <c:pt idx="8">
                  <c:v>1436.0</c:v>
                </c:pt>
                <c:pt idx="9">
                  <c:v>723.0</c:v>
                </c:pt>
                <c:pt idx="10">
                  <c:v>550.0</c:v>
                </c:pt>
                <c:pt idx="11">
                  <c:v>268.0</c:v>
                </c:pt>
                <c:pt idx="12">
                  <c:v>51.0</c:v>
                </c:pt>
                <c:pt idx="13">
                  <c:v>31.0</c:v>
                </c:pt>
                <c:pt idx="14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299192"/>
        <c:axId val="-2088296328"/>
      </c:barChart>
      <c:catAx>
        <c:axId val="-208829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96328"/>
        <c:crosses val="autoZero"/>
        <c:auto val="1"/>
        <c:lblAlgn val="ctr"/>
        <c:lblOffset val="100"/>
        <c:noMultiLvlLbl val="0"/>
      </c:catAx>
      <c:valAx>
        <c:axId val="-208829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9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死亡数</a:t>
            </a:r>
            <a:endParaRPr lang="en-US"/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年龄!$A$84</c:f>
              <c:strCache>
                <c:ptCount val="1"/>
                <c:pt idx="0">
                  <c:v>36-40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年龄!$B$84:$L$84</c:f>
              <c:numCache>
                <c:formatCode>General</c:formatCode>
                <c:ptCount val="11"/>
                <c:pt idx="0">
                  <c:v>13982.0</c:v>
                </c:pt>
                <c:pt idx="1">
                  <c:v>16908.0</c:v>
                </c:pt>
                <c:pt idx="2">
                  <c:v>18464.0</c:v>
                </c:pt>
                <c:pt idx="3">
                  <c:v>17135.0</c:v>
                </c:pt>
                <c:pt idx="4">
                  <c:v>17366.0</c:v>
                </c:pt>
                <c:pt idx="5">
                  <c:v>16476.0</c:v>
                </c:pt>
                <c:pt idx="6">
                  <c:v>15545.0</c:v>
                </c:pt>
                <c:pt idx="7">
                  <c:v>15045.0</c:v>
                </c:pt>
                <c:pt idx="8">
                  <c:v>14145.0</c:v>
                </c:pt>
                <c:pt idx="9">
                  <c:v>12646.0</c:v>
                </c:pt>
                <c:pt idx="10">
                  <c:v>11859.0</c:v>
                </c:pt>
              </c:numCache>
            </c:numRef>
          </c:val>
        </c:ser>
        <c:ser>
          <c:idx val="1"/>
          <c:order val="1"/>
          <c:tx>
            <c:strRef>
              <c:f>年龄!$A$85</c:f>
              <c:strCache>
                <c:ptCount val="1"/>
                <c:pt idx="0">
                  <c:v>31-35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年龄!$B$85:$L$85</c:f>
              <c:numCache>
                <c:formatCode>General</c:formatCode>
                <c:ptCount val="11"/>
                <c:pt idx="0">
                  <c:v>17279.0</c:v>
                </c:pt>
                <c:pt idx="1">
                  <c:v>20341.0</c:v>
                </c:pt>
                <c:pt idx="2">
                  <c:v>21428.0</c:v>
                </c:pt>
                <c:pt idx="3">
                  <c:v>20515.0</c:v>
                </c:pt>
                <c:pt idx="4">
                  <c:v>20666.0</c:v>
                </c:pt>
                <c:pt idx="5">
                  <c:v>19249.0</c:v>
                </c:pt>
                <c:pt idx="6">
                  <c:v>18105.0</c:v>
                </c:pt>
                <c:pt idx="7">
                  <c:v>15766.0</c:v>
                </c:pt>
                <c:pt idx="8">
                  <c:v>13260.0</c:v>
                </c:pt>
                <c:pt idx="9">
                  <c:v>11974.0</c:v>
                </c:pt>
                <c:pt idx="10">
                  <c:v>11057.0</c:v>
                </c:pt>
              </c:numCache>
            </c:numRef>
          </c:val>
        </c:ser>
        <c:ser>
          <c:idx val="2"/>
          <c:order val="2"/>
          <c:tx>
            <c:strRef>
              <c:f>年龄!$A$86</c:f>
              <c:strCache>
                <c:ptCount val="1"/>
                <c:pt idx="0">
                  <c:v>26-30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年龄!$B$86:$L$86</c:f>
              <c:numCache>
                <c:formatCode>General</c:formatCode>
                <c:ptCount val="11"/>
                <c:pt idx="0">
                  <c:v>19524.0</c:v>
                </c:pt>
                <c:pt idx="1">
                  <c:v>21063.0</c:v>
                </c:pt>
                <c:pt idx="2">
                  <c:v>21734.0</c:v>
                </c:pt>
                <c:pt idx="3">
                  <c:v>20249.0</c:v>
                </c:pt>
                <c:pt idx="4">
                  <c:v>23663.0</c:v>
                </c:pt>
                <c:pt idx="5">
                  <c:v>21240.0</c:v>
                </c:pt>
                <c:pt idx="6">
                  <c:v>15365.0</c:v>
                </c:pt>
                <c:pt idx="7">
                  <c:v>13572.0</c:v>
                </c:pt>
                <c:pt idx="8">
                  <c:v>12041.0</c:v>
                </c:pt>
                <c:pt idx="9">
                  <c:v>10970.0</c:v>
                </c:pt>
                <c:pt idx="10">
                  <c:v>10366.0</c:v>
                </c:pt>
              </c:numCache>
            </c:numRef>
          </c:val>
        </c:ser>
        <c:ser>
          <c:idx val="3"/>
          <c:order val="3"/>
          <c:tx>
            <c:strRef>
              <c:f>年龄!$A$87</c:f>
              <c:strCache>
                <c:ptCount val="1"/>
                <c:pt idx="0">
                  <c:v>41-45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年龄!$B$87:$L$87</c:f>
              <c:numCache>
                <c:formatCode>General</c:formatCode>
                <c:ptCount val="11"/>
                <c:pt idx="0">
                  <c:v>8331.0</c:v>
                </c:pt>
                <c:pt idx="1">
                  <c:v>8939.0</c:v>
                </c:pt>
                <c:pt idx="2">
                  <c:v>9111.0</c:v>
                </c:pt>
                <c:pt idx="3">
                  <c:v>9075.0</c:v>
                </c:pt>
                <c:pt idx="4">
                  <c:v>10524.0</c:v>
                </c:pt>
                <c:pt idx="5">
                  <c:v>10964.0</c:v>
                </c:pt>
                <c:pt idx="6">
                  <c:v>11256.0</c:v>
                </c:pt>
                <c:pt idx="7">
                  <c:v>11056.0</c:v>
                </c:pt>
                <c:pt idx="8">
                  <c:v>10191.0</c:v>
                </c:pt>
                <c:pt idx="9">
                  <c:v>9505.0</c:v>
                </c:pt>
                <c:pt idx="10">
                  <c:v>9295.0</c:v>
                </c:pt>
              </c:numCache>
            </c:numRef>
          </c:val>
        </c:ser>
        <c:ser>
          <c:idx val="4"/>
          <c:order val="4"/>
          <c:tx>
            <c:strRef>
              <c:f>年龄!$A$88</c:f>
              <c:strCache>
                <c:ptCount val="1"/>
                <c:pt idx="0">
                  <c:v>21-25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年龄!$B$88:$L$88</c:f>
              <c:numCache>
                <c:formatCode>General</c:formatCode>
                <c:ptCount val="11"/>
                <c:pt idx="0">
                  <c:v>14829.0</c:v>
                </c:pt>
                <c:pt idx="1">
                  <c:v>15927.0</c:v>
                </c:pt>
                <c:pt idx="2">
                  <c:v>15849.0</c:v>
                </c:pt>
                <c:pt idx="3">
                  <c:v>15165.0</c:v>
                </c:pt>
                <c:pt idx="4">
                  <c:v>15161.0</c:v>
                </c:pt>
                <c:pt idx="5">
                  <c:v>13417.0</c:v>
                </c:pt>
                <c:pt idx="6">
                  <c:v>12334.0</c:v>
                </c:pt>
                <c:pt idx="7">
                  <c:v>10978.0</c:v>
                </c:pt>
                <c:pt idx="8">
                  <c:v>9580.0</c:v>
                </c:pt>
                <c:pt idx="9">
                  <c:v>8543.0</c:v>
                </c:pt>
                <c:pt idx="10">
                  <c:v>8497.0</c:v>
                </c:pt>
              </c:numCache>
            </c:numRef>
          </c:val>
        </c:ser>
        <c:ser>
          <c:idx val="5"/>
          <c:order val="5"/>
          <c:tx>
            <c:strRef>
              <c:f>年龄!$A$89</c:f>
              <c:strCache>
                <c:ptCount val="1"/>
                <c:pt idx="0">
                  <c:v>46-50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年龄!$B$89:$L$89</c:f>
              <c:numCache>
                <c:formatCode>General</c:formatCode>
                <c:ptCount val="11"/>
                <c:pt idx="0">
                  <c:v>5359.0</c:v>
                </c:pt>
                <c:pt idx="1">
                  <c:v>6138.0</c:v>
                </c:pt>
                <c:pt idx="2">
                  <c:v>6760.0</c:v>
                </c:pt>
                <c:pt idx="3">
                  <c:v>6666.0</c:v>
                </c:pt>
                <c:pt idx="4">
                  <c:v>6554.0</c:v>
                </c:pt>
                <c:pt idx="5">
                  <c:v>5947.0</c:v>
                </c:pt>
                <c:pt idx="6">
                  <c:v>5662.0</c:v>
                </c:pt>
                <c:pt idx="7">
                  <c:v>4864.0</c:v>
                </c:pt>
                <c:pt idx="8">
                  <c:v>4732.0</c:v>
                </c:pt>
                <c:pt idx="9">
                  <c:v>4884.0</c:v>
                </c:pt>
                <c:pt idx="10">
                  <c:v>5377.0</c:v>
                </c:pt>
              </c:numCache>
            </c:numRef>
          </c:val>
        </c:ser>
        <c:ser>
          <c:idx val="6"/>
          <c:order val="6"/>
          <c:tx>
            <c:strRef>
              <c:f>年龄!$A$90</c:f>
              <c:strCache>
                <c:ptCount val="1"/>
                <c:pt idx="0">
                  <c:v>16-20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年龄!$B$90:$L$90</c:f>
              <c:numCache>
                <c:formatCode>General</c:formatCode>
                <c:ptCount val="11"/>
                <c:pt idx="0">
                  <c:v>4805.0</c:v>
                </c:pt>
                <c:pt idx="1">
                  <c:v>5422.0</c:v>
                </c:pt>
                <c:pt idx="2">
                  <c:v>5535.0</c:v>
                </c:pt>
                <c:pt idx="3">
                  <c:v>5477.0</c:v>
                </c:pt>
                <c:pt idx="4">
                  <c:v>5819.0</c:v>
                </c:pt>
                <c:pt idx="5">
                  <c:v>5021.0</c:v>
                </c:pt>
                <c:pt idx="6">
                  <c:v>4596.0</c:v>
                </c:pt>
                <c:pt idx="7">
                  <c:v>4078.0</c:v>
                </c:pt>
                <c:pt idx="8">
                  <c:v>3513.0</c:v>
                </c:pt>
                <c:pt idx="9">
                  <c:v>3282.0</c:v>
                </c:pt>
                <c:pt idx="10">
                  <c:v>2871.0</c:v>
                </c:pt>
              </c:numCache>
            </c:numRef>
          </c:val>
        </c:ser>
        <c:ser>
          <c:idx val="7"/>
          <c:order val="7"/>
          <c:tx>
            <c:strRef>
              <c:f>年龄!$A$91</c:f>
              <c:strCache>
                <c:ptCount val="1"/>
                <c:pt idx="0">
                  <c:v>51-55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年龄!$B$91:$L$91</c:f>
              <c:numCache>
                <c:formatCode>General</c:formatCode>
                <c:ptCount val="11"/>
                <c:pt idx="0">
                  <c:v>2091.0</c:v>
                </c:pt>
                <c:pt idx="1">
                  <c:v>2573.0</c:v>
                </c:pt>
                <c:pt idx="2">
                  <c:v>2822.0</c:v>
                </c:pt>
                <c:pt idx="3">
                  <c:v>2819.0</c:v>
                </c:pt>
                <c:pt idx="4">
                  <c:v>2998.0</c:v>
                </c:pt>
                <c:pt idx="5">
                  <c:v>3019.0</c:v>
                </c:pt>
                <c:pt idx="6">
                  <c:v>3205.0</c:v>
                </c:pt>
                <c:pt idx="7">
                  <c:v>3055.0</c:v>
                </c:pt>
                <c:pt idx="8">
                  <c:v>3052.0</c:v>
                </c:pt>
                <c:pt idx="9">
                  <c:v>3006.0</c:v>
                </c:pt>
                <c:pt idx="10">
                  <c:v>2819.0</c:v>
                </c:pt>
              </c:numCache>
            </c:numRef>
          </c:val>
        </c:ser>
        <c:ser>
          <c:idx val="8"/>
          <c:order val="8"/>
          <c:tx>
            <c:strRef>
              <c:f>年龄!$A$92</c:f>
              <c:strCache>
                <c:ptCount val="1"/>
                <c:pt idx="0">
                  <c:v>56-60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年龄!$B$92:$L$92</c:f>
              <c:numCache>
                <c:formatCode>General</c:formatCode>
                <c:ptCount val="11"/>
                <c:pt idx="0">
                  <c:v>1200.0</c:v>
                </c:pt>
                <c:pt idx="1">
                  <c:v>1392.0</c:v>
                </c:pt>
                <c:pt idx="2">
                  <c:v>1345.0</c:v>
                </c:pt>
                <c:pt idx="3">
                  <c:v>1319.0</c:v>
                </c:pt>
                <c:pt idx="4">
                  <c:v>1178.0</c:v>
                </c:pt>
                <c:pt idx="5">
                  <c:v>1123.0</c:v>
                </c:pt>
                <c:pt idx="6">
                  <c:v>1291.0</c:v>
                </c:pt>
                <c:pt idx="7">
                  <c:v>1339.0</c:v>
                </c:pt>
                <c:pt idx="8">
                  <c:v>1269.0</c:v>
                </c:pt>
                <c:pt idx="9">
                  <c:v>1420.0</c:v>
                </c:pt>
                <c:pt idx="10">
                  <c:v>1436.0</c:v>
                </c:pt>
              </c:numCache>
            </c:numRef>
          </c:val>
        </c:ser>
        <c:ser>
          <c:idx val="9"/>
          <c:order val="9"/>
          <c:tx>
            <c:strRef>
              <c:f>年龄!$A$93</c:f>
              <c:strCache>
                <c:ptCount val="1"/>
                <c:pt idx="0">
                  <c:v>&gt;65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年龄!$B$93:$L$93</c:f>
              <c:numCache>
                <c:formatCode>General</c:formatCode>
                <c:ptCount val="11"/>
                <c:pt idx="0">
                  <c:v>2055.0</c:v>
                </c:pt>
                <c:pt idx="1">
                  <c:v>4594.0</c:v>
                </c:pt>
                <c:pt idx="2">
                  <c:v>3839.0</c:v>
                </c:pt>
                <c:pt idx="3">
                  <c:v>3605.0</c:v>
                </c:pt>
                <c:pt idx="4">
                  <c:v>1504.0</c:v>
                </c:pt>
                <c:pt idx="5">
                  <c:v>1082.0</c:v>
                </c:pt>
                <c:pt idx="6">
                  <c:v>982.0</c:v>
                </c:pt>
                <c:pt idx="7">
                  <c:v>882.0</c:v>
                </c:pt>
                <c:pt idx="8">
                  <c:v>768.0</c:v>
                </c:pt>
                <c:pt idx="9">
                  <c:v>649.0</c:v>
                </c:pt>
                <c:pt idx="10">
                  <c:v>723.0</c:v>
                </c:pt>
              </c:numCache>
            </c:numRef>
          </c:val>
        </c:ser>
        <c:ser>
          <c:idx val="10"/>
          <c:order val="10"/>
          <c:tx>
            <c:strRef>
              <c:f>年龄!$A$94</c:f>
              <c:strCache>
                <c:ptCount val="1"/>
                <c:pt idx="0">
                  <c:v>61-65</c:v>
                </c:pt>
              </c:strCache>
            </c:strRef>
          </c:tx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年龄!$B$94:$L$94</c:f>
              <c:numCache>
                <c:formatCode>General</c:formatCode>
                <c:ptCount val="11"/>
                <c:pt idx="0">
                  <c:v>895.0</c:v>
                </c:pt>
                <c:pt idx="1">
                  <c:v>909.0</c:v>
                </c:pt>
                <c:pt idx="2">
                  <c:v>886.0</c:v>
                </c:pt>
                <c:pt idx="3">
                  <c:v>893.0</c:v>
                </c:pt>
                <c:pt idx="4">
                  <c:v>610.0</c:v>
                </c:pt>
                <c:pt idx="5">
                  <c:v>497.0</c:v>
                </c:pt>
                <c:pt idx="6">
                  <c:v>527.0</c:v>
                </c:pt>
                <c:pt idx="7">
                  <c:v>501.0</c:v>
                </c:pt>
                <c:pt idx="8">
                  <c:v>505.0</c:v>
                </c:pt>
                <c:pt idx="9">
                  <c:v>519.0</c:v>
                </c:pt>
                <c:pt idx="10">
                  <c:v>550.0</c:v>
                </c:pt>
              </c:numCache>
            </c:numRef>
          </c:val>
        </c:ser>
        <c:ser>
          <c:idx val="11"/>
          <c:order val="11"/>
          <c:tx>
            <c:strRef>
              <c:f>年龄!$A$95</c:f>
              <c:strCache>
                <c:ptCount val="1"/>
                <c:pt idx="0">
                  <c:v>13-15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年龄!$B$95:$L$95</c:f>
              <c:numCache>
                <c:formatCode>General</c:formatCode>
                <c:ptCount val="11"/>
                <c:pt idx="0">
                  <c:v>350.0</c:v>
                </c:pt>
                <c:pt idx="1">
                  <c:v>436.0</c:v>
                </c:pt>
                <c:pt idx="2">
                  <c:v>427.0</c:v>
                </c:pt>
                <c:pt idx="3">
                  <c:v>443.0</c:v>
                </c:pt>
                <c:pt idx="4">
                  <c:v>365.0</c:v>
                </c:pt>
                <c:pt idx="5">
                  <c:v>353.0</c:v>
                </c:pt>
                <c:pt idx="6">
                  <c:v>300.0</c:v>
                </c:pt>
                <c:pt idx="7">
                  <c:v>265.0</c:v>
                </c:pt>
                <c:pt idx="8">
                  <c:v>211.0</c:v>
                </c:pt>
                <c:pt idx="9">
                  <c:v>225.0</c:v>
                </c:pt>
                <c:pt idx="10">
                  <c:v>268.0</c:v>
                </c:pt>
              </c:numCache>
            </c:numRef>
          </c:val>
        </c:ser>
        <c:ser>
          <c:idx val="12"/>
          <c:order val="12"/>
          <c:tx>
            <c:strRef>
              <c:f>年龄!$A$96</c:f>
              <c:strCache>
                <c:ptCount val="1"/>
                <c:pt idx="0">
                  <c:v>1-6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年龄!$B$96:$L$96</c:f>
              <c:numCache>
                <c:formatCode>General</c:formatCode>
                <c:ptCount val="11"/>
                <c:pt idx="0">
                  <c:v>2418.0</c:v>
                </c:pt>
                <c:pt idx="1">
                  <c:v>658.0</c:v>
                </c:pt>
                <c:pt idx="2">
                  <c:v>569.0</c:v>
                </c:pt>
                <c:pt idx="3">
                  <c:v>537.0</c:v>
                </c:pt>
                <c:pt idx="4">
                  <c:v>323.0</c:v>
                </c:pt>
                <c:pt idx="5">
                  <c:v>175.0</c:v>
                </c:pt>
                <c:pt idx="6">
                  <c:v>146.0</c:v>
                </c:pt>
                <c:pt idx="7">
                  <c:v>112.0</c:v>
                </c:pt>
                <c:pt idx="8">
                  <c:v>105.0</c:v>
                </c:pt>
                <c:pt idx="9">
                  <c:v>63.0</c:v>
                </c:pt>
                <c:pt idx="10">
                  <c:v>51.0</c:v>
                </c:pt>
              </c:numCache>
            </c:numRef>
          </c:val>
        </c:ser>
        <c:ser>
          <c:idx val="13"/>
          <c:order val="13"/>
          <c:tx>
            <c:strRef>
              <c:f>年龄!$A$97</c:f>
              <c:strCache>
                <c:ptCount val="1"/>
                <c:pt idx="0">
                  <c:v>7-9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年龄!$B$97:$L$97</c:f>
              <c:numCache>
                <c:formatCode>General</c:formatCode>
                <c:ptCount val="11"/>
                <c:pt idx="0">
                  <c:v>418.0</c:v>
                </c:pt>
                <c:pt idx="1">
                  <c:v>396.0</c:v>
                </c:pt>
                <c:pt idx="2">
                  <c:v>394.0</c:v>
                </c:pt>
                <c:pt idx="3">
                  <c:v>297.0</c:v>
                </c:pt>
                <c:pt idx="4">
                  <c:v>208.0</c:v>
                </c:pt>
                <c:pt idx="5">
                  <c:v>100.0</c:v>
                </c:pt>
                <c:pt idx="6">
                  <c:v>77.0</c:v>
                </c:pt>
                <c:pt idx="7">
                  <c:v>69.0</c:v>
                </c:pt>
                <c:pt idx="8">
                  <c:v>70.0</c:v>
                </c:pt>
                <c:pt idx="9">
                  <c:v>32.0</c:v>
                </c:pt>
                <c:pt idx="10">
                  <c:v>31.0</c:v>
                </c:pt>
              </c:numCache>
            </c:numRef>
          </c:val>
        </c:ser>
        <c:ser>
          <c:idx val="14"/>
          <c:order val="14"/>
          <c:tx>
            <c:strRef>
              <c:f>年龄!$A$98</c:f>
              <c:strCache>
                <c:ptCount val="1"/>
                <c:pt idx="0">
                  <c:v>10-12</c:v>
                </c:pt>
              </c:strCache>
            </c:strRef>
          </c:tx>
          <c:spPr>
            <a:ln w="25400">
              <a:noFill/>
            </a:ln>
          </c:spPr>
          <c:cat>
            <c:numRef>
              <c:f>年龄!$B$82:$L$82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年龄!$B$98:$L$98</c:f>
              <c:numCache>
                <c:formatCode>General</c:formatCode>
                <c:ptCount val="11"/>
                <c:pt idx="0">
                  <c:v>315.0</c:v>
                </c:pt>
                <c:pt idx="1">
                  <c:v>233.0</c:v>
                </c:pt>
                <c:pt idx="2">
                  <c:v>219.0</c:v>
                </c:pt>
                <c:pt idx="3">
                  <c:v>176.0</c:v>
                </c:pt>
                <c:pt idx="4">
                  <c:v>139.0</c:v>
                </c:pt>
                <c:pt idx="5">
                  <c:v>75.0</c:v>
                </c:pt>
                <c:pt idx="6">
                  <c:v>64.0</c:v>
                </c:pt>
                <c:pt idx="7">
                  <c:v>67.0</c:v>
                </c:pt>
                <c:pt idx="8">
                  <c:v>42.0</c:v>
                </c:pt>
                <c:pt idx="9">
                  <c:v>41.0</c:v>
                </c:pt>
                <c:pt idx="10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407976"/>
        <c:axId val="-2088424536"/>
      </c:areaChart>
      <c:catAx>
        <c:axId val="-208840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424536"/>
        <c:crosses val="autoZero"/>
        <c:auto val="1"/>
        <c:lblAlgn val="ctr"/>
        <c:lblOffset val="100"/>
        <c:noMultiLvlLbl val="0"/>
      </c:catAx>
      <c:valAx>
        <c:axId val="-208842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4079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(F+I)/A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年龄!$N$7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年龄!$O$7:$Y$7</c:f>
              <c:numCache>
                <c:formatCode>General</c:formatCode>
                <c:ptCount val="11"/>
                <c:pt idx="0">
                  <c:v>0.860968455616622</c:v>
                </c:pt>
                <c:pt idx="1">
                  <c:v>0.892328663774627</c:v>
                </c:pt>
                <c:pt idx="2">
                  <c:v>0.897168686582782</c:v>
                </c:pt>
                <c:pt idx="3">
                  <c:v>0.944957375274536</c:v>
                </c:pt>
                <c:pt idx="4">
                  <c:v>1.167931127253161</c:v>
                </c:pt>
                <c:pt idx="5">
                  <c:v>1.282053775465552</c:v>
                </c:pt>
                <c:pt idx="6">
                  <c:v>1.399092302251562</c:v>
                </c:pt>
                <c:pt idx="7">
                  <c:v>1.437513127494224</c:v>
                </c:pt>
                <c:pt idx="8">
                  <c:v>1.455259633983038</c:v>
                </c:pt>
                <c:pt idx="9">
                  <c:v>1.450067321270237</c:v>
                </c:pt>
                <c:pt idx="10">
                  <c:v>1.463056888279643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年龄!$N$8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年龄!$O$8:$Y$8</c:f>
              <c:numCache>
                <c:formatCode>General</c:formatCode>
                <c:ptCount val="11"/>
                <c:pt idx="0">
                  <c:v>0.827010844840996</c:v>
                </c:pt>
                <c:pt idx="1">
                  <c:v>0.85269363918426</c:v>
                </c:pt>
                <c:pt idx="2">
                  <c:v>0.854664877549645</c:v>
                </c:pt>
                <c:pt idx="3">
                  <c:v>0.896810281481037</c:v>
                </c:pt>
                <c:pt idx="4">
                  <c:v>1.126451313037416</c:v>
                </c:pt>
                <c:pt idx="5">
                  <c:v>1.245068745382978</c:v>
                </c:pt>
                <c:pt idx="6">
                  <c:v>1.360727170500867</c:v>
                </c:pt>
                <c:pt idx="7">
                  <c:v>1.401903965645011</c:v>
                </c:pt>
                <c:pt idx="8">
                  <c:v>1.410586618849118</c:v>
                </c:pt>
                <c:pt idx="9">
                  <c:v>1.431464297988209</c:v>
                </c:pt>
                <c:pt idx="10">
                  <c:v>1.437545209918694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年龄!$N$9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年龄!$O$9:$Y$9</c:f>
              <c:numCache>
                <c:formatCode>General</c:formatCode>
                <c:ptCount val="11"/>
                <c:pt idx="0">
                  <c:v>0.82063281177277</c:v>
                </c:pt>
                <c:pt idx="1">
                  <c:v>0.845146590718713</c:v>
                </c:pt>
                <c:pt idx="2">
                  <c:v>0.843750197748515</c:v>
                </c:pt>
                <c:pt idx="3">
                  <c:v>0.873739480687621</c:v>
                </c:pt>
                <c:pt idx="4">
                  <c:v>1.124941426235309</c:v>
                </c:pt>
                <c:pt idx="5">
                  <c:v>1.245224266248537</c:v>
                </c:pt>
                <c:pt idx="6">
                  <c:v>1.369876134142711</c:v>
                </c:pt>
                <c:pt idx="7">
                  <c:v>1.408775652394223</c:v>
                </c:pt>
                <c:pt idx="8">
                  <c:v>1.423443842334082</c:v>
                </c:pt>
                <c:pt idx="9">
                  <c:v>1.433573211213685</c:v>
                </c:pt>
                <c:pt idx="10">
                  <c:v>1.447428650213705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年龄!$N$10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年龄!$O$10:$Y$10</c:f>
              <c:numCache>
                <c:formatCode>General</c:formatCode>
                <c:ptCount val="11"/>
                <c:pt idx="0">
                  <c:v>0.782163038671318</c:v>
                </c:pt>
                <c:pt idx="1">
                  <c:v>0.834571070566303</c:v>
                </c:pt>
                <c:pt idx="2">
                  <c:v>0.844334932147871</c:v>
                </c:pt>
                <c:pt idx="3">
                  <c:v>0.870555898068228</c:v>
                </c:pt>
                <c:pt idx="4">
                  <c:v>1.13102620062124</c:v>
                </c:pt>
                <c:pt idx="5">
                  <c:v>1.256801113386902</c:v>
                </c:pt>
                <c:pt idx="6">
                  <c:v>1.364856674009136</c:v>
                </c:pt>
                <c:pt idx="7">
                  <c:v>1.40515604703061</c:v>
                </c:pt>
                <c:pt idx="8">
                  <c:v>1.426473233019603</c:v>
                </c:pt>
                <c:pt idx="9">
                  <c:v>1.438433342383926</c:v>
                </c:pt>
                <c:pt idx="10">
                  <c:v>1.457385571193102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年龄!$N$11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年龄!$O$1:$Y$1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年龄!$O$11:$Y$11</c:f>
              <c:numCache>
                <c:formatCode>General</c:formatCode>
                <c:ptCount val="11"/>
                <c:pt idx="0">
                  <c:v>0.7550091789183</c:v>
                </c:pt>
                <c:pt idx="1">
                  <c:v>0.80168275862069</c:v>
                </c:pt>
                <c:pt idx="2">
                  <c:v>0.817258955319239</c:v>
                </c:pt>
                <c:pt idx="3">
                  <c:v>0.816204614022185</c:v>
                </c:pt>
                <c:pt idx="4">
                  <c:v>1.079027684972821</c:v>
                </c:pt>
                <c:pt idx="5">
                  <c:v>1.260439959482446</c:v>
                </c:pt>
                <c:pt idx="6">
                  <c:v>1.368607636200644</c:v>
                </c:pt>
                <c:pt idx="7">
                  <c:v>1.399847859161052</c:v>
                </c:pt>
                <c:pt idx="8">
                  <c:v>1.425078570287114</c:v>
                </c:pt>
                <c:pt idx="9">
                  <c:v>1.434988747186797</c:v>
                </c:pt>
                <c:pt idx="10">
                  <c:v>1.461347116782426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45992"/>
        <c:axId val="-2088450248"/>
      </c:lineChart>
      <c:catAx>
        <c:axId val="-208844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450248"/>
        <c:crosses val="autoZero"/>
        <c:auto val="1"/>
        <c:lblAlgn val="ctr"/>
        <c:lblOffset val="100"/>
        <c:noMultiLvlLbl val="0"/>
      </c:catAx>
      <c:valAx>
        <c:axId val="-2088450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445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91776027996"/>
          <c:y val="0.0488425925925926"/>
          <c:w val="0.142926045016077"/>
          <c:h val="0.40472053235959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F/(F+I), with log axis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666320011885"/>
          <c:y val="0.096742349457058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'All-交通方式'!$AC$1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'All-交通方式'!$AC$2:$AC$23</c:f>
              <c:numCache>
                <c:formatCode>General</c:formatCode>
                <c:ptCount val="22"/>
                <c:pt idx="0">
                  <c:v>0.241119099</c:v>
                </c:pt>
                <c:pt idx="1">
                  <c:v>0.247511739</c:v>
                </c:pt>
                <c:pt idx="2">
                  <c:v>0.289315395</c:v>
                </c:pt>
                <c:pt idx="3">
                  <c:v>0.308652355</c:v>
                </c:pt>
                <c:pt idx="4">
                  <c:v>0.308403701</c:v>
                </c:pt>
                <c:pt idx="5">
                  <c:v>0.309763347</c:v>
                </c:pt>
                <c:pt idx="6">
                  <c:v>0.296873866</c:v>
                </c:pt>
                <c:pt idx="7">
                  <c:v>0.279788173</c:v>
                </c:pt>
                <c:pt idx="8">
                  <c:v>0.259541604</c:v>
                </c:pt>
                <c:pt idx="9">
                  <c:v>0.225992874</c:v>
                </c:pt>
                <c:pt idx="10">
                  <c:v>0.183101367</c:v>
                </c:pt>
                <c:pt idx="11">
                  <c:v>0.162365979</c:v>
                </c:pt>
                <c:pt idx="12">
                  <c:v>0.16290146</c:v>
                </c:pt>
                <c:pt idx="13">
                  <c:v>0.174375904</c:v>
                </c:pt>
                <c:pt idx="14">
                  <c:v>0.182122016</c:v>
                </c:pt>
                <c:pt idx="15">
                  <c:v>0.173636109</c:v>
                </c:pt>
                <c:pt idx="16">
                  <c:v>0.17183256</c:v>
                </c:pt>
                <c:pt idx="17">
                  <c:v>0.176694634</c:v>
                </c:pt>
                <c:pt idx="18">
                  <c:v>0.194195078</c:v>
                </c:pt>
                <c:pt idx="19">
                  <c:v>0.197614937</c:v>
                </c:pt>
                <c:pt idx="20">
                  <c:v>0.204274977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'All-交通方式'!$AD$1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'All-交通方式'!$AD$2:$AD$23</c:f>
              <c:numCache>
                <c:formatCode>General</c:formatCode>
                <c:ptCount val="22"/>
                <c:pt idx="0">
                  <c:v>0.043569949</c:v>
                </c:pt>
                <c:pt idx="1">
                  <c:v>0.044608855</c:v>
                </c:pt>
                <c:pt idx="2">
                  <c:v>0.043839623</c:v>
                </c:pt>
                <c:pt idx="3">
                  <c:v>0.045700553</c:v>
                </c:pt>
                <c:pt idx="4">
                  <c:v>0.045061125</c:v>
                </c:pt>
                <c:pt idx="5">
                  <c:v>0.044316835</c:v>
                </c:pt>
                <c:pt idx="6">
                  <c:v>0.045343075</c:v>
                </c:pt>
                <c:pt idx="7">
                  <c:v>0.044991468</c:v>
                </c:pt>
                <c:pt idx="8">
                  <c:v>0.047674208</c:v>
                </c:pt>
                <c:pt idx="9">
                  <c:v>0.045722974</c:v>
                </c:pt>
                <c:pt idx="10">
                  <c:v>0.045022385</c:v>
                </c:pt>
                <c:pt idx="11">
                  <c:v>0.04775307</c:v>
                </c:pt>
                <c:pt idx="12">
                  <c:v>0.049916943</c:v>
                </c:pt>
                <c:pt idx="13">
                  <c:v>0.047106691</c:v>
                </c:pt>
                <c:pt idx="14">
                  <c:v>0.045911249</c:v>
                </c:pt>
                <c:pt idx="15">
                  <c:v>0.046898425</c:v>
                </c:pt>
                <c:pt idx="16">
                  <c:v>0.044077728</c:v>
                </c:pt>
                <c:pt idx="17">
                  <c:v>0.042848796</c:v>
                </c:pt>
                <c:pt idx="18">
                  <c:v>0.043589979</c:v>
                </c:pt>
                <c:pt idx="19">
                  <c:v>0.044881154</c:v>
                </c:pt>
                <c:pt idx="20">
                  <c:v>0.045131313</c:v>
                </c:pt>
                <c:pt idx="21">
                  <c:v>0.046506443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'All-交通方式'!$AE$1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'All-交通方式'!$AE$2:$AE$23</c:f>
              <c:numCache>
                <c:formatCode>General</c:formatCode>
                <c:ptCount val="22"/>
                <c:pt idx="11">
                  <c:v>0.018654931</c:v>
                </c:pt>
                <c:pt idx="12">
                  <c:v>0.018107718</c:v>
                </c:pt>
                <c:pt idx="13">
                  <c:v>0.018077997</c:v>
                </c:pt>
                <c:pt idx="14">
                  <c:v>0.017526532</c:v>
                </c:pt>
                <c:pt idx="15">
                  <c:v>0.01707796</c:v>
                </c:pt>
                <c:pt idx="16">
                  <c:v>0.016741678</c:v>
                </c:pt>
                <c:pt idx="17">
                  <c:v>0.015502541</c:v>
                </c:pt>
                <c:pt idx="18">
                  <c:v>0.014977652</c:v>
                </c:pt>
                <c:pt idx="19">
                  <c:v>0.013602319</c:v>
                </c:pt>
                <c:pt idx="20">
                  <c:v>0.013330074</c:v>
                </c:pt>
                <c:pt idx="21">
                  <c:v>0.013045873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'All-交通方式'!$AF$1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'All-交通方式'!$AF$2:$AF$23</c:f>
              <c:numCache>
                <c:formatCode>General</c:formatCode>
                <c:ptCount val="22"/>
                <c:pt idx="0">
                  <c:v>0.013616913</c:v>
                </c:pt>
                <c:pt idx="1">
                  <c:v>0.01322594</c:v>
                </c:pt>
                <c:pt idx="2">
                  <c:v>0.012625235</c:v>
                </c:pt>
                <c:pt idx="3">
                  <c:v>0.012588914</c:v>
                </c:pt>
                <c:pt idx="4">
                  <c:v>0.012313391</c:v>
                </c:pt>
                <c:pt idx="5">
                  <c:v>0.01192354</c:v>
                </c:pt>
                <c:pt idx="6">
                  <c:v>0.011932034</c:v>
                </c:pt>
                <c:pt idx="7">
                  <c:v>0.012394579</c:v>
                </c:pt>
                <c:pt idx="8">
                  <c:v>0.012834556</c:v>
                </c:pt>
                <c:pt idx="9">
                  <c:v>0.012726532</c:v>
                </c:pt>
                <c:pt idx="10">
                  <c:v>0.012983274</c:v>
                </c:pt>
                <c:pt idx="11">
                  <c:v>0.013722866</c:v>
                </c:pt>
                <c:pt idx="12">
                  <c:v>0.014485831</c:v>
                </c:pt>
                <c:pt idx="13">
                  <c:v>0.014628763</c:v>
                </c:pt>
                <c:pt idx="14">
                  <c:v>0.015129905</c:v>
                </c:pt>
                <c:pt idx="15">
                  <c:v>0.015865168</c:v>
                </c:pt>
                <c:pt idx="16">
                  <c:v>0.01631713</c:v>
                </c:pt>
                <c:pt idx="17">
                  <c:v>0.016296362</c:v>
                </c:pt>
                <c:pt idx="18">
                  <c:v>0.0157031</c:v>
                </c:pt>
                <c:pt idx="19">
                  <c:v>0.015051365</c:v>
                </c:pt>
                <c:pt idx="20">
                  <c:v>0.014474293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'All-交通方式'!$AG$1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'All-交通方式'!$AG$2:$AG$23</c:f>
              <c:numCache>
                <c:formatCode>General</c:formatCode>
                <c:ptCount val="22"/>
                <c:pt idx="0">
                  <c:v>0.017335286</c:v>
                </c:pt>
                <c:pt idx="1">
                  <c:v>0.021863844</c:v>
                </c:pt>
                <c:pt idx="2">
                  <c:v>0.020156306</c:v>
                </c:pt>
                <c:pt idx="3">
                  <c:v>0.019298212</c:v>
                </c:pt>
                <c:pt idx="4">
                  <c:v>0.018649675</c:v>
                </c:pt>
                <c:pt idx="5">
                  <c:v>0.018125174</c:v>
                </c:pt>
                <c:pt idx="6">
                  <c:v>0.017449135</c:v>
                </c:pt>
                <c:pt idx="7">
                  <c:v>0.016774487</c:v>
                </c:pt>
                <c:pt idx="8">
                  <c:v>0.015426312</c:v>
                </c:pt>
                <c:pt idx="9">
                  <c:v>0.014694677</c:v>
                </c:pt>
                <c:pt idx="10">
                  <c:v>0.014666414</c:v>
                </c:pt>
                <c:pt idx="11">
                  <c:v>0.013905276</c:v>
                </c:pt>
                <c:pt idx="12">
                  <c:v>0.014158157</c:v>
                </c:pt>
                <c:pt idx="13">
                  <c:v>0.01410674</c:v>
                </c:pt>
                <c:pt idx="14">
                  <c:v>0.013099595</c:v>
                </c:pt>
                <c:pt idx="15">
                  <c:v>0.0122173</c:v>
                </c:pt>
                <c:pt idx="16">
                  <c:v>0.011910778</c:v>
                </c:pt>
                <c:pt idx="17">
                  <c:v>0.011341345</c:v>
                </c:pt>
                <c:pt idx="18">
                  <c:v>0.010826457</c:v>
                </c:pt>
                <c:pt idx="19">
                  <c:v>0.010332908</c:v>
                </c:pt>
                <c:pt idx="20">
                  <c:v>0.009732724</c:v>
                </c:pt>
                <c:pt idx="21">
                  <c:v>0.010114185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'All-交通方式'!$AH$1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'All-交通方式'!$AH$2:$AH$23</c:f>
              <c:numCache>
                <c:formatCode>General</c:formatCode>
                <c:ptCount val="22"/>
                <c:pt idx="0">
                  <c:v>0.015289391</c:v>
                </c:pt>
                <c:pt idx="1">
                  <c:v>0.014661326</c:v>
                </c:pt>
                <c:pt idx="2">
                  <c:v>0.013588065</c:v>
                </c:pt>
                <c:pt idx="3">
                  <c:v>0.012471633</c:v>
                </c:pt>
                <c:pt idx="4">
                  <c:v>0.011563441</c:v>
                </c:pt>
                <c:pt idx="5">
                  <c:v>0.011657293</c:v>
                </c:pt>
                <c:pt idx="6">
                  <c:v>0.011222777</c:v>
                </c:pt>
                <c:pt idx="7">
                  <c:v>0.010985992</c:v>
                </c:pt>
                <c:pt idx="8">
                  <c:v>0.010512536</c:v>
                </c:pt>
                <c:pt idx="9">
                  <c:v>0.010682754</c:v>
                </c:pt>
                <c:pt idx="10">
                  <c:v>0.010639526</c:v>
                </c:pt>
                <c:pt idx="11">
                  <c:v>0.01100654</c:v>
                </c:pt>
                <c:pt idx="12">
                  <c:v>0.011344736</c:v>
                </c:pt>
                <c:pt idx="13">
                  <c:v>0.012075399</c:v>
                </c:pt>
                <c:pt idx="14">
                  <c:v>0.011453625</c:v>
                </c:pt>
                <c:pt idx="15">
                  <c:v>0.011803054</c:v>
                </c:pt>
                <c:pt idx="16">
                  <c:v>0.012286383</c:v>
                </c:pt>
                <c:pt idx="17">
                  <c:v>0.011881619</c:v>
                </c:pt>
                <c:pt idx="18">
                  <c:v>0.011009031</c:v>
                </c:pt>
                <c:pt idx="19">
                  <c:v>0.00999901</c:v>
                </c:pt>
                <c:pt idx="20">
                  <c:v>0.008858032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53592"/>
        <c:axId val="-2133950456"/>
      </c:lineChart>
      <c:catAx>
        <c:axId val="-213395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950456"/>
        <c:crosses val="autoZero"/>
        <c:auto val="1"/>
        <c:lblAlgn val="ctr"/>
        <c:lblOffset val="100"/>
        <c:noMultiLvlLbl val="0"/>
      </c:catAx>
      <c:valAx>
        <c:axId val="-213395045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5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F/(F+I)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年龄!$N$25</c:f>
              <c:strCache>
                <c:ptCount val="1"/>
                <c:pt idx="0">
                  <c:v>21-25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年龄!$O$25:$Y$25</c:f>
              <c:numCache>
                <c:formatCode>General</c:formatCode>
                <c:ptCount val="11"/>
                <c:pt idx="0">
                  <c:v>0.172424217759846</c:v>
                </c:pt>
                <c:pt idx="1">
                  <c:v>0.153022107356629</c:v>
                </c:pt>
                <c:pt idx="2">
                  <c:v>0.151520076481836</c:v>
                </c:pt>
                <c:pt idx="3">
                  <c:v>0.167046693764251</c:v>
                </c:pt>
                <c:pt idx="4">
                  <c:v>0.174617617248687</c:v>
                </c:pt>
                <c:pt idx="5">
                  <c:v>0.169612156148867</c:v>
                </c:pt>
                <c:pt idx="6">
                  <c:v>0.173203578098889</c:v>
                </c:pt>
                <c:pt idx="7">
                  <c:v>0.178225858822001</c:v>
                </c:pt>
                <c:pt idx="8">
                  <c:v>0.195893996401112</c:v>
                </c:pt>
                <c:pt idx="9">
                  <c:v>0.193473140683033</c:v>
                </c:pt>
                <c:pt idx="10">
                  <c:v>0.199030263281177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年龄!$N$26</c:f>
              <c:strCache>
                <c:ptCount val="1"/>
                <c:pt idx="0">
                  <c:v>26-30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年龄!$O$26:$Y$26</c:f>
              <c:numCache>
                <c:formatCode>General</c:formatCode>
                <c:ptCount val="11"/>
                <c:pt idx="0">
                  <c:v>0.173223316475912</c:v>
                </c:pt>
                <c:pt idx="1">
                  <c:v>0.152977405274282</c:v>
                </c:pt>
                <c:pt idx="2">
                  <c:v>0.155811569371062</c:v>
                </c:pt>
                <c:pt idx="3">
                  <c:v>0.169300357847564</c:v>
                </c:pt>
                <c:pt idx="4">
                  <c:v>0.195274719833633</c:v>
                </c:pt>
                <c:pt idx="5">
                  <c:v>0.188091105522298</c:v>
                </c:pt>
                <c:pt idx="6">
                  <c:v>0.17635378647017</c:v>
                </c:pt>
                <c:pt idx="7">
                  <c:v>0.183957277237117</c:v>
                </c:pt>
                <c:pt idx="8">
                  <c:v>0.198788218979066</c:v>
                </c:pt>
                <c:pt idx="9">
                  <c:v>0.202592893551008</c:v>
                </c:pt>
                <c:pt idx="10">
                  <c:v>0.208642795322344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年龄!$N$27</c:f>
              <c:strCache>
                <c:ptCount val="1"/>
                <c:pt idx="0">
                  <c:v>31-35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年龄!$O$27:$Y$27</c:f>
              <c:numCache>
                <c:formatCode>General</c:formatCode>
                <c:ptCount val="11"/>
                <c:pt idx="0">
                  <c:v>0.178179943284352</c:v>
                </c:pt>
                <c:pt idx="1">
                  <c:v>0.16128674167638</c:v>
                </c:pt>
                <c:pt idx="2">
                  <c:v>0.160705580596534</c:v>
                </c:pt>
                <c:pt idx="3">
                  <c:v>0.168881095854325</c:v>
                </c:pt>
                <c:pt idx="4">
                  <c:v>0.175680500535559</c:v>
                </c:pt>
                <c:pt idx="5">
                  <c:v>0.170692560078035</c:v>
                </c:pt>
                <c:pt idx="6">
                  <c:v>0.171063323192048</c:v>
                </c:pt>
                <c:pt idx="7">
                  <c:v>0.177211775152585</c:v>
                </c:pt>
                <c:pt idx="8">
                  <c:v>0.191940246656245</c:v>
                </c:pt>
                <c:pt idx="9">
                  <c:v>0.202383165722978</c:v>
                </c:pt>
                <c:pt idx="10">
                  <c:v>0.210645634489722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年龄!$N$28</c:f>
              <c:strCache>
                <c:ptCount val="1"/>
                <c:pt idx="0">
                  <c:v>36-40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年龄!$O$28:$Y$28</c:f>
              <c:numCache>
                <c:formatCode>General</c:formatCode>
                <c:ptCount val="11"/>
                <c:pt idx="0">
                  <c:v>0.17567754337911</c:v>
                </c:pt>
                <c:pt idx="1">
                  <c:v>0.154789805185294</c:v>
                </c:pt>
                <c:pt idx="2">
                  <c:v>0.159891927466704</c:v>
                </c:pt>
                <c:pt idx="3">
                  <c:v>0.16854043101498</c:v>
                </c:pt>
                <c:pt idx="4">
                  <c:v>0.177298158206395</c:v>
                </c:pt>
                <c:pt idx="5">
                  <c:v>0.172121642656415</c:v>
                </c:pt>
                <c:pt idx="6">
                  <c:v>0.168376244272825</c:v>
                </c:pt>
                <c:pt idx="7">
                  <c:v>0.178313224453031</c:v>
                </c:pt>
                <c:pt idx="8">
                  <c:v>0.198150872031939</c:v>
                </c:pt>
                <c:pt idx="9">
                  <c:v>0.198920925550155</c:v>
                </c:pt>
                <c:pt idx="10">
                  <c:v>0.206343958797327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年龄!$N$29</c:f>
              <c:strCache>
                <c:ptCount val="1"/>
                <c:pt idx="0">
                  <c:v>41-45</c:v>
                </c:pt>
              </c:strCache>
            </c:strRef>
          </c:tx>
          <c:marker>
            <c:symbol val="none"/>
          </c:marker>
          <c:cat>
            <c:numRef>
              <c:f>年龄!$O$19:$Y$19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cat>
          <c:val>
            <c:numRef>
              <c:f>年龄!$O$29:$Y$29</c:f>
              <c:numCache>
                <c:formatCode>General</c:formatCode>
                <c:ptCount val="11"/>
                <c:pt idx="0">
                  <c:v>0.173133273758806</c:v>
                </c:pt>
                <c:pt idx="1">
                  <c:v>0.153797185231066</c:v>
                </c:pt>
                <c:pt idx="2">
                  <c:v>0.158281505159654</c:v>
                </c:pt>
                <c:pt idx="3">
                  <c:v>0.16688734414653</c:v>
                </c:pt>
                <c:pt idx="4">
                  <c:v>0.176136839110278</c:v>
                </c:pt>
                <c:pt idx="5">
                  <c:v>0.166247156937074</c:v>
                </c:pt>
                <c:pt idx="6">
                  <c:v>0.167564831631286</c:v>
                </c:pt>
                <c:pt idx="7">
                  <c:v>0.171658360116136</c:v>
                </c:pt>
                <c:pt idx="8">
                  <c:v>0.190464620790192</c:v>
                </c:pt>
                <c:pt idx="9">
                  <c:v>0.198762050145334</c:v>
                </c:pt>
                <c:pt idx="10">
                  <c:v>0.205477937925546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09400"/>
        <c:axId val="-2088510984"/>
      </c:lineChart>
      <c:catAx>
        <c:axId val="-208850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510984"/>
        <c:crosses val="autoZero"/>
        <c:auto val="1"/>
        <c:lblAlgn val="ctr"/>
        <c:lblOffset val="100"/>
        <c:noMultiLvlLbl val="0"/>
      </c:catAx>
      <c:valAx>
        <c:axId val="-208851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5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 -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'All-交通方式'!$F$55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'All-交通方式'!$G$55:$J$55</c:f>
              <c:numCache>
                <c:formatCode>General</c:formatCode>
                <c:ptCount val="4"/>
                <c:pt idx="0">
                  <c:v>653.0</c:v>
                </c:pt>
                <c:pt idx="1">
                  <c:v>591.0</c:v>
                </c:pt>
                <c:pt idx="2">
                  <c:v>476.0</c:v>
                </c:pt>
                <c:pt idx="3">
                  <c:v>614.0</c:v>
                </c:pt>
              </c:numCache>
            </c:numRef>
          </c:val>
        </c:ser>
        <c:ser>
          <c:idx val="1"/>
          <c:order val="1"/>
          <c:tx>
            <c:strRef>
              <c:f>'All-交通方式'!$F$54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'All-交通方式'!$G$54:$J$54</c:f>
              <c:numCache>
                <c:formatCode>General</c:formatCode>
                <c:ptCount val="4"/>
                <c:pt idx="0">
                  <c:v>1222.0</c:v>
                </c:pt>
                <c:pt idx="1">
                  <c:v>1211.0</c:v>
                </c:pt>
                <c:pt idx="2">
                  <c:v>1090.0</c:v>
                </c:pt>
                <c:pt idx="3">
                  <c:v>1177.0</c:v>
                </c:pt>
              </c:numCache>
            </c:numRef>
          </c:val>
        </c:ser>
        <c:ser>
          <c:idx val="2"/>
          <c:order val="2"/>
          <c:tx>
            <c:strRef>
              <c:f>'All-交通方式'!$F$53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</c:numCache>
            </c:numRef>
          </c:cat>
          <c:val>
            <c:numRef>
              <c:f>'All-交通方式'!$G$53:$J$53</c:f>
              <c:numCache>
                <c:formatCode>#,##0</c:formatCode>
                <c:ptCount val="4"/>
                <c:pt idx="0">
                  <c:v>2561.0</c:v>
                </c:pt>
                <c:pt idx="1">
                  <c:v>2286.0</c:v>
                </c:pt>
                <c:pt idx="2">
                  <c:v>2034.0</c:v>
                </c:pt>
                <c:pt idx="3">
                  <c:v>2170.0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568696"/>
        <c:axId val="-2120310136"/>
      </c:areaChart>
      <c:catAx>
        <c:axId val="-205056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310136"/>
        <c:crosses val="autoZero"/>
        <c:auto val="1"/>
        <c:lblAlgn val="ctr"/>
        <c:lblOffset val="100"/>
        <c:noMultiLvlLbl val="0"/>
      </c:catAx>
      <c:valAx>
        <c:axId val="-2120310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5686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 w="38100" cmpd="sng">
      <a:solidFill>
        <a:schemeClr val="accent5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-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'All-交通方式'!$A$66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1994.0</c:v>
                </c:pt>
                <c:pt idx="1">
                  <c:v>1995.0</c:v>
                </c:pt>
                <c:pt idx="2">
                  <c:v>1996.0</c:v>
                </c:pt>
                <c:pt idx="3">
                  <c:v>1997.0</c:v>
                </c:pt>
                <c:pt idx="4">
                  <c:v>1998.0</c:v>
                </c:pt>
                <c:pt idx="5">
                  <c:v>1999.0</c:v>
                </c:pt>
                <c:pt idx="6">
                  <c:v>2000.0</c:v>
                </c:pt>
                <c:pt idx="7">
                  <c:v>2001.0</c:v>
                </c:pt>
                <c:pt idx="8">
                  <c:v>2002.0</c:v>
                </c:pt>
                <c:pt idx="9">
                  <c:v>2003.0</c:v>
                </c:pt>
                <c:pt idx="10">
                  <c:v>2004.0</c:v>
                </c:pt>
                <c:pt idx="11">
                  <c:v>2005.0</c:v>
                </c:pt>
                <c:pt idx="12">
                  <c:v>2006.0</c:v>
                </c:pt>
                <c:pt idx="13">
                  <c:v>2007.0</c:v>
                </c:pt>
                <c:pt idx="14">
                  <c:v>2008.0</c:v>
                </c:pt>
                <c:pt idx="15">
                  <c:v>2009.0</c:v>
                </c:pt>
                <c:pt idx="16">
                  <c:v>2010.0</c:v>
                </c:pt>
              </c:numCache>
            </c:numRef>
          </c:cat>
          <c:val>
            <c:numRef>
              <c:f>'All-交通方式'!$B$66:$R$66</c:f>
              <c:numCache>
                <c:formatCode>#,##0</c:formatCode>
                <c:ptCount val="17"/>
                <c:pt idx="0">
                  <c:v>5489.0</c:v>
                </c:pt>
                <c:pt idx="1">
                  <c:v>5584.0</c:v>
                </c:pt>
                <c:pt idx="2">
                  <c:v>5449.0</c:v>
                </c:pt>
                <c:pt idx="3">
                  <c:v>5321.0</c:v>
                </c:pt>
                <c:pt idx="4">
                  <c:v>5228.0</c:v>
                </c:pt>
                <c:pt idx="5">
                  <c:v>4939.0</c:v>
                </c:pt>
                <c:pt idx="6">
                  <c:v>4763.0</c:v>
                </c:pt>
                <c:pt idx="7">
                  <c:v>4901.0</c:v>
                </c:pt>
                <c:pt idx="8">
                  <c:v>4851.0</c:v>
                </c:pt>
                <c:pt idx="9">
                  <c:v>4774.0</c:v>
                </c:pt>
                <c:pt idx="10">
                  <c:v>4675.0</c:v>
                </c:pt>
                <c:pt idx="11">
                  <c:v>4892.0</c:v>
                </c:pt>
                <c:pt idx="12">
                  <c:v>4795.0</c:v>
                </c:pt>
                <c:pt idx="13">
                  <c:v>4699.0</c:v>
                </c:pt>
                <c:pt idx="14">
                  <c:v>4414.0</c:v>
                </c:pt>
                <c:pt idx="15">
                  <c:v>4109.0</c:v>
                </c:pt>
                <c:pt idx="16">
                  <c:v>4280.0</c:v>
                </c:pt>
              </c:numCache>
            </c:numRef>
          </c:val>
        </c:ser>
        <c:ser>
          <c:idx val="1"/>
          <c:order val="1"/>
          <c:tx>
            <c:strRef>
              <c:f>'All-交通方式'!$A$65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1994.0</c:v>
                </c:pt>
                <c:pt idx="1">
                  <c:v>1995.0</c:v>
                </c:pt>
                <c:pt idx="2">
                  <c:v>1996.0</c:v>
                </c:pt>
                <c:pt idx="3">
                  <c:v>1997.0</c:v>
                </c:pt>
                <c:pt idx="4">
                  <c:v>1998.0</c:v>
                </c:pt>
                <c:pt idx="5">
                  <c:v>1999.0</c:v>
                </c:pt>
                <c:pt idx="6">
                  <c:v>2000.0</c:v>
                </c:pt>
                <c:pt idx="7">
                  <c:v>2001.0</c:v>
                </c:pt>
                <c:pt idx="8">
                  <c:v>2002.0</c:v>
                </c:pt>
                <c:pt idx="9">
                  <c:v>2003.0</c:v>
                </c:pt>
                <c:pt idx="10">
                  <c:v>2004.0</c:v>
                </c:pt>
                <c:pt idx="11">
                  <c:v>2005.0</c:v>
                </c:pt>
                <c:pt idx="12">
                  <c:v>2006.0</c:v>
                </c:pt>
                <c:pt idx="13">
                  <c:v>2007.0</c:v>
                </c:pt>
                <c:pt idx="14">
                  <c:v>2008.0</c:v>
                </c:pt>
                <c:pt idx="15">
                  <c:v>2009.0</c:v>
                </c:pt>
                <c:pt idx="16">
                  <c:v>2010.0</c:v>
                </c:pt>
              </c:numCache>
            </c:numRef>
          </c:cat>
          <c:val>
            <c:numRef>
              <c:f>'All-交通方式'!$B$65:$R$65</c:f>
              <c:numCache>
                <c:formatCode>#,##0</c:formatCode>
                <c:ptCount val="17"/>
                <c:pt idx="0">
                  <c:v>3229.0</c:v>
                </c:pt>
                <c:pt idx="1">
                  <c:v>3169.0</c:v>
                </c:pt>
                <c:pt idx="2">
                  <c:v>3080.0</c:v>
                </c:pt>
                <c:pt idx="3">
                  <c:v>3083.0</c:v>
                </c:pt>
                <c:pt idx="4">
                  <c:v>3185.0</c:v>
                </c:pt>
                <c:pt idx="5">
                  <c:v>3386.0</c:v>
                </c:pt>
                <c:pt idx="6">
                  <c:v>3731.0</c:v>
                </c:pt>
                <c:pt idx="7">
                  <c:v>4052.0</c:v>
                </c:pt>
                <c:pt idx="8">
                  <c:v>4049.0</c:v>
                </c:pt>
                <c:pt idx="9">
                  <c:v>4483.0</c:v>
                </c:pt>
                <c:pt idx="10">
                  <c:v>4885.0</c:v>
                </c:pt>
                <c:pt idx="11">
                  <c:v>5548.0</c:v>
                </c:pt>
                <c:pt idx="12">
                  <c:v>5794.0</c:v>
                </c:pt>
                <c:pt idx="13">
                  <c:v>6033.0</c:v>
                </c:pt>
                <c:pt idx="14">
                  <c:v>6218.0</c:v>
                </c:pt>
                <c:pt idx="15">
                  <c:v>5248.0</c:v>
                </c:pt>
                <c:pt idx="16">
                  <c:v>5302.0</c:v>
                </c:pt>
              </c:numCache>
            </c:numRef>
          </c:val>
        </c:ser>
        <c:ser>
          <c:idx val="2"/>
          <c:order val="2"/>
          <c:tx>
            <c:strRef>
              <c:f>'All-交通方式'!$A$64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1994.0</c:v>
                </c:pt>
                <c:pt idx="1">
                  <c:v>1995.0</c:v>
                </c:pt>
                <c:pt idx="2">
                  <c:v>1996.0</c:v>
                </c:pt>
                <c:pt idx="3">
                  <c:v>1997.0</c:v>
                </c:pt>
                <c:pt idx="4">
                  <c:v>1998.0</c:v>
                </c:pt>
                <c:pt idx="5">
                  <c:v>1999.0</c:v>
                </c:pt>
                <c:pt idx="6">
                  <c:v>2000.0</c:v>
                </c:pt>
                <c:pt idx="7">
                  <c:v>2001.0</c:v>
                </c:pt>
                <c:pt idx="8">
                  <c:v>2002.0</c:v>
                </c:pt>
                <c:pt idx="9">
                  <c:v>2003.0</c:v>
                </c:pt>
                <c:pt idx="10">
                  <c:v>2004.0</c:v>
                </c:pt>
                <c:pt idx="11">
                  <c:v>2005.0</c:v>
                </c:pt>
                <c:pt idx="12">
                  <c:v>2006.0</c:v>
                </c:pt>
                <c:pt idx="13">
                  <c:v>2007.0</c:v>
                </c:pt>
                <c:pt idx="14">
                  <c:v>2008.0</c:v>
                </c:pt>
                <c:pt idx="15">
                  <c:v>2009.0</c:v>
                </c:pt>
                <c:pt idx="16">
                  <c:v>2010.0</c:v>
                </c:pt>
              </c:numCache>
            </c:numRef>
          </c:cat>
          <c:val>
            <c:numRef>
              <c:f>'All-交通方式'!$B$64:$R$64</c:f>
              <c:numCache>
                <c:formatCode>#,##0</c:formatCode>
                <c:ptCount val="17"/>
                <c:pt idx="0">
                  <c:v>31998.0</c:v>
                </c:pt>
                <c:pt idx="1">
                  <c:v>33064.0</c:v>
                </c:pt>
                <c:pt idx="2">
                  <c:v>33534.0</c:v>
                </c:pt>
                <c:pt idx="3">
                  <c:v>33609.0</c:v>
                </c:pt>
                <c:pt idx="4">
                  <c:v>33088.0</c:v>
                </c:pt>
                <c:pt idx="5">
                  <c:v>33392.0</c:v>
                </c:pt>
                <c:pt idx="6">
                  <c:v>33451.0</c:v>
                </c:pt>
                <c:pt idx="7">
                  <c:v>33243.0</c:v>
                </c:pt>
                <c:pt idx="8">
                  <c:v>34105.0</c:v>
                </c:pt>
                <c:pt idx="9">
                  <c:v>33627.0</c:v>
                </c:pt>
                <c:pt idx="10">
                  <c:v>33276.0</c:v>
                </c:pt>
                <c:pt idx="11">
                  <c:v>33070.0</c:v>
                </c:pt>
                <c:pt idx="12">
                  <c:v>32119.0</c:v>
                </c:pt>
                <c:pt idx="13">
                  <c:v>30527.0</c:v>
                </c:pt>
                <c:pt idx="14">
                  <c:v>26791.0</c:v>
                </c:pt>
                <c:pt idx="15">
                  <c:v>24526.0</c:v>
                </c:pt>
                <c:pt idx="16">
                  <c:v>23303.0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91720"/>
        <c:axId val="-2049188680"/>
      </c:areaChart>
      <c:catAx>
        <c:axId val="-204919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188680"/>
        <c:crosses val="autoZero"/>
        <c:auto val="1"/>
        <c:lblAlgn val="ctr"/>
        <c:lblOffset val="100"/>
        <c:noMultiLvlLbl val="0"/>
      </c:catAx>
      <c:valAx>
        <c:axId val="-2049188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49191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 w="38100" cmpd="sng">
      <a:solidFill>
        <a:schemeClr val="accent4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Relationship Id="rId6" Type="http://schemas.openxmlformats.org/officeDocument/2006/relationships/chart" Target="../charts/chart58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Relationship Id="rId6" Type="http://schemas.openxmlformats.org/officeDocument/2006/relationships/chart" Target="../charts/chart64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6350</xdr:rowOff>
    </xdr:from>
    <xdr:to>
      <xdr:col>13</xdr:col>
      <xdr:colOff>520700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18</xdr:row>
      <xdr:rowOff>101600</xdr:rowOff>
    </xdr:from>
    <xdr:to>
      <xdr:col>13</xdr:col>
      <xdr:colOff>330200</xdr:colOff>
      <xdr:row>58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18</xdr:row>
      <xdr:rowOff>25400</xdr:rowOff>
    </xdr:from>
    <xdr:to>
      <xdr:col>19</xdr:col>
      <xdr:colOff>584200</xdr:colOff>
      <xdr:row>57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1</xdr:row>
      <xdr:rowOff>31750</xdr:rowOff>
    </xdr:from>
    <xdr:to>
      <xdr:col>17</xdr:col>
      <xdr:colOff>25400</xdr:colOff>
      <xdr:row>16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20</xdr:row>
      <xdr:rowOff>82550</xdr:rowOff>
    </xdr:from>
    <xdr:to>
      <xdr:col>17</xdr:col>
      <xdr:colOff>25400</xdr:colOff>
      <xdr:row>34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38</xdr:row>
      <xdr:rowOff>152400</xdr:rowOff>
    </xdr:from>
    <xdr:to>
      <xdr:col>5</xdr:col>
      <xdr:colOff>650240</xdr:colOff>
      <xdr:row>53</xdr:row>
      <xdr:rowOff>38100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0</xdr:rowOff>
    </xdr:from>
    <xdr:to>
      <xdr:col>5</xdr:col>
      <xdr:colOff>650240</xdr:colOff>
      <xdr:row>69</xdr:row>
      <xdr:rowOff>76200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792480</xdr:colOff>
      <xdr:row>45</xdr:row>
      <xdr:rowOff>87630</xdr:rowOff>
    </xdr:from>
    <xdr:to>
      <xdr:col>11</xdr:col>
      <xdr:colOff>243840</xdr:colOff>
      <xdr:row>59</xdr:row>
      <xdr:rowOff>57150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469900</xdr:colOff>
      <xdr:row>56</xdr:row>
      <xdr:rowOff>107950</xdr:rowOff>
    </xdr:from>
    <xdr:to>
      <xdr:col>16</xdr:col>
      <xdr:colOff>787400</xdr:colOff>
      <xdr:row>70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0</xdr:row>
      <xdr:rowOff>50800</xdr:rowOff>
    </xdr:from>
    <xdr:to>
      <xdr:col>18</xdr:col>
      <xdr:colOff>622300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31</xdr:row>
      <xdr:rowOff>50800</xdr:rowOff>
    </xdr:from>
    <xdr:to>
      <xdr:col>21</xdr:col>
      <xdr:colOff>38100</xdr:colOff>
      <xdr:row>50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37</xdr:row>
      <xdr:rowOff>11430</xdr:rowOff>
    </xdr:from>
    <xdr:to>
      <xdr:col>11</xdr:col>
      <xdr:colOff>121920</xdr:colOff>
      <xdr:row>51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19</xdr:row>
      <xdr:rowOff>69850</xdr:rowOff>
    </xdr:from>
    <xdr:to>
      <xdr:col>22</xdr:col>
      <xdr:colOff>393700</xdr:colOff>
      <xdr:row>33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444500</xdr:colOff>
      <xdr:row>56</xdr:row>
      <xdr:rowOff>101600</xdr:rowOff>
    </xdr:from>
    <xdr:to>
      <xdr:col>21</xdr:col>
      <xdr:colOff>292100</xdr:colOff>
      <xdr:row>84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762000</xdr:colOff>
      <xdr:row>73</xdr:row>
      <xdr:rowOff>63500</xdr:rowOff>
    </xdr:from>
    <xdr:to>
      <xdr:col>10</xdr:col>
      <xdr:colOff>571500</xdr:colOff>
      <xdr:row>85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36</xdr:row>
      <xdr:rowOff>0</xdr:rowOff>
    </xdr:from>
    <xdr:to>
      <xdr:col>18</xdr:col>
      <xdr:colOff>127000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</xdr:colOff>
      <xdr:row>35</xdr:row>
      <xdr:rowOff>177800</xdr:rowOff>
    </xdr:from>
    <xdr:to>
      <xdr:col>24</xdr:col>
      <xdr:colOff>495300</xdr:colOff>
      <xdr:row>50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61</xdr:row>
      <xdr:rowOff>11430</xdr:rowOff>
    </xdr:from>
    <xdr:to>
      <xdr:col>11</xdr:col>
      <xdr:colOff>121920</xdr:colOff>
      <xdr:row>74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75</xdr:row>
      <xdr:rowOff>146050</xdr:rowOff>
    </xdr:from>
    <xdr:to>
      <xdr:col>16</xdr:col>
      <xdr:colOff>762000</xdr:colOff>
      <xdr:row>90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469900</xdr:colOff>
      <xdr:row>53</xdr:row>
      <xdr:rowOff>76200</xdr:rowOff>
    </xdr:from>
    <xdr:to>
      <xdr:col>18</xdr:col>
      <xdr:colOff>88900</xdr:colOff>
      <xdr:row>67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53</xdr:row>
      <xdr:rowOff>63500</xdr:rowOff>
    </xdr:from>
    <xdr:to>
      <xdr:col>24</xdr:col>
      <xdr:colOff>457200</xdr:colOff>
      <xdr:row>67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57150</xdr:rowOff>
    </xdr:from>
    <xdr:to>
      <xdr:col>17</xdr:col>
      <xdr:colOff>647700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14</xdr:row>
      <xdr:rowOff>184150</xdr:rowOff>
    </xdr:from>
    <xdr:to>
      <xdr:col>17</xdr:col>
      <xdr:colOff>647700</xdr:colOff>
      <xdr:row>29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29</xdr:row>
      <xdr:rowOff>146050</xdr:rowOff>
    </xdr:from>
    <xdr:to>
      <xdr:col>17</xdr:col>
      <xdr:colOff>647700</xdr:colOff>
      <xdr:row>44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120650</xdr:rowOff>
    </xdr:from>
    <xdr:to>
      <xdr:col>26</xdr:col>
      <xdr:colOff>546100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203200</xdr:colOff>
      <xdr:row>44</xdr:row>
      <xdr:rowOff>120650</xdr:rowOff>
    </xdr:from>
    <xdr:to>
      <xdr:col>17</xdr:col>
      <xdr:colOff>647700</xdr:colOff>
      <xdr:row>58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14</xdr:row>
      <xdr:rowOff>184150</xdr:rowOff>
    </xdr:from>
    <xdr:to>
      <xdr:col>12</xdr:col>
      <xdr:colOff>25400</xdr:colOff>
      <xdr:row>29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29</xdr:row>
      <xdr:rowOff>146050</xdr:rowOff>
    </xdr:from>
    <xdr:to>
      <xdr:col>12</xdr:col>
      <xdr:colOff>38100</xdr:colOff>
      <xdr:row>44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44</xdr:row>
      <xdr:rowOff>120650</xdr:rowOff>
    </xdr:from>
    <xdr:to>
      <xdr:col>12</xdr:col>
      <xdr:colOff>38100</xdr:colOff>
      <xdr:row>58</xdr:row>
      <xdr:rowOff>120650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114300</xdr:rowOff>
    </xdr:from>
    <xdr:to>
      <xdr:col>20</xdr:col>
      <xdr:colOff>127000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25</xdr:row>
      <xdr:rowOff>63500</xdr:rowOff>
    </xdr:from>
    <xdr:to>
      <xdr:col>20</xdr:col>
      <xdr:colOff>101600</xdr:colOff>
      <xdr:row>48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49</xdr:row>
      <xdr:rowOff>11430</xdr:rowOff>
    </xdr:from>
    <xdr:to>
      <xdr:col>11</xdr:col>
      <xdr:colOff>121920</xdr:colOff>
      <xdr:row>62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86</xdr:row>
      <xdr:rowOff>146050</xdr:rowOff>
    </xdr:from>
    <xdr:to>
      <xdr:col>16</xdr:col>
      <xdr:colOff>762000</xdr:colOff>
      <xdr:row>101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292100</xdr:colOff>
      <xdr:row>52</xdr:row>
      <xdr:rowOff>88900</xdr:rowOff>
    </xdr:from>
    <xdr:to>
      <xdr:col>25</xdr:col>
      <xdr:colOff>76200</xdr:colOff>
      <xdr:row>74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292100</xdr:colOff>
      <xdr:row>77</xdr:row>
      <xdr:rowOff>12700</xdr:rowOff>
    </xdr:from>
    <xdr:to>
      <xdr:col>25</xdr:col>
      <xdr:colOff>50800</xdr:colOff>
      <xdr:row>101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0</xdr:row>
      <xdr:rowOff>101600</xdr:rowOff>
    </xdr:from>
    <xdr:to>
      <xdr:col>17</xdr:col>
      <xdr:colOff>800100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15</xdr:row>
      <xdr:rowOff>152400</xdr:rowOff>
    </xdr:from>
    <xdr:to>
      <xdr:col>17</xdr:col>
      <xdr:colOff>762000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127000</xdr:colOff>
      <xdr:row>7</xdr:row>
      <xdr:rowOff>165100</xdr:rowOff>
    </xdr:from>
    <xdr:to>
      <xdr:col>23</xdr:col>
      <xdr:colOff>571500</xdr:colOff>
      <xdr:row>22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596900</xdr:colOff>
      <xdr:row>32</xdr:row>
      <xdr:rowOff>12700</xdr:rowOff>
    </xdr:from>
    <xdr:to>
      <xdr:col>18</xdr:col>
      <xdr:colOff>215900</xdr:colOff>
      <xdr:row>46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736600</xdr:colOff>
      <xdr:row>41</xdr:row>
      <xdr:rowOff>165100</xdr:rowOff>
    </xdr:from>
    <xdr:to>
      <xdr:col>11</xdr:col>
      <xdr:colOff>355600</xdr:colOff>
      <xdr:row>56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635000</xdr:colOff>
      <xdr:row>31</xdr:row>
      <xdr:rowOff>165100</xdr:rowOff>
    </xdr:from>
    <xdr:to>
      <xdr:col>24</xdr:col>
      <xdr:colOff>254000</xdr:colOff>
      <xdr:row>46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635000</xdr:colOff>
      <xdr:row>47</xdr:row>
      <xdr:rowOff>76200</xdr:rowOff>
    </xdr:from>
    <xdr:to>
      <xdr:col>24</xdr:col>
      <xdr:colOff>254000</xdr:colOff>
      <xdr:row>61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51</xdr:row>
      <xdr:rowOff>44450</xdr:rowOff>
    </xdr:from>
    <xdr:to>
      <xdr:col>17</xdr:col>
      <xdr:colOff>596900</xdr:colOff>
      <xdr:row>65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66</xdr:row>
      <xdr:rowOff>133350</xdr:rowOff>
    </xdr:from>
    <xdr:to>
      <xdr:col>17</xdr:col>
      <xdr:colOff>609600</xdr:colOff>
      <xdr:row>81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335280</xdr:colOff>
      <xdr:row>16</xdr:row>
      <xdr:rowOff>72390</xdr:rowOff>
    </xdr:from>
    <xdr:to>
      <xdr:col>17</xdr:col>
      <xdr:colOff>640080</xdr:colOff>
      <xdr:row>30</xdr:row>
      <xdr:rowOff>41910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76</xdr:row>
      <xdr:rowOff>146050</xdr:rowOff>
    </xdr:from>
    <xdr:to>
      <xdr:col>16</xdr:col>
      <xdr:colOff>762000</xdr:colOff>
      <xdr:row>91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93</xdr:row>
      <xdr:rowOff>0</xdr:rowOff>
    </xdr:from>
    <xdr:to>
      <xdr:col>17</xdr:col>
      <xdr:colOff>444500</xdr:colOff>
      <xdr:row>107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12700</xdr:colOff>
      <xdr:row>108</xdr:row>
      <xdr:rowOff>88900</xdr:rowOff>
    </xdr:from>
    <xdr:to>
      <xdr:col>17</xdr:col>
      <xdr:colOff>457200</xdr:colOff>
      <xdr:row>122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622300</xdr:colOff>
      <xdr:row>4</xdr:row>
      <xdr:rowOff>50800</xdr:rowOff>
    </xdr:from>
    <xdr:to>
      <xdr:col>18</xdr:col>
      <xdr:colOff>241300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20</xdr:row>
      <xdr:rowOff>0</xdr:rowOff>
    </xdr:from>
    <xdr:to>
      <xdr:col>19</xdr:col>
      <xdr:colOff>508000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670560</xdr:colOff>
      <xdr:row>31</xdr:row>
      <xdr:rowOff>11430</xdr:rowOff>
    </xdr:from>
    <xdr:to>
      <xdr:col>11</xdr:col>
      <xdr:colOff>121920</xdr:colOff>
      <xdr:row>44</xdr:row>
      <xdr:rowOff>179070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32</xdr:row>
      <xdr:rowOff>44450</xdr:rowOff>
    </xdr:from>
    <xdr:to>
      <xdr:col>17</xdr:col>
      <xdr:colOff>190500</xdr:colOff>
      <xdr:row>46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152400</xdr:rowOff>
    </xdr:from>
    <xdr:to>
      <xdr:col>12</xdr:col>
      <xdr:colOff>266700</xdr:colOff>
      <xdr:row>16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18</xdr:row>
      <xdr:rowOff>63500</xdr:rowOff>
    </xdr:from>
    <xdr:to>
      <xdr:col>12</xdr:col>
      <xdr:colOff>304800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416560</xdr:colOff>
      <xdr:row>36</xdr:row>
      <xdr:rowOff>201930</xdr:rowOff>
    </xdr:from>
    <xdr:to>
      <xdr:col>11</xdr:col>
      <xdr:colOff>718820</xdr:colOff>
      <xdr:row>50</xdr:row>
      <xdr:rowOff>166370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53</xdr:row>
      <xdr:rowOff>19050</xdr:rowOff>
    </xdr:from>
    <xdr:to>
      <xdr:col>11</xdr:col>
      <xdr:colOff>736600</xdr:colOff>
      <xdr:row>66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32</xdr:row>
      <xdr:rowOff>165100</xdr:rowOff>
    </xdr:from>
    <xdr:to>
      <xdr:col>17</xdr:col>
      <xdr:colOff>469900</xdr:colOff>
      <xdr:row>46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</xdr:colOff>
      <xdr:row>48</xdr:row>
      <xdr:rowOff>88900</xdr:rowOff>
    </xdr:from>
    <xdr:to>
      <xdr:col>17</xdr:col>
      <xdr:colOff>508000</xdr:colOff>
      <xdr:row>62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3</xdr:row>
      <xdr:rowOff>177800</xdr:rowOff>
    </xdr:from>
    <xdr:to>
      <xdr:col>18</xdr:col>
      <xdr:colOff>76200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19</xdr:row>
      <xdr:rowOff>152400</xdr:rowOff>
    </xdr:from>
    <xdr:to>
      <xdr:col>18</xdr:col>
      <xdr:colOff>76200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289560</xdr:colOff>
      <xdr:row>35</xdr:row>
      <xdr:rowOff>49530</xdr:rowOff>
    </xdr:from>
    <xdr:to>
      <xdr:col>17</xdr:col>
      <xdr:colOff>591820</xdr:colOff>
      <xdr:row>49</xdr:row>
      <xdr:rowOff>26670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49</xdr:row>
      <xdr:rowOff>184150</xdr:rowOff>
    </xdr:from>
    <xdr:to>
      <xdr:col>17</xdr:col>
      <xdr:colOff>622300</xdr:colOff>
      <xdr:row>64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685800</xdr:colOff>
      <xdr:row>9</xdr:row>
      <xdr:rowOff>0</xdr:rowOff>
    </xdr:from>
    <xdr:to>
      <xdr:col>24</xdr:col>
      <xdr:colOff>304800</xdr:colOff>
      <xdr:row>23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685800</xdr:colOff>
      <xdr:row>24</xdr:row>
      <xdr:rowOff>152400</xdr:rowOff>
    </xdr:from>
    <xdr:to>
      <xdr:col>24</xdr:col>
      <xdr:colOff>304800</xdr:colOff>
      <xdr:row>39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25</xdr:row>
      <xdr:rowOff>184150</xdr:rowOff>
    </xdr:from>
    <xdr:to>
      <xdr:col>14</xdr:col>
      <xdr:colOff>774700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41</xdr:row>
      <xdr:rowOff>158750</xdr:rowOff>
    </xdr:from>
    <xdr:to>
      <xdr:col>14</xdr:col>
      <xdr:colOff>762000</xdr:colOff>
      <xdr:row>56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38</xdr:row>
      <xdr:rowOff>179070</xdr:rowOff>
    </xdr:from>
    <xdr:to>
      <xdr:col>7</xdr:col>
      <xdr:colOff>822960</xdr:colOff>
      <xdr:row>52</xdr:row>
      <xdr:rowOff>148590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56</xdr:row>
      <xdr:rowOff>146050</xdr:rowOff>
    </xdr:from>
    <xdr:to>
      <xdr:col>13</xdr:col>
      <xdr:colOff>228600</xdr:colOff>
      <xdr:row>71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33</xdr:row>
      <xdr:rowOff>177800</xdr:rowOff>
    </xdr:from>
    <xdr:to>
      <xdr:col>20</xdr:col>
      <xdr:colOff>749300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292100</xdr:colOff>
      <xdr:row>49</xdr:row>
      <xdr:rowOff>152400</xdr:rowOff>
    </xdr:from>
    <xdr:to>
      <xdr:col>20</xdr:col>
      <xdr:colOff>736600</xdr:colOff>
      <xdr:row>64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39" activeCellId="1" sqref="G12:G22 G39:G49"/>
    </sheetView>
  </sheetViews>
  <sheetFormatPr baseColWidth="10" defaultColWidth="11.1640625" defaultRowHeight="15" x14ac:dyDescent="0"/>
  <sheetData>
    <row r="1" spans="1:7">
      <c r="A1" t="s">
        <v>3</v>
      </c>
      <c r="B1" t="s">
        <v>8</v>
      </c>
      <c r="C1" t="s">
        <v>7</v>
      </c>
      <c r="D1" t="s">
        <v>10</v>
      </c>
      <c r="E1" t="s">
        <v>5</v>
      </c>
      <c r="F1" t="s">
        <v>11</v>
      </c>
      <c r="G1" t="s">
        <v>9</v>
      </c>
    </row>
    <row r="2" spans="1:7">
      <c r="A2">
        <v>1990</v>
      </c>
      <c r="B2">
        <v>0.22683262250848638</v>
      </c>
      <c r="D2">
        <v>1.4525720753138589</v>
      </c>
      <c r="E2">
        <v>1.3225465116279069</v>
      </c>
      <c r="F2">
        <v>0.50612930951622281</v>
      </c>
      <c r="G2">
        <v>0.81640211428822562</v>
      </c>
    </row>
    <row r="3" spans="1:7">
      <c r="A3">
        <v>1991</v>
      </c>
      <c r="B3">
        <v>0.22359619393060509</v>
      </c>
      <c r="D3">
        <v>1.4479481496406743</v>
      </c>
      <c r="E3">
        <v>1.3202033898305086</v>
      </c>
      <c r="F3">
        <v>0.51302825287840714</v>
      </c>
      <c r="G3">
        <v>0.81305580835067237</v>
      </c>
    </row>
    <row r="4" spans="1:7">
      <c r="A4">
        <v>1992</v>
      </c>
      <c r="B4">
        <v>0.22118285869329554</v>
      </c>
      <c r="D4">
        <v>1.44520165734295</v>
      </c>
      <c r="E4">
        <v>1.3357467811158799</v>
      </c>
      <c r="F4">
        <v>0.51811539737113588</v>
      </c>
      <c r="G4">
        <v>0.88923593162722647</v>
      </c>
    </row>
    <row r="5" spans="1:7">
      <c r="A5">
        <v>1993</v>
      </c>
      <c r="B5">
        <v>0.21980936268331658</v>
      </c>
      <c r="D5">
        <v>1.4405236363636365</v>
      </c>
      <c r="E5">
        <v>1.3354323144104803</v>
      </c>
      <c r="F5">
        <v>0.52233186999819026</v>
      </c>
      <c r="G5">
        <v>0.84904040966728977</v>
      </c>
    </row>
    <row r="6" spans="1:7">
      <c r="A6">
        <v>1994</v>
      </c>
      <c r="B6">
        <v>0.23173543630533139</v>
      </c>
      <c r="D6">
        <v>1.4267362837725841</v>
      </c>
      <c r="E6">
        <v>1.348931623931624</v>
      </c>
      <c r="F6">
        <v>0.50902864968346617</v>
      </c>
      <c r="G6">
        <v>0.84870847253063653</v>
      </c>
    </row>
    <row r="7" spans="1:7">
      <c r="A7">
        <v>1995</v>
      </c>
      <c r="B7">
        <v>0.23303166106792608</v>
      </c>
      <c r="D7">
        <v>1.4277279257459627</v>
      </c>
      <c r="E7">
        <v>1.3446796536796537</v>
      </c>
      <c r="F7">
        <v>0.523492872138836</v>
      </c>
      <c r="G7">
        <v>0.84902682798527096</v>
      </c>
    </row>
    <row r="8" spans="1:7">
      <c r="A8">
        <v>1996</v>
      </c>
      <c r="B8">
        <v>0.22115026194389245</v>
      </c>
      <c r="D8">
        <v>1.4209607195827951</v>
      </c>
      <c r="E8">
        <v>1.3584661016949153</v>
      </c>
      <c r="F8">
        <v>0.52076826593307146</v>
      </c>
      <c r="G8">
        <v>0.86240853711524756</v>
      </c>
    </row>
    <row r="9" spans="1:7">
      <c r="A9">
        <v>1997</v>
      </c>
      <c r="B9">
        <v>0.22829591211886513</v>
      </c>
      <c r="D9">
        <v>1.4182441175061102</v>
      </c>
      <c r="E9">
        <v>1.3649958333333334</v>
      </c>
      <c r="F9">
        <v>0.51170754160270249</v>
      </c>
      <c r="G9">
        <v>0.86776544374574727</v>
      </c>
    </row>
    <row r="10" spans="1:7">
      <c r="A10">
        <v>1998</v>
      </c>
      <c r="B10">
        <v>0.22373318438782999</v>
      </c>
      <c r="D10">
        <v>1.4227531816025791</v>
      </c>
      <c r="E10">
        <v>1.3615941422594142</v>
      </c>
      <c r="F10">
        <v>0.51045840027417788</v>
      </c>
      <c r="G10">
        <v>0.86900548639380115</v>
      </c>
    </row>
    <row r="11" spans="1:7">
      <c r="A11">
        <v>1999</v>
      </c>
      <c r="B11">
        <v>0.21914436167299159</v>
      </c>
      <c r="D11">
        <v>1.4101779576627798</v>
      </c>
      <c r="E11">
        <v>1.3635021276595745</v>
      </c>
      <c r="F11">
        <v>0.52204749264059003</v>
      </c>
      <c r="G11">
        <v>0.89524051736666177</v>
      </c>
    </row>
    <row r="12" spans="1:7">
      <c r="A12">
        <v>2000</v>
      </c>
      <c r="B12">
        <v>0.21767131430283118</v>
      </c>
      <c r="D12">
        <v>1.4003943146102638</v>
      </c>
      <c r="E12">
        <v>1.3692692307692307</v>
      </c>
      <c r="F12">
        <v>0.50529949837525634</v>
      </c>
      <c r="G12">
        <v>0.83079107445892919</v>
      </c>
    </row>
    <row r="13" spans="1:7">
      <c r="A13">
        <v>2001</v>
      </c>
      <c r="B13">
        <v>0.21139252665620697</v>
      </c>
      <c r="C13">
        <v>1.4457696693272519</v>
      </c>
      <c r="D13">
        <v>1.3847702257055976</v>
      </c>
      <c r="E13">
        <v>1.3687772925764192</v>
      </c>
      <c r="F13">
        <v>0.48630175441482104</v>
      </c>
      <c r="G13">
        <v>0.8642185453008866</v>
      </c>
    </row>
    <row r="14" spans="1:7">
      <c r="A14">
        <v>2002</v>
      </c>
      <c r="B14">
        <v>0.21107686743767345</v>
      </c>
      <c r="C14">
        <v>1.4524042772850243</v>
      </c>
      <c r="D14">
        <v>1.3755665118043046</v>
      </c>
      <c r="E14">
        <v>1.3623018018018018</v>
      </c>
      <c r="F14">
        <v>0.47006020544331689</v>
      </c>
      <c r="G14">
        <v>0.86848126528674741</v>
      </c>
    </row>
    <row r="15" spans="1:7">
      <c r="A15">
        <v>2003</v>
      </c>
      <c r="B15">
        <v>0.20746585518375865</v>
      </c>
      <c r="C15">
        <v>1.4390794027058202</v>
      </c>
      <c r="D15">
        <v>1.3484814896918644</v>
      </c>
      <c r="E15">
        <v>1.3575140186915888</v>
      </c>
      <c r="F15">
        <v>0.46325945743925168</v>
      </c>
      <c r="G15">
        <v>0.89668872386357001</v>
      </c>
    </row>
    <row r="16" spans="1:7">
      <c r="A16">
        <v>2004</v>
      </c>
      <c r="B16">
        <v>0.19718360924070463</v>
      </c>
      <c r="C16">
        <v>1.434569402062533</v>
      </c>
      <c r="D16">
        <v>1.3345707928328845</v>
      </c>
      <c r="E16">
        <v>1.3585555555555555</v>
      </c>
      <c r="F16">
        <v>0.45804912355179811</v>
      </c>
      <c r="G16">
        <v>1.1352645064869114</v>
      </c>
    </row>
    <row r="17" spans="1:7">
      <c r="A17">
        <v>2005</v>
      </c>
      <c r="B17">
        <v>0.19467859690717623</v>
      </c>
      <c r="C17">
        <v>1.4194116911795343</v>
      </c>
      <c r="D17">
        <v>1.3415439219165928</v>
      </c>
      <c r="E17">
        <v>1.3628190954773869</v>
      </c>
      <c r="F17">
        <v>0.44525574938914009</v>
      </c>
      <c r="G17">
        <v>1.2629515784423904</v>
      </c>
    </row>
    <row r="18" spans="1:7">
      <c r="A18">
        <v>2006</v>
      </c>
      <c r="B18">
        <v>0.19121574648439282</v>
      </c>
      <c r="C18">
        <v>1.4220333359930455</v>
      </c>
      <c r="D18">
        <v>1.3302867673610679</v>
      </c>
      <c r="E18">
        <v>1.3659894179894181</v>
      </c>
      <c r="F18">
        <v>0.43818494334623592</v>
      </c>
      <c r="G18">
        <v>1.3743931189790406</v>
      </c>
    </row>
    <row r="19" spans="1:7">
      <c r="A19">
        <v>2007</v>
      </c>
      <c r="B19">
        <v>0.18688097027629491</v>
      </c>
      <c r="C19">
        <v>1.4336244087530536</v>
      </c>
      <c r="D19">
        <v>1.3266684713062309</v>
      </c>
      <c r="E19">
        <v>1.3623406593406593</v>
      </c>
      <c r="F19">
        <v>0.42028363840154265</v>
      </c>
      <c r="G19">
        <v>1.4122197127829614</v>
      </c>
    </row>
    <row r="20" spans="1:7">
      <c r="A20">
        <v>2008</v>
      </c>
      <c r="B20">
        <v>0.18028978101839721</v>
      </c>
      <c r="C20">
        <v>1.4407456967615533</v>
      </c>
      <c r="D20">
        <v>1.3166458576664384</v>
      </c>
      <c r="E20">
        <v>1.3481754385964912</v>
      </c>
      <c r="F20">
        <v>0.41012272567540081</v>
      </c>
      <c r="G20">
        <v>1.4268374534320749</v>
      </c>
    </row>
    <row r="21" spans="1:7">
      <c r="A21">
        <v>2009</v>
      </c>
      <c r="B21">
        <v>0.17368971835606775</v>
      </c>
      <c r="C21">
        <v>1.4460780672596609</v>
      </c>
      <c r="D21">
        <v>1.3165594966466154</v>
      </c>
      <c r="E21">
        <v>1.3550121951219511</v>
      </c>
      <c r="F21">
        <v>0.40891632971129011</v>
      </c>
      <c r="G21">
        <v>1.4385674908013812</v>
      </c>
    </row>
    <row r="22" spans="1:7">
      <c r="A22">
        <v>2010</v>
      </c>
      <c r="B22">
        <v>0.1554441620207766</v>
      </c>
      <c r="C22">
        <v>1.4513679968212523</v>
      </c>
      <c r="D22">
        <v>1.3145434549994055</v>
      </c>
      <c r="E22">
        <v>1.3561688311688311</v>
      </c>
      <c r="F22">
        <v>0.41923129086633165</v>
      </c>
      <c r="G22">
        <v>1.4545305460525417</v>
      </c>
    </row>
    <row r="23" spans="1:7">
      <c r="A23">
        <v>2011</v>
      </c>
      <c r="B23">
        <v>0.16785145780761623</v>
      </c>
      <c r="C23">
        <v>1.4388342621499917</v>
      </c>
      <c r="D23">
        <v>1.3105007381889764</v>
      </c>
    </row>
    <row r="28" spans="1:7">
      <c r="A28" t="s">
        <v>4</v>
      </c>
      <c r="B28" t="s">
        <v>8</v>
      </c>
      <c r="C28" t="s">
        <v>7</v>
      </c>
      <c r="D28" t="s">
        <v>10</v>
      </c>
      <c r="E28" t="s">
        <v>5</v>
      </c>
      <c r="F28" t="s">
        <v>11</v>
      </c>
      <c r="G28" t="s">
        <v>9</v>
      </c>
    </row>
    <row r="29" spans="1:7">
      <c r="A29">
        <v>1990</v>
      </c>
      <c r="B29">
        <v>1.7335286275610439E-2</v>
      </c>
      <c r="D29">
        <v>4.3569949481047983E-2</v>
      </c>
      <c r="E29">
        <v>1.5289390622389858E-2</v>
      </c>
      <c r="F29">
        <v>1.361691344059183E-2</v>
      </c>
      <c r="G29">
        <v>0.24111909877020499</v>
      </c>
    </row>
    <row r="30" spans="1:7">
      <c r="A30">
        <v>1991</v>
      </c>
      <c r="B30">
        <v>2.1863844360385808E-2</v>
      </c>
      <c r="D30">
        <v>4.4608854975995545E-2</v>
      </c>
      <c r="E30">
        <v>1.4661325938478919E-2</v>
      </c>
      <c r="F30">
        <v>1.3225940278704476E-2</v>
      </c>
      <c r="G30">
        <v>0.2475117388335942</v>
      </c>
    </row>
    <row r="31" spans="1:7">
      <c r="A31">
        <v>1992</v>
      </c>
      <c r="B31">
        <v>2.0156305694805737E-2</v>
      </c>
      <c r="D31">
        <v>4.3839623142378624E-2</v>
      </c>
      <c r="E31">
        <v>1.3588065379511549E-2</v>
      </c>
      <c r="F31">
        <v>1.2625235094743946E-2</v>
      </c>
      <c r="G31">
        <v>0.28931539511214671</v>
      </c>
    </row>
    <row r="32" spans="1:7">
      <c r="A32">
        <v>1993</v>
      </c>
      <c r="B32">
        <v>1.9298211583970205E-2</v>
      </c>
      <c r="D32">
        <v>4.5700553334141122E-2</v>
      </c>
      <c r="E32">
        <v>1.2471633084162268E-2</v>
      </c>
      <c r="F32">
        <v>1.2588914105039517E-2</v>
      </c>
      <c r="G32">
        <v>0.30865235542552211</v>
      </c>
    </row>
    <row r="33" spans="1:7">
      <c r="A33">
        <v>1994</v>
      </c>
      <c r="B33">
        <v>1.8649675331462157E-2</v>
      </c>
      <c r="D33">
        <v>4.5061125339951942E-2</v>
      </c>
      <c r="E33">
        <v>1.1563440519562807E-2</v>
      </c>
      <c r="F33">
        <v>1.2313390857921203E-2</v>
      </c>
      <c r="G33">
        <v>0.3084037011046617</v>
      </c>
    </row>
    <row r="34" spans="1:7">
      <c r="A34">
        <v>1995</v>
      </c>
      <c r="B34">
        <v>1.8125173745913974E-2</v>
      </c>
      <c r="D34">
        <v>4.4316834812844083E-2</v>
      </c>
      <c r="E34">
        <v>1.1657292971177093E-2</v>
      </c>
      <c r="F34">
        <v>1.192354015972189E-2</v>
      </c>
      <c r="G34">
        <v>0.30976334693806812</v>
      </c>
    </row>
    <row r="35" spans="1:7">
      <c r="A35">
        <v>1996</v>
      </c>
      <c r="B35">
        <v>1.7449134915005698E-2</v>
      </c>
      <c r="D35">
        <v>4.5343075360415722E-2</v>
      </c>
      <c r="E35">
        <v>1.1222777434668962E-2</v>
      </c>
      <c r="F35">
        <v>1.1932033503300634E-2</v>
      </c>
      <c r="G35">
        <v>0.29687386639366065</v>
      </c>
    </row>
    <row r="36" spans="1:7">
      <c r="A36">
        <v>1997</v>
      </c>
      <c r="B36">
        <v>1.677448723910659E-2</v>
      </c>
      <c r="D36">
        <v>4.4991468009258476E-2</v>
      </c>
      <c r="E36">
        <v>1.0985992020732664E-2</v>
      </c>
      <c r="F36">
        <v>1.2394579108556783E-2</v>
      </c>
      <c r="G36">
        <v>0.27978817299205649</v>
      </c>
    </row>
    <row r="37" spans="1:7">
      <c r="A37">
        <v>1998</v>
      </c>
      <c r="B37">
        <v>1.5426312236320334E-2</v>
      </c>
      <c r="D37">
        <v>4.7674208349343397E-2</v>
      </c>
      <c r="E37">
        <v>1.0512536068661826E-2</v>
      </c>
      <c r="F37">
        <v>1.2834556349457684E-2</v>
      </c>
      <c r="G37">
        <v>0.25954160405335319</v>
      </c>
    </row>
    <row r="38" spans="1:7">
      <c r="A38">
        <v>1999</v>
      </c>
      <c r="B38">
        <v>1.4694677055543686E-2</v>
      </c>
      <c r="D38">
        <v>4.5722974242743492E-2</v>
      </c>
      <c r="E38">
        <v>1.068275373490667E-2</v>
      </c>
      <c r="F38">
        <v>1.272653224342616E-2</v>
      </c>
      <c r="G38">
        <v>0.22599287355015707</v>
      </c>
    </row>
    <row r="39" spans="1:7">
      <c r="A39">
        <v>2000</v>
      </c>
      <c r="B39">
        <v>1.4666413853632982E-2</v>
      </c>
      <c r="D39">
        <v>4.502238454288407E-2</v>
      </c>
      <c r="E39">
        <v>1.0639526355377033E-2</v>
      </c>
      <c r="F39">
        <v>1.2983274496664031E-2</v>
      </c>
      <c r="G39">
        <v>0.18310136682703376</v>
      </c>
    </row>
    <row r="40" spans="1:7">
      <c r="A40">
        <v>2001</v>
      </c>
      <c r="B40">
        <v>1.3905275913200147E-2</v>
      </c>
      <c r="C40">
        <v>1.8654931095582861E-2</v>
      </c>
      <c r="D40">
        <v>4.7753069619274426E-2</v>
      </c>
      <c r="E40">
        <v>1.1006540118041155E-2</v>
      </c>
      <c r="F40">
        <v>1.3722865501868698E-2</v>
      </c>
      <c r="G40">
        <v>0.16236597870987024</v>
      </c>
    </row>
    <row r="41" spans="1:7">
      <c r="A41">
        <v>2002</v>
      </c>
      <c r="B41">
        <v>1.4158156666770132E-2</v>
      </c>
      <c r="C41">
        <v>1.8107717571490461E-2</v>
      </c>
      <c r="D41">
        <v>4.9916942949111184E-2</v>
      </c>
      <c r="E41">
        <v>1.1344736485347071E-2</v>
      </c>
      <c r="F41">
        <v>1.4485831304149236E-2</v>
      </c>
      <c r="G41">
        <v>0.16290146026167054</v>
      </c>
    </row>
    <row r="42" spans="1:7">
      <c r="A42">
        <v>2003</v>
      </c>
      <c r="B42">
        <v>1.4106740218821929E-2</v>
      </c>
      <c r="C42">
        <v>1.807799734463059E-2</v>
      </c>
      <c r="D42">
        <v>4.7106690777576857E-2</v>
      </c>
      <c r="E42">
        <v>1.2075398956311014E-2</v>
      </c>
      <c r="F42">
        <v>1.4628763237744693E-2</v>
      </c>
      <c r="G42">
        <v>0.17437590427469235</v>
      </c>
    </row>
    <row r="43" spans="1:7">
      <c r="A43">
        <v>2004</v>
      </c>
      <c r="B43">
        <v>1.309959458974635E-2</v>
      </c>
      <c r="C43">
        <v>1.7526531710654769E-2</v>
      </c>
      <c r="D43">
        <v>4.5911248782456851E-2</v>
      </c>
      <c r="E43">
        <v>1.1453625440489864E-2</v>
      </c>
      <c r="F43">
        <v>1.512990540453671E-2</v>
      </c>
      <c r="G43">
        <v>0.1821220156444269</v>
      </c>
    </row>
    <row r="44" spans="1:7">
      <c r="A44">
        <v>2005</v>
      </c>
      <c r="B44">
        <v>1.221729975114174E-2</v>
      </c>
      <c r="C44">
        <v>1.7077960390168873E-2</v>
      </c>
      <c r="D44">
        <v>4.6898424960756302E-2</v>
      </c>
      <c r="E44">
        <v>1.1803053823547849E-2</v>
      </c>
      <c r="F44">
        <v>1.5865167588822695E-2</v>
      </c>
      <c r="G44">
        <v>0.17363610944536964</v>
      </c>
    </row>
    <row r="45" spans="1:7">
      <c r="A45">
        <v>2006</v>
      </c>
      <c r="B45">
        <v>1.1910777955585502E-2</v>
      </c>
      <c r="C45">
        <v>1.6741677888818012E-2</v>
      </c>
      <c r="D45">
        <v>4.4077728064099445E-2</v>
      </c>
      <c r="E45">
        <v>1.2286382721596455E-2</v>
      </c>
      <c r="F45">
        <v>1.6317130312389679E-2</v>
      </c>
      <c r="G45">
        <v>0.17183256049820014</v>
      </c>
    </row>
    <row r="46" spans="1:7">
      <c r="A46">
        <v>2007</v>
      </c>
      <c r="B46">
        <v>1.1341344919884134E-2</v>
      </c>
      <c r="C46">
        <v>1.5502540954383675E-2</v>
      </c>
      <c r="D46">
        <v>4.2848795689151467E-2</v>
      </c>
      <c r="E46">
        <v>1.188161938486606E-2</v>
      </c>
      <c r="F46">
        <v>1.6296362418397721E-2</v>
      </c>
      <c r="G46">
        <v>0.17669463374097311</v>
      </c>
    </row>
    <row r="47" spans="1:7">
      <c r="A47">
        <v>2008</v>
      </c>
      <c r="B47">
        <v>1.0826457472843172E-2</v>
      </c>
      <c r="C47">
        <v>1.4977652391669573E-2</v>
      </c>
      <c r="D47">
        <v>4.358997889327338E-2</v>
      </c>
      <c r="E47">
        <v>1.1009031049111209E-2</v>
      </c>
      <c r="F47">
        <v>1.5703100085600632E-2</v>
      </c>
      <c r="G47">
        <v>0.19419507773458455</v>
      </c>
    </row>
    <row r="48" spans="1:7">
      <c r="A48">
        <v>2009</v>
      </c>
      <c r="B48">
        <v>1.0332907772825348E-2</v>
      </c>
      <c r="C48">
        <v>1.3602319168130058E-2</v>
      </c>
      <c r="D48">
        <v>4.4881153696681969E-2</v>
      </c>
      <c r="E48">
        <v>9.9990099990099994E-3</v>
      </c>
      <c r="F48">
        <v>1.5051364675424827E-2</v>
      </c>
      <c r="G48">
        <v>0.19761493682994832</v>
      </c>
    </row>
    <row r="49" spans="1:7">
      <c r="A49">
        <v>2010</v>
      </c>
      <c r="B49">
        <v>9.7327236151945745E-3</v>
      </c>
      <c r="C49">
        <v>1.3330074146500448E-2</v>
      </c>
      <c r="D49">
        <v>4.5131312674527718E-2</v>
      </c>
      <c r="E49">
        <v>8.8580320804405067E-3</v>
      </c>
      <c r="F49">
        <v>1.4474292889968526E-2</v>
      </c>
      <c r="G49">
        <v>0.20427497651111806</v>
      </c>
    </row>
    <row r="50" spans="1:7">
      <c r="A50">
        <v>2011</v>
      </c>
      <c r="B50">
        <v>1.0114185087821099E-2</v>
      </c>
      <c r="C50">
        <v>1.3045873482065304E-2</v>
      </c>
      <c r="D50">
        <v>4.6506442603328091E-2</v>
      </c>
    </row>
  </sheetData>
  <phoneticPr fontId="2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9" workbookViewId="0">
      <selection activeCell="M96" sqref="M96:O98"/>
    </sheetView>
  </sheetViews>
  <sheetFormatPr baseColWidth="10" defaultColWidth="11.1640625" defaultRowHeight="15" x14ac:dyDescent="0"/>
  <sheetData>
    <row r="1" spans="1:11">
      <c r="A1" t="s">
        <v>60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2007</v>
      </c>
      <c r="I1">
        <v>2008</v>
      </c>
      <c r="J1">
        <v>2009</v>
      </c>
      <c r="K1">
        <v>2010</v>
      </c>
    </row>
    <row r="2" spans="1:11">
      <c r="A2" t="s">
        <v>54</v>
      </c>
      <c r="B2">
        <v>4139</v>
      </c>
      <c r="C2" s="13">
        <v>45435</v>
      </c>
      <c r="D2" s="13">
        <v>60614</v>
      </c>
      <c r="E2" s="13">
        <v>39209</v>
      </c>
      <c r="F2" s="13">
        <v>2356</v>
      </c>
      <c r="G2" s="13">
        <v>1472</v>
      </c>
      <c r="H2" s="13">
        <v>394</v>
      </c>
      <c r="I2">
        <v>253</v>
      </c>
      <c r="J2">
        <v>210</v>
      </c>
      <c r="K2">
        <v>252</v>
      </c>
    </row>
    <row r="3" spans="1:11">
      <c r="A3" t="s">
        <v>55</v>
      </c>
      <c r="B3">
        <v>11378</v>
      </c>
      <c r="C3" s="13">
        <v>13490</v>
      </c>
      <c r="D3" s="13">
        <v>13839</v>
      </c>
      <c r="E3" s="13">
        <v>17125</v>
      </c>
      <c r="F3" s="13">
        <v>12846</v>
      </c>
      <c r="G3" s="13">
        <v>8369</v>
      </c>
      <c r="H3" s="13">
        <v>6740</v>
      </c>
      <c r="I3" s="13">
        <v>5454</v>
      </c>
      <c r="J3" s="13">
        <v>4527</v>
      </c>
      <c r="K3">
        <v>4546</v>
      </c>
    </row>
    <row r="4" spans="1:11">
      <c r="A4" t="s">
        <v>56</v>
      </c>
      <c r="B4">
        <v>268012</v>
      </c>
      <c r="C4" s="13">
        <v>325752</v>
      </c>
      <c r="D4" s="13">
        <v>344587</v>
      </c>
      <c r="E4" s="13">
        <v>321955</v>
      </c>
      <c r="F4" s="13">
        <v>257387</v>
      </c>
      <c r="G4" s="13">
        <v>226372</v>
      </c>
      <c r="H4" s="13">
        <v>186126</v>
      </c>
      <c r="I4" s="13">
        <v>152277</v>
      </c>
      <c r="J4" s="13">
        <v>137965</v>
      </c>
      <c r="K4">
        <v>126826</v>
      </c>
    </row>
    <row r="5" spans="1:11">
      <c r="A5" t="s">
        <v>57</v>
      </c>
      <c r="B5">
        <v>26258</v>
      </c>
      <c r="C5" s="13">
        <v>31050</v>
      </c>
      <c r="D5">
        <v>33013</v>
      </c>
      <c r="E5" s="13">
        <v>35515</v>
      </c>
      <c r="F5" s="13">
        <v>26874</v>
      </c>
      <c r="G5" s="13">
        <v>22517</v>
      </c>
      <c r="H5">
        <v>16060</v>
      </c>
      <c r="I5">
        <v>13699</v>
      </c>
      <c r="J5">
        <v>12851</v>
      </c>
      <c r="K5">
        <v>11529</v>
      </c>
    </row>
    <row r="6" spans="1:11">
      <c r="A6" t="s">
        <v>58</v>
      </c>
      <c r="B6">
        <v>32644</v>
      </c>
      <c r="C6" s="13">
        <v>40546</v>
      </c>
      <c r="D6" s="13">
        <v>38038</v>
      </c>
      <c r="E6" s="13">
        <v>26367</v>
      </c>
      <c r="F6" s="13">
        <v>18443</v>
      </c>
      <c r="G6" s="13">
        <v>13998</v>
      </c>
      <c r="H6" s="13">
        <v>11207</v>
      </c>
      <c r="I6" s="13">
        <v>8965</v>
      </c>
      <c r="J6" s="13">
        <v>7314</v>
      </c>
      <c r="K6">
        <v>7221</v>
      </c>
    </row>
    <row r="7" spans="1:11">
      <c r="A7" s="13" t="s">
        <v>59</v>
      </c>
      <c r="B7" s="13">
        <v>274540</v>
      </c>
      <c r="C7" s="13">
        <v>298646</v>
      </c>
      <c r="D7" s="13">
        <v>283045</v>
      </c>
      <c r="E7" s="13">
        <v>227337</v>
      </c>
      <c r="F7" s="13">
        <v>199982</v>
      </c>
      <c r="G7" s="13">
        <v>177526</v>
      </c>
      <c r="H7" s="13">
        <v>106682</v>
      </c>
      <c r="I7" s="13">
        <v>84556</v>
      </c>
      <c r="J7" s="13">
        <v>75484</v>
      </c>
      <c r="K7" s="13">
        <v>69147</v>
      </c>
    </row>
    <row r="8" spans="1:11" ht="16">
      <c r="A8" s="2" t="s">
        <v>1</v>
      </c>
      <c r="B8" s="13">
        <f>SUM(B2:B7)</f>
        <v>616971</v>
      </c>
      <c r="C8" s="13">
        <f t="shared" ref="C8:K8" si="0">SUM(C2:C7)</f>
        <v>754919</v>
      </c>
      <c r="D8" s="13">
        <f t="shared" si="0"/>
        <v>773136</v>
      </c>
      <c r="E8" s="13">
        <f t="shared" si="0"/>
        <v>667508</v>
      </c>
      <c r="F8" s="13">
        <f t="shared" si="0"/>
        <v>517888</v>
      </c>
      <c r="G8" s="13">
        <f t="shared" si="0"/>
        <v>450254</v>
      </c>
      <c r="H8" s="13">
        <f t="shared" si="0"/>
        <v>327209</v>
      </c>
      <c r="I8" s="13">
        <f t="shared" si="0"/>
        <v>265204</v>
      </c>
      <c r="J8" s="13">
        <f t="shared" si="0"/>
        <v>238351</v>
      </c>
      <c r="K8" s="13">
        <f t="shared" si="0"/>
        <v>219521</v>
      </c>
    </row>
    <row r="9" spans="1:11">
      <c r="A9" s="13" t="s">
        <v>61</v>
      </c>
    </row>
    <row r="10" spans="1:11">
      <c r="A10" s="14" t="s">
        <v>54</v>
      </c>
      <c r="B10" s="14">
        <v>374</v>
      </c>
      <c r="C10" s="14">
        <v>508</v>
      </c>
      <c r="D10" s="14">
        <v>448</v>
      </c>
      <c r="E10" s="14">
        <v>373</v>
      </c>
      <c r="F10" s="14">
        <v>253</v>
      </c>
      <c r="G10" s="14">
        <v>246</v>
      </c>
      <c r="H10" s="14">
        <v>91</v>
      </c>
      <c r="I10" s="14">
        <v>47</v>
      </c>
      <c r="J10" s="14">
        <v>58</v>
      </c>
      <c r="K10" s="14">
        <v>42</v>
      </c>
    </row>
    <row r="11" spans="1:11">
      <c r="A11" s="14" t="s">
        <v>55</v>
      </c>
      <c r="B11" s="14">
        <v>555</v>
      </c>
      <c r="C11" s="14">
        <v>959</v>
      </c>
      <c r="D11" s="14">
        <v>952</v>
      </c>
      <c r="E11" s="14">
        <v>1030</v>
      </c>
      <c r="F11" s="14">
        <v>1203</v>
      </c>
      <c r="G11" s="14">
        <v>1033</v>
      </c>
      <c r="H11" s="14">
        <v>1035</v>
      </c>
      <c r="I11" s="14">
        <v>984</v>
      </c>
      <c r="J11" s="14">
        <v>900</v>
      </c>
      <c r="K11" s="14">
        <v>857</v>
      </c>
    </row>
    <row r="12" spans="1:11">
      <c r="A12" s="14" t="s">
        <v>56</v>
      </c>
      <c r="B12" s="14">
        <v>35500</v>
      </c>
      <c r="C12" s="14">
        <v>43101</v>
      </c>
      <c r="D12" s="14">
        <v>47351</v>
      </c>
      <c r="E12" s="14">
        <v>50665</v>
      </c>
      <c r="F12" s="14">
        <v>52328</v>
      </c>
      <c r="G12" s="14">
        <v>51226</v>
      </c>
      <c r="H12" s="14">
        <v>49181</v>
      </c>
      <c r="I12" s="14">
        <v>44672</v>
      </c>
      <c r="J12" s="14">
        <v>41929</v>
      </c>
      <c r="K12" s="14">
        <v>40528</v>
      </c>
    </row>
    <row r="13" spans="1:11">
      <c r="A13" s="14" t="s">
        <v>57</v>
      </c>
      <c r="B13" s="14">
        <v>1260</v>
      </c>
      <c r="C13" s="14">
        <v>1661</v>
      </c>
      <c r="D13" s="14">
        <v>1947</v>
      </c>
      <c r="E13" s="14">
        <v>2424</v>
      </c>
      <c r="F13" s="14">
        <v>2831</v>
      </c>
      <c r="G13" s="14">
        <v>2791</v>
      </c>
      <c r="H13" s="14">
        <v>2935</v>
      </c>
      <c r="I13" s="14">
        <v>2908</v>
      </c>
      <c r="J13" s="14">
        <v>2802</v>
      </c>
      <c r="K13" s="14">
        <v>2812</v>
      </c>
    </row>
    <row r="14" spans="1:11">
      <c r="A14" s="14" t="s">
        <v>58</v>
      </c>
      <c r="B14" s="14">
        <v>5077</v>
      </c>
      <c r="C14" s="14">
        <v>6482</v>
      </c>
      <c r="D14" s="14">
        <v>6082</v>
      </c>
      <c r="E14" s="14">
        <v>4126</v>
      </c>
      <c r="F14" s="14">
        <v>3225</v>
      </c>
      <c r="G14" s="14">
        <v>2542</v>
      </c>
      <c r="H14" s="14">
        <v>2479</v>
      </c>
      <c r="I14" s="14">
        <v>2206</v>
      </c>
      <c r="J14" s="14">
        <v>1872</v>
      </c>
      <c r="K14" s="14">
        <v>1755</v>
      </c>
    </row>
    <row r="15" spans="1:11">
      <c r="A15" s="14" t="s">
        <v>59</v>
      </c>
      <c r="B15" s="14">
        <v>51088</v>
      </c>
      <c r="C15" s="14">
        <v>53219</v>
      </c>
      <c r="D15" s="14">
        <v>52601</v>
      </c>
      <c r="E15" s="14">
        <v>45753</v>
      </c>
      <c r="F15" s="14">
        <v>47236</v>
      </c>
      <c r="G15" s="14">
        <v>40900</v>
      </c>
      <c r="H15" s="14">
        <v>25928</v>
      </c>
      <c r="I15" s="14">
        <v>22667</v>
      </c>
      <c r="J15" s="14">
        <v>20198</v>
      </c>
      <c r="K15" s="14">
        <v>19231</v>
      </c>
    </row>
    <row r="16" spans="1:11">
      <c r="A16" s="14" t="s">
        <v>0</v>
      </c>
    </row>
    <row r="17" spans="1:11">
      <c r="A17" t="s">
        <v>54</v>
      </c>
      <c r="B17">
        <v>2279</v>
      </c>
      <c r="C17" s="13">
        <v>3734</v>
      </c>
      <c r="D17" s="13">
        <v>3316</v>
      </c>
      <c r="E17" s="13">
        <v>2017</v>
      </c>
      <c r="F17" s="13">
        <v>1404</v>
      </c>
      <c r="G17" s="13">
        <v>1407</v>
      </c>
      <c r="H17">
        <v>455</v>
      </c>
      <c r="I17">
        <v>290</v>
      </c>
      <c r="J17">
        <v>226</v>
      </c>
      <c r="K17">
        <v>289</v>
      </c>
    </row>
    <row r="18" spans="1:11">
      <c r="A18" t="s">
        <v>55</v>
      </c>
      <c r="B18">
        <v>4797</v>
      </c>
      <c r="C18" s="13">
        <v>6614</v>
      </c>
      <c r="D18" s="13">
        <v>7419</v>
      </c>
      <c r="E18" s="13">
        <v>8485</v>
      </c>
      <c r="F18" s="13">
        <v>8999</v>
      </c>
      <c r="G18" s="13">
        <v>8241</v>
      </c>
      <c r="H18">
        <v>7395</v>
      </c>
      <c r="I18">
        <v>6153</v>
      </c>
      <c r="J18">
        <v>5081</v>
      </c>
      <c r="K18">
        <v>5232</v>
      </c>
    </row>
    <row r="19" spans="1:11">
      <c r="A19" t="s">
        <v>56</v>
      </c>
      <c r="B19">
        <v>158708</v>
      </c>
      <c r="C19" s="13">
        <v>224874</v>
      </c>
      <c r="D19" s="13">
        <v>243434</v>
      </c>
      <c r="E19" s="13">
        <v>230444</v>
      </c>
      <c r="F19" s="13">
        <v>227374</v>
      </c>
      <c r="G19" s="13">
        <v>230243</v>
      </c>
      <c r="H19">
        <v>213733</v>
      </c>
      <c r="I19">
        <v>173797</v>
      </c>
      <c r="J19">
        <v>158232</v>
      </c>
      <c r="K19">
        <v>147026</v>
      </c>
    </row>
    <row r="20" spans="1:11">
      <c r="A20" t="s">
        <v>57</v>
      </c>
      <c r="B20">
        <f>2545+8473</f>
        <v>11018</v>
      </c>
      <c r="C20" s="13">
        <f>3000+13292</f>
        <v>16292</v>
      </c>
      <c r="D20" s="13">
        <v>18043</v>
      </c>
      <c r="E20" s="13">
        <v>18693</v>
      </c>
      <c r="F20" s="13">
        <v>20138</v>
      </c>
      <c r="G20" s="13">
        <v>22039</v>
      </c>
      <c r="H20">
        <v>17348</v>
      </c>
      <c r="I20">
        <v>14822</v>
      </c>
      <c r="J20">
        <v>14243</v>
      </c>
      <c r="K20">
        <v>12730</v>
      </c>
    </row>
    <row r="21" spans="1:11">
      <c r="A21" t="s">
        <v>58</v>
      </c>
      <c r="B21">
        <v>21863</v>
      </c>
      <c r="C21" s="13">
        <v>33538</v>
      </c>
      <c r="D21" s="13">
        <v>32769</v>
      </c>
      <c r="E21" s="13">
        <v>23534</v>
      </c>
      <c r="F21" s="13">
        <v>18932</v>
      </c>
      <c r="G21" s="13">
        <v>15096</v>
      </c>
      <c r="H21">
        <v>13081</v>
      </c>
      <c r="I21">
        <v>10133</v>
      </c>
      <c r="J21">
        <v>8204</v>
      </c>
      <c r="K21">
        <v>8138</v>
      </c>
    </row>
    <row r="22" spans="1:11">
      <c r="A22" s="13" t="s">
        <v>59</v>
      </c>
      <c r="B22">
        <v>220056</v>
      </c>
      <c r="C22" s="13">
        <v>261433</v>
      </c>
      <c r="D22" s="13">
        <v>257093</v>
      </c>
      <c r="E22" s="13">
        <v>211001</v>
      </c>
      <c r="F22" s="13">
        <v>204018</v>
      </c>
      <c r="G22" s="13">
        <v>192885</v>
      </c>
      <c r="H22">
        <v>128430</v>
      </c>
      <c r="I22">
        <v>99724</v>
      </c>
      <c r="J22">
        <v>89139</v>
      </c>
      <c r="K22">
        <v>80660</v>
      </c>
    </row>
    <row r="23" spans="1:11">
      <c r="A23" s="13" t="s">
        <v>3</v>
      </c>
    </row>
    <row r="24" spans="1:11">
      <c r="A24" t="s">
        <v>54</v>
      </c>
      <c r="B24">
        <f t="shared" ref="B24:B29" si="1">(B10+B17)/B2</f>
        <v>0.64097608117902871</v>
      </c>
      <c r="C24">
        <f t="shared" ref="C24:G24" si="2">(C10+C17)/C2</f>
        <v>9.3364146583030702E-2</v>
      </c>
      <c r="D24">
        <f t="shared" si="2"/>
        <v>6.2097865179661461E-2</v>
      </c>
      <c r="E24">
        <f t="shared" si="2"/>
        <v>6.0955392894488508E-2</v>
      </c>
      <c r="F24">
        <f t="shared" si="2"/>
        <v>0.70331069609507635</v>
      </c>
      <c r="G24">
        <f t="shared" si="2"/>
        <v>1.122961956521739</v>
      </c>
      <c r="H24">
        <f t="shared" ref="H24:K29" si="3">(H10+H17)/H2</f>
        <v>1.3857868020304569</v>
      </c>
      <c r="I24">
        <f t="shared" si="3"/>
        <v>1.3320158102766799</v>
      </c>
      <c r="J24">
        <f t="shared" si="3"/>
        <v>1.3523809523809525</v>
      </c>
      <c r="K24">
        <f t="shared" si="3"/>
        <v>1.3134920634920635</v>
      </c>
    </row>
    <row r="25" spans="1:11">
      <c r="A25" t="s">
        <v>55</v>
      </c>
      <c r="B25">
        <f t="shared" si="1"/>
        <v>0.47038143786254177</v>
      </c>
      <c r="C25">
        <f t="shared" ref="C25:G29" si="4">(C11+C18)/C3</f>
        <v>0.56137879911045219</v>
      </c>
      <c r="D25">
        <f t="shared" si="4"/>
        <v>0.60488474600765951</v>
      </c>
      <c r="E25">
        <f t="shared" si="4"/>
        <v>0.55562043795620442</v>
      </c>
      <c r="F25">
        <f t="shared" si="4"/>
        <v>0.79417717577456015</v>
      </c>
      <c r="G25">
        <f t="shared" si="4"/>
        <v>1.108137172899988</v>
      </c>
      <c r="H25">
        <f t="shared" si="3"/>
        <v>1.2507418397626113</v>
      </c>
      <c r="I25">
        <f t="shared" si="3"/>
        <v>1.3085808580858085</v>
      </c>
      <c r="J25">
        <f t="shared" si="3"/>
        <v>1.3211840070686989</v>
      </c>
      <c r="K25">
        <f t="shared" si="3"/>
        <v>1.3394192696876375</v>
      </c>
    </row>
    <row r="26" spans="1:11">
      <c r="A26" t="s">
        <v>56</v>
      </c>
      <c r="B26">
        <f t="shared" si="1"/>
        <v>0.72462427055504974</v>
      </c>
      <c r="C26">
        <f t="shared" si="4"/>
        <v>0.82263501068297351</v>
      </c>
      <c r="D26">
        <f t="shared" si="4"/>
        <v>0.84386526479524759</v>
      </c>
      <c r="E26">
        <f t="shared" si="4"/>
        <v>0.87313133823049804</v>
      </c>
      <c r="F26">
        <f t="shared" si="4"/>
        <v>1.0866982403928713</v>
      </c>
      <c r="G26">
        <f t="shared" si="4"/>
        <v>1.243391408831481</v>
      </c>
      <c r="H26">
        <f t="shared" si="3"/>
        <v>1.4125592340672448</v>
      </c>
      <c r="I26">
        <f t="shared" si="3"/>
        <v>1.4346815343091865</v>
      </c>
      <c r="J26">
        <f t="shared" si="3"/>
        <v>1.450809988040445</v>
      </c>
      <c r="K26">
        <f t="shared" si="3"/>
        <v>1.4788292621386783</v>
      </c>
    </row>
    <row r="27" spans="1:11">
      <c r="A27" t="s">
        <v>57</v>
      </c>
      <c r="B27">
        <f t="shared" si="1"/>
        <v>0.46759082946149744</v>
      </c>
      <c r="C27">
        <f t="shared" si="4"/>
        <v>0.57819645732689207</v>
      </c>
      <c r="D27">
        <f t="shared" si="4"/>
        <v>0.60551903795474515</v>
      </c>
      <c r="E27">
        <f t="shared" si="4"/>
        <v>0.59459383359144025</v>
      </c>
      <c r="F27">
        <f t="shared" si="4"/>
        <v>0.8546922676192602</v>
      </c>
      <c r="G27">
        <f t="shared" si="4"/>
        <v>1.1027223875294223</v>
      </c>
      <c r="H27">
        <f t="shared" si="3"/>
        <v>1.2629514321295143</v>
      </c>
      <c r="I27">
        <f t="shared" si="3"/>
        <v>1.2942550551135119</v>
      </c>
      <c r="J27">
        <f t="shared" si="3"/>
        <v>1.3263559256089019</v>
      </c>
      <c r="K27">
        <f t="shared" si="3"/>
        <v>1.3480787579148235</v>
      </c>
    </row>
    <row r="28" spans="1:11">
      <c r="A28" t="s">
        <v>58</v>
      </c>
      <c r="B28">
        <f t="shared" si="1"/>
        <v>0.82526651145692931</v>
      </c>
      <c r="C28">
        <f t="shared" si="4"/>
        <v>0.9870270803531791</v>
      </c>
      <c r="D28">
        <f t="shared" si="4"/>
        <v>1.0213733634786266</v>
      </c>
      <c r="E28">
        <f t="shared" si="4"/>
        <v>1.0490385709409489</v>
      </c>
      <c r="F28">
        <f t="shared" si="4"/>
        <v>1.2013772162880225</v>
      </c>
      <c r="G28">
        <f t="shared" si="4"/>
        <v>1.2600371481640233</v>
      </c>
      <c r="H28">
        <f t="shared" si="3"/>
        <v>1.3884179530650487</v>
      </c>
      <c r="I28">
        <f t="shared" si="3"/>
        <v>1.3763524818739543</v>
      </c>
      <c r="J28">
        <f t="shared" si="3"/>
        <v>1.3776319387476073</v>
      </c>
      <c r="K28">
        <f t="shared" si="3"/>
        <v>1.3700318515441074</v>
      </c>
    </row>
    <row r="29" spans="1:11">
      <c r="A29" s="13" t="s">
        <v>59</v>
      </c>
      <c r="B29">
        <f t="shared" si="1"/>
        <v>0.98763021781889704</v>
      </c>
      <c r="C29">
        <f t="shared" si="4"/>
        <v>1.053595226455402</v>
      </c>
      <c r="D29">
        <f t="shared" si="4"/>
        <v>1.09415110671448</v>
      </c>
      <c r="E29">
        <f t="shared" si="4"/>
        <v>1.1293982061872903</v>
      </c>
      <c r="F29">
        <f t="shared" si="4"/>
        <v>1.2563830744767028</v>
      </c>
      <c r="G29">
        <f t="shared" si="4"/>
        <v>1.3169056926872684</v>
      </c>
      <c r="H29">
        <f t="shared" si="3"/>
        <v>1.4468982583753585</v>
      </c>
      <c r="I29">
        <f t="shared" si="3"/>
        <v>1.4474549411041204</v>
      </c>
      <c r="J29">
        <f t="shared" si="3"/>
        <v>1.4484791478988925</v>
      </c>
      <c r="K29">
        <f t="shared" si="3"/>
        <v>1.4446179877651959</v>
      </c>
    </row>
    <row r="30" spans="1:11" ht="16">
      <c r="A30" s="2" t="s">
        <v>173</v>
      </c>
      <c r="B30">
        <v>0.83079107445892919</v>
      </c>
      <c r="C30">
        <v>0.8642185453008866</v>
      </c>
      <c r="D30">
        <v>0.86848126528674741</v>
      </c>
      <c r="E30">
        <v>0.89668872386357001</v>
      </c>
      <c r="F30">
        <v>1.1352645064869114</v>
      </c>
      <c r="G30">
        <v>1.2629515784423904</v>
      </c>
      <c r="H30">
        <v>1.4122197127829614</v>
      </c>
      <c r="I30">
        <v>1.4268374534320749</v>
      </c>
      <c r="J30">
        <v>1.4385674908013812</v>
      </c>
      <c r="K30">
        <v>1.4545305460525417</v>
      </c>
    </row>
    <row r="31" spans="1:11">
      <c r="A31" s="13" t="s">
        <v>4</v>
      </c>
      <c r="B31">
        <v>2000</v>
      </c>
      <c r="C31">
        <v>2001</v>
      </c>
      <c r="D31">
        <v>2002</v>
      </c>
      <c r="E31">
        <v>2003</v>
      </c>
      <c r="F31">
        <v>2004</v>
      </c>
      <c r="G31">
        <v>2005</v>
      </c>
      <c r="H31">
        <v>2007</v>
      </c>
      <c r="I31">
        <v>2008</v>
      </c>
      <c r="J31">
        <v>2009</v>
      </c>
      <c r="K31">
        <v>2010</v>
      </c>
    </row>
    <row r="32" spans="1:11">
      <c r="A32" t="s">
        <v>54</v>
      </c>
      <c r="B32">
        <f t="shared" ref="B32:K32" si="5">B10/(B10+B17)</f>
        <v>0.14097248398039955</v>
      </c>
      <c r="C32">
        <f t="shared" si="5"/>
        <v>0.11975483262611976</v>
      </c>
      <c r="D32">
        <f t="shared" si="5"/>
        <v>0.11902231668437832</v>
      </c>
      <c r="E32">
        <f t="shared" si="5"/>
        <v>0.15606694560669457</v>
      </c>
      <c r="F32">
        <f t="shared" si="5"/>
        <v>0.15268557634278818</v>
      </c>
      <c r="G32">
        <f t="shared" si="5"/>
        <v>0.14882032667876588</v>
      </c>
      <c r="H32">
        <f t="shared" si="5"/>
        <v>0.16666666666666666</v>
      </c>
      <c r="I32">
        <f t="shared" si="5"/>
        <v>0.1394658753709199</v>
      </c>
      <c r="J32">
        <f t="shared" si="5"/>
        <v>0.20422535211267606</v>
      </c>
      <c r="K32">
        <f t="shared" si="5"/>
        <v>0.12688821752265861</v>
      </c>
    </row>
    <row r="33" spans="1:11">
      <c r="A33" t="s">
        <v>55</v>
      </c>
      <c r="B33">
        <f t="shared" ref="B33:K33" si="6">B11/(B11+B18)</f>
        <v>0.10369955156950672</v>
      </c>
      <c r="C33">
        <f t="shared" si="6"/>
        <v>0.12663409481051102</v>
      </c>
      <c r="D33">
        <f t="shared" si="6"/>
        <v>0.11372595866682594</v>
      </c>
      <c r="E33">
        <f t="shared" si="6"/>
        <v>0.10825013137151865</v>
      </c>
      <c r="F33">
        <f t="shared" si="6"/>
        <v>0.11791805528327778</v>
      </c>
      <c r="G33">
        <f t="shared" si="6"/>
        <v>0.11138667241751132</v>
      </c>
      <c r="H33">
        <f t="shared" si="6"/>
        <v>0.12277580071174377</v>
      </c>
      <c r="I33">
        <f t="shared" si="6"/>
        <v>0.13787305590584278</v>
      </c>
      <c r="J33">
        <f t="shared" si="6"/>
        <v>0.15047650894499248</v>
      </c>
      <c r="K33">
        <f t="shared" si="6"/>
        <v>0.14074560683199211</v>
      </c>
    </row>
    <row r="34" spans="1:11">
      <c r="A34" t="s">
        <v>56</v>
      </c>
      <c r="B34">
        <f t="shared" ref="B34:K34" si="7">B12/(B12+B19)</f>
        <v>0.18279370571758116</v>
      </c>
      <c r="C34">
        <f t="shared" si="7"/>
        <v>0.16083963056255249</v>
      </c>
      <c r="D34">
        <f t="shared" si="7"/>
        <v>0.1628385233075984</v>
      </c>
      <c r="E34">
        <f t="shared" si="7"/>
        <v>0.18023257882173818</v>
      </c>
      <c r="F34">
        <f t="shared" si="7"/>
        <v>0.18708482599337867</v>
      </c>
      <c r="G34">
        <f t="shared" si="7"/>
        <v>0.18199517531237899</v>
      </c>
      <c r="H34">
        <f t="shared" si="7"/>
        <v>0.18706116829077188</v>
      </c>
      <c r="I34">
        <f t="shared" si="7"/>
        <v>0.20447752312685094</v>
      </c>
      <c r="J34">
        <f t="shared" si="7"/>
        <v>0.20947637152092566</v>
      </c>
      <c r="K34">
        <f t="shared" si="7"/>
        <v>0.21608710024846178</v>
      </c>
    </row>
    <row r="35" spans="1:11">
      <c r="A35" t="s">
        <v>57</v>
      </c>
      <c r="B35">
        <f t="shared" ref="B35:K35" si="8">B13/(B13+B20)</f>
        <v>0.10262257696693272</v>
      </c>
      <c r="C35">
        <f t="shared" si="8"/>
        <v>9.2519356096474131E-2</v>
      </c>
      <c r="D35">
        <f t="shared" si="8"/>
        <v>9.7398699349674836E-2</v>
      </c>
      <c r="E35">
        <f t="shared" si="8"/>
        <v>0.11478903253303026</v>
      </c>
      <c r="F35">
        <f t="shared" si="8"/>
        <v>0.12325308023858243</v>
      </c>
      <c r="G35">
        <f t="shared" si="8"/>
        <v>0.11240434957712445</v>
      </c>
      <c r="H35">
        <f t="shared" si="8"/>
        <v>0.14470246018833505</v>
      </c>
      <c r="I35">
        <f t="shared" si="8"/>
        <v>0.16401579244218839</v>
      </c>
      <c r="J35">
        <f t="shared" si="8"/>
        <v>0.16438838369023173</v>
      </c>
      <c r="K35">
        <f t="shared" si="8"/>
        <v>0.18092909535452323</v>
      </c>
    </row>
    <row r="36" spans="1:11">
      <c r="A36" t="s">
        <v>58</v>
      </c>
      <c r="B36">
        <f t="shared" ref="B36:K36" si="9">B14/(B14+B21)</f>
        <v>0.18845582776540459</v>
      </c>
      <c r="C36">
        <f t="shared" si="9"/>
        <v>0.16196901549225387</v>
      </c>
      <c r="D36">
        <f t="shared" si="9"/>
        <v>0.15654680703199403</v>
      </c>
      <c r="E36">
        <f t="shared" si="9"/>
        <v>0.14916847433116415</v>
      </c>
      <c r="F36">
        <f t="shared" si="9"/>
        <v>0.14555219569436295</v>
      </c>
      <c r="G36">
        <f t="shared" si="9"/>
        <v>0.14412064859961446</v>
      </c>
      <c r="H36">
        <f t="shared" si="9"/>
        <v>0.15931876606683804</v>
      </c>
      <c r="I36">
        <f t="shared" si="9"/>
        <v>0.1787827214523057</v>
      </c>
      <c r="J36">
        <f t="shared" si="9"/>
        <v>0.18578801111552204</v>
      </c>
      <c r="K36">
        <f t="shared" si="9"/>
        <v>0.1773981603153745</v>
      </c>
    </row>
    <row r="37" spans="1:11">
      <c r="A37" s="13" t="s">
        <v>59</v>
      </c>
      <c r="B37">
        <f t="shared" ref="B37:K37" si="10">B15/(B15+B22)</f>
        <v>0.1884164871802437</v>
      </c>
      <c r="C37">
        <f t="shared" si="10"/>
        <v>0.1691360614265919</v>
      </c>
      <c r="D37">
        <f t="shared" si="10"/>
        <v>0.16984830187217059</v>
      </c>
      <c r="E37">
        <f t="shared" si="10"/>
        <v>0.1781978080185703</v>
      </c>
      <c r="F37">
        <f t="shared" si="10"/>
        <v>0.1880009870489624</v>
      </c>
      <c r="G37">
        <f t="shared" si="10"/>
        <v>0.17494706674936372</v>
      </c>
      <c r="H37">
        <f t="shared" si="10"/>
        <v>0.167973153318908</v>
      </c>
      <c r="I37">
        <f t="shared" si="10"/>
        <v>0.18520152625601555</v>
      </c>
      <c r="J37">
        <f t="shared" si="10"/>
        <v>0.1847316096106533</v>
      </c>
      <c r="K37">
        <f t="shared" si="10"/>
        <v>0.19251984663282978</v>
      </c>
    </row>
    <row r="38" spans="1:11" ht="16">
      <c r="A38" s="2" t="s">
        <v>173</v>
      </c>
      <c r="B38">
        <v>0.18310136682703376</v>
      </c>
      <c r="C38">
        <v>0.16236597870987024</v>
      </c>
      <c r="D38">
        <v>0.16290146026167054</v>
      </c>
      <c r="E38">
        <v>0.17437590427469235</v>
      </c>
      <c r="F38">
        <v>0.1821220156444269</v>
      </c>
      <c r="G38">
        <v>0.17363610944536964</v>
      </c>
      <c r="H38">
        <v>0.17669463374097311</v>
      </c>
      <c r="I38">
        <v>0.19419507773458455</v>
      </c>
      <c r="J38">
        <v>0.19761493682994832</v>
      </c>
      <c r="K38">
        <v>0.20427497651111806</v>
      </c>
    </row>
    <row r="41" spans="1:11">
      <c r="G41" t="s">
        <v>133</v>
      </c>
      <c r="H41" t="s">
        <v>134</v>
      </c>
    </row>
    <row r="42" spans="1:11">
      <c r="G42" s="14" t="s">
        <v>56</v>
      </c>
      <c r="H42" s="14">
        <v>40528</v>
      </c>
    </row>
    <row r="43" spans="1:11">
      <c r="G43" s="14" t="s">
        <v>59</v>
      </c>
      <c r="H43" s="14">
        <v>19231</v>
      </c>
    </row>
    <row r="44" spans="1:11">
      <c r="G44" s="14" t="s">
        <v>57</v>
      </c>
      <c r="H44" s="14">
        <v>2812</v>
      </c>
    </row>
    <row r="45" spans="1:11">
      <c r="G45" s="14" t="s">
        <v>58</v>
      </c>
      <c r="H45" s="14">
        <v>1755</v>
      </c>
    </row>
    <row r="46" spans="1:11">
      <c r="G46" s="14" t="s">
        <v>55</v>
      </c>
      <c r="H46" s="14">
        <v>857</v>
      </c>
    </row>
    <row r="47" spans="1:11">
      <c r="G47" s="14" t="s">
        <v>54</v>
      </c>
      <c r="H47" s="14">
        <v>42</v>
      </c>
    </row>
    <row r="50" spans="1:1">
      <c r="A50" s="13"/>
    </row>
    <row r="74" spans="1:12" ht="16">
      <c r="A74" s="2" t="s">
        <v>173</v>
      </c>
      <c r="B74">
        <v>0.83079107445892919</v>
      </c>
      <c r="C74">
        <v>0.8642185453008866</v>
      </c>
      <c r="D74">
        <v>0.86848126528674741</v>
      </c>
      <c r="E74">
        <v>0.89668872386357001</v>
      </c>
      <c r="F74">
        <v>1.1352645064869114</v>
      </c>
      <c r="G74">
        <v>1.2629515784423904</v>
      </c>
      <c r="H74">
        <v>1.3743931189790406</v>
      </c>
      <c r="I74">
        <v>1.4122197127829614</v>
      </c>
      <c r="J74">
        <v>1.4268374534320749</v>
      </c>
      <c r="K74">
        <v>1.4385674908013812</v>
      </c>
      <c r="L74">
        <v>1.4545305460525417</v>
      </c>
    </row>
    <row r="75" spans="1:12" ht="16">
      <c r="A75" s="2" t="s">
        <v>173</v>
      </c>
      <c r="B75">
        <v>0.18310136682703376</v>
      </c>
      <c r="C75">
        <v>0.16236597870987024</v>
      </c>
      <c r="D75">
        <v>0.16290146026167054</v>
      </c>
      <c r="E75">
        <v>0.17437590427469235</v>
      </c>
      <c r="F75">
        <v>0.1821220156444269</v>
      </c>
      <c r="G75">
        <v>0.17363610944536964</v>
      </c>
      <c r="H75">
        <v>0.17183256049820014</v>
      </c>
      <c r="I75">
        <v>0.17669463374097311</v>
      </c>
      <c r="J75">
        <v>0.19419507773458455</v>
      </c>
      <c r="K75">
        <v>0.19761493682994832</v>
      </c>
      <c r="L75">
        <v>0.20427497651111806</v>
      </c>
    </row>
    <row r="80" spans="1:12">
      <c r="B80">
        <v>2000</v>
      </c>
      <c r="C80">
        <v>2001</v>
      </c>
      <c r="D80">
        <v>2002</v>
      </c>
      <c r="E80">
        <v>2003</v>
      </c>
      <c r="F80">
        <v>2004</v>
      </c>
      <c r="G80">
        <v>2005</v>
      </c>
      <c r="H80">
        <v>2007</v>
      </c>
      <c r="I80">
        <v>2008</v>
      </c>
      <c r="J80">
        <v>2009</v>
      </c>
      <c r="K80">
        <v>2010</v>
      </c>
    </row>
    <row r="81" spans="1:15">
      <c r="A81" s="14" t="s">
        <v>56</v>
      </c>
      <c r="B81" s="14">
        <v>35500</v>
      </c>
      <c r="C81" s="14">
        <v>43101</v>
      </c>
      <c r="D81" s="14">
        <v>47351</v>
      </c>
      <c r="E81" s="14">
        <v>50665</v>
      </c>
      <c r="F81" s="14">
        <v>52328</v>
      </c>
      <c r="G81" s="14">
        <v>51226</v>
      </c>
      <c r="H81" s="14">
        <v>49181</v>
      </c>
      <c r="I81" s="14">
        <v>44672</v>
      </c>
      <c r="J81" s="14">
        <v>41929</v>
      </c>
      <c r="K81" s="14">
        <v>40528</v>
      </c>
    </row>
    <row r="82" spans="1:15">
      <c r="A82" s="14" t="s">
        <v>59</v>
      </c>
      <c r="B82" s="14">
        <v>51088</v>
      </c>
      <c r="C82" s="14">
        <v>53219</v>
      </c>
      <c r="D82" s="14">
        <v>52601</v>
      </c>
      <c r="E82" s="14">
        <v>45753</v>
      </c>
      <c r="F82" s="14">
        <v>47236</v>
      </c>
      <c r="G82" s="14">
        <v>40900</v>
      </c>
      <c r="H82" s="14">
        <v>25928</v>
      </c>
      <c r="I82" s="14">
        <v>22667</v>
      </c>
      <c r="J82" s="14">
        <v>20198</v>
      </c>
      <c r="K82" s="14">
        <v>19231</v>
      </c>
    </row>
    <row r="83" spans="1:15">
      <c r="A83" s="14" t="s">
        <v>57</v>
      </c>
      <c r="B83" s="14">
        <v>1260</v>
      </c>
      <c r="C83" s="14">
        <v>1661</v>
      </c>
      <c r="D83" s="14">
        <v>1947</v>
      </c>
      <c r="E83" s="14">
        <v>2424</v>
      </c>
      <c r="F83" s="14">
        <v>2831</v>
      </c>
      <c r="G83" s="14">
        <v>2791</v>
      </c>
      <c r="H83" s="14">
        <v>2935</v>
      </c>
      <c r="I83" s="14">
        <v>2908</v>
      </c>
      <c r="J83" s="14">
        <v>2802</v>
      </c>
      <c r="K83" s="14">
        <v>2812</v>
      </c>
    </row>
    <row r="84" spans="1:15">
      <c r="A84" s="14" t="s">
        <v>58</v>
      </c>
      <c r="B84" s="14">
        <v>5077</v>
      </c>
      <c r="C84" s="14">
        <v>6482</v>
      </c>
      <c r="D84" s="14">
        <v>6082</v>
      </c>
      <c r="E84" s="14">
        <v>4126</v>
      </c>
      <c r="F84" s="14">
        <v>3225</v>
      </c>
      <c r="G84" s="14">
        <v>2542</v>
      </c>
      <c r="H84" s="14">
        <v>2479</v>
      </c>
      <c r="I84" s="14">
        <v>2206</v>
      </c>
      <c r="J84" s="14">
        <v>1872</v>
      </c>
      <c r="K84" s="14">
        <v>1755</v>
      </c>
    </row>
    <row r="85" spans="1:15">
      <c r="A85" s="14" t="s">
        <v>55</v>
      </c>
      <c r="B85" s="14">
        <v>555</v>
      </c>
      <c r="C85" s="14">
        <v>959</v>
      </c>
      <c r="D85" s="14">
        <v>952</v>
      </c>
      <c r="E85" s="14">
        <v>1030</v>
      </c>
      <c r="F85" s="14">
        <v>1203</v>
      </c>
      <c r="G85" s="14">
        <v>1033</v>
      </c>
      <c r="H85" s="14">
        <v>1035</v>
      </c>
      <c r="I85" s="14">
        <v>984</v>
      </c>
      <c r="J85" s="14">
        <v>900</v>
      </c>
      <c r="K85" s="14">
        <v>857</v>
      </c>
    </row>
    <row r="86" spans="1:15">
      <c r="A86" s="14" t="s">
        <v>54</v>
      </c>
      <c r="B86" s="14">
        <v>374</v>
      </c>
      <c r="C86" s="14">
        <v>508</v>
      </c>
      <c r="D86" s="14">
        <v>448</v>
      </c>
      <c r="E86" s="14">
        <v>373</v>
      </c>
      <c r="F86" s="14">
        <v>253</v>
      </c>
      <c r="G86" s="14">
        <v>246</v>
      </c>
      <c r="H86" s="14">
        <v>91</v>
      </c>
      <c r="I86" s="14">
        <v>47</v>
      </c>
      <c r="J86" s="14">
        <v>58</v>
      </c>
      <c r="K86" s="14">
        <v>42</v>
      </c>
    </row>
    <row r="87" spans="1:15">
      <c r="A87" s="13" t="s">
        <v>61</v>
      </c>
    </row>
    <row r="92" spans="1:15">
      <c r="A92" t="s">
        <v>3</v>
      </c>
      <c r="M92" s="36" t="s">
        <v>3</v>
      </c>
      <c r="N92" s="36" t="s">
        <v>212</v>
      </c>
      <c r="O92" s="36" t="s">
        <v>213</v>
      </c>
    </row>
    <row r="93" spans="1:15">
      <c r="A93" t="s">
        <v>56</v>
      </c>
      <c r="B93">
        <v>0.72462427055504974</v>
      </c>
      <c r="C93">
        <v>0.82263501068297351</v>
      </c>
      <c r="D93">
        <v>0.84386526479524759</v>
      </c>
      <c r="E93">
        <v>0.87313133823049804</v>
      </c>
      <c r="F93">
        <v>1.0866982403928713</v>
      </c>
      <c r="G93">
        <v>1.243391408831481</v>
      </c>
      <c r="H93">
        <v>1.4125592340672448</v>
      </c>
      <c r="I93">
        <v>1.4346815343091865</v>
      </c>
      <c r="J93">
        <v>1.450809988040445</v>
      </c>
      <c r="K93">
        <v>1.4788292621386783</v>
      </c>
      <c r="M93" s="36" t="s">
        <v>212</v>
      </c>
      <c r="N93" s="35">
        <v>1</v>
      </c>
      <c r="O93" s="35"/>
    </row>
    <row r="94" spans="1:15">
      <c r="A94" t="s">
        <v>59</v>
      </c>
      <c r="B94">
        <v>0.98763021781889704</v>
      </c>
      <c r="C94">
        <v>1.053595226455402</v>
      </c>
      <c r="D94">
        <v>1.09415110671448</v>
      </c>
      <c r="E94">
        <v>1.1293982061872903</v>
      </c>
      <c r="F94">
        <v>1.2563830744767028</v>
      </c>
      <c r="G94">
        <v>1.3169056926872684</v>
      </c>
      <c r="H94">
        <v>1.4468982583753585</v>
      </c>
      <c r="I94">
        <v>1.4474549411041204</v>
      </c>
      <c r="J94">
        <v>1.4484791478988925</v>
      </c>
      <c r="K94">
        <v>1.4446179877651959</v>
      </c>
      <c r="M94" s="36" t="s">
        <v>213</v>
      </c>
      <c r="N94" s="35">
        <v>0.76058424144330239</v>
      </c>
      <c r="O94" s="35">
        <v>1</v>
      </c>
    </row>
    <row r="95" spans="1:15">
      <c r="M95" s="35"/>
      <c r="N95" s="35"/>
      <c r="O95" s="35"/>
    </row>
    <row r="96" spans="1:15">
      <c r="A96" t="s">
        <v>4</v>
      </c>
      <c r="B96">
        <v>2000</v>
      </c>
      <c r="C96">
        <v>2001</v>
      </c>
      <c r="D96">
        <v>2002</v>
      </c>
      <c r="E96">
        <v>2003</v>
      </c>
      <c r="F96">
        <v>2004</v>
      </c>
      <c r="G96">
        <v>2005</v>
      </c>
      <c r="H96">
        <v>2007</v>
      </c>
      <c r="I96">
        <v>2008</v>
      </c>
      <c r="J96">
        <v>2009</v>
      </c>
      <c r="K96">
        <v>2010</v>
      </c>
      <c r="M96" s="36" t="s">
        <v>3</v>
      </c>
      <c r="N96" s="36" t="s">
        <v>212</v>
      </c>
      <c r="O96" s="36" t="s">
        <v>213</v>
      </c>
    </row>
    <row r="97" spans="1:23">
      <c r="A97" t="s">
        <v>56</v>
      </c>
      <c r="B97">
        <v>0.18279370571758116</v>
      </c>
      <c r="C97">
        <v>0.16083963056255249</v>
      </c>
      <c r="D97">
        <v>0.1628385233075984</v>
      </c>
      <c r="E97">
        <v>0.18023257882173818</v>
      </c>
      <c r="F97">
        <v>0.18708482599337867</v>
      </c>
      <c r="G97">
        <v>0.18199517531237899</v>
      </c>
      <c r="H97">
        <v>0.18706116829077188</v>
      </c>
      <c r="I97">
        <v>0.20447752312685094</v>
      </c>
      <c r="J97">
        <v>0.20947637152092566</v>
      </c>
      <c r="K97">
        <v>0.21608710024846178</v>
      </c>
      <c r="M97" s="36" t="s">
        <v>212</v>
      </c>
      <c r="N97" s="35">
        <v>1</v>
      </c>
      <c r="O97" s="35"/>
    </row>
    <row r="98" spans="1:23">
      <c r="A98" t="s">
        <v>59</v>
      </c>
      <c r="B98">
        <v>0.1884164871802437</v>
      </c>
      <c r="C98">
        <v>0.1691360614265919</v>
      </c>
      <c r="D98">
        <v>0.16984830187217059</v>
      </c>
      <c r="E98">
        <v>0.1781978080185703</v>
      </c>
      <c r="F98">
        <v>0.1880009870489624</v>
      </c>
      <c r="G98">
        <v>0.17494706674936372</v>
      </c>
      <c r="H98">
        <v>0.167973153318908</v>
      </c>
      <c r="I98">
        <v>0.18520152625601555</v>
      </c>
      <c r="J98">
        <v>0.1847316096106533</v>
      </c>
      <c r="K98">
        <v>0.19251984663282978</v>
      </c>
      <c r="M98" s="36" t="s">
        <v>213</v>
      </c>
      <c r="N98" s="35">
        <v>0.47580668156383932</v>
      </c>
      <c r="O98" s="35">
        <v>1</v>
      </c>
    </row>
    <row r="102" spans="1:23">
      <c r="V102" t="s">
        <v>185</v>
      </c>
      <c r="W102" t="s">
        <v>186</v>
      </c>
    </row>
    <row r="103" spans="1:23" ht="16">
      <c r="A103" s="2" t="s">
        <v>206</v>
      </c>
      <c r="B103">
        <v>0.72462427055504974</v>
      </c>
      <c r="C103">
        <v>0.82263501068297351</v>
      </c>
      <c r="D103">
        <v>0.84386526479524759</v>
      </c>
      <c r="E103">
        <v>0.87313133823049804</v>
      </c>
      <c r="F103">
        <v>1.0866982403928713</v>
      </c>
      <c r="G103">
        <v>1.243391408831481</v>
      </c>
      <c r="H103">
        <v>1.4125592340672448</v>
      </c>
      <c r="I103">
        <v>1.4346815343091865</v>
      </c>
      <c r="J103">
        <v>1.450809988040445</v>
      </c>
      <c r="K103">
        <v>1.4788292621386783</v>
      </c>
      <c r="L103">
        <v>0.98763021781889704</v>
      </c>
      <c r="M103">
        <v>1.053595226455402</v>
      </c>
      <c r="N103">
        <v>1.09415110671448</v>
      </c>
      <c r="O103">
        <v>1.1293982061872903</v>
      </c>
      <c r="P103">
        <v>1.2563830744767028</v>
      </c>
      <c r="Q103">
        <v>1.3169056926872684</v>
      </c>
      <c r="R103">
        <v>1.4468982583753585</v>
      </c>
      <c r="S103">
        <v>1.4474549411041204</v>
      </c>
      <c r="T103">
        <v>1.4484791478988925</v>
      </c>
      <c r="U103">
        <v>1.4446179877651959</v>
      </c>
      <c r="V103">
        <f>AVERAGE(B103:U103)</f>
        <v>1.1998369705763641</v>
      </c>
      <c r="W103">
        <f>(_xlfn.STDEV.P(B103:U103))^2</f>
        <v>6.0051587048268115E-2</v>
      </c>
    </row>
    <row r="104" spans="1:23" ht="16">
      <c r="A104" s="2"/>
      <c r="B104">
        <f>B103-$V103</f>
        <v>-0.47521270002131433</v>
      </c>
      <c r="C104">
        <f t="shared" ref="C104:K104" si="11">C103-$V103</f>
        <v>-0.37720195989339056</v>
      </c>
      <c r="D104">
        <f t="shared" si="11"/>
        <v>-0.35597170578111648</v>
      </c>
      <c r="E104">
        <f t="shared" si="11"/>
        <v>-0.32670563234586603</v>
      </c>
      <c r="F104">
        <f t="shared" si="11"/>
        <v>-0.11313873018349274</v>
      </c>
      <c r="G104">
        <f t="shared" si="11"/>
        <v>4.3554438255116956E-2</v>
      </c>
      <c r="H104">
        <f t="shared" si="11"/>
        <v>0.21272226349088075</v>
      </c>
      <c r="I104">
        <f t="shared" si="11"/>
        <v>0.23484456373282248</v>
      </c>
      <c r="J104">
        <f t="shared" si="11"/>
        <v>0.25097301746408096</v>
      </c>
      <c r="K104">
        <f t="shared" si="11"/>
        <v>0.2789922915623142</v>
      </c>
      <c r="L104">
        <f>L103-$V103</f>
        <v>-0.21220675275746703</v>
      </c>
      <c r="M104">
        <f t="shared" ref="M104" si="12">M103-$V103</f>
        <v>-0.14624174412096203</v>
      </c>
      <c r="N104">
        <f t="shared" ref="N104" si="13">N103-$V103</f>
        <v>-0.10568586386188406</v>
      </c>
      <c r="O104">
        <f t="shared" ref="O104" si="14">O103-$V103</f>
        <v>-7.0438764389073816E-2</v>
      </c>
      <c r="P104">
        <f t="shared" ref="P104" si="15">P103-$V103</f>
        <v>5.6546103900338762E-2</v>
      </c>
      <c r="Q104">
        <f t="shared" ref="Q104" si="16">Q103-$V103</f>
        <v>0.11706872211090436</v>
      </c>
      <c r="R104">
        <f t="shared" ref="R104" si="17">R103-$V103</f>
        <v>0.24706128779899439</v>
      </c>
      <c r="S104">
        <f t="shared" ref="S104" si="18">S103-$V103</f>
        <v>0.24761797052775636</v>
      </c>
      <c r="T104">
        <f t="shared" ref="T104" si="19">T103-$V103</f>
        <v>0.24864217732252847</v>
      </c>
      <c r="U104">
        <f t="shared" ref="U104" si="20">U103-$V103</f>
        <v>0.24478101718883183</v>
      </c>
    </row>
    <row r="105" spans="1:23" ht="16">
      <c r="A105" s="2"/>
      <c r="L105">
        <f>B104*L104</f>
        <v>0.10084334394063139</v>
      </c>
      <c r="M105">
        <f>C104*M104</f>
        <v>5.5162672500654604E-2</v>
      </c>
      <c r="N105">
        <f>D104*N104</f>
        <v>3.7621177235865721E-2</v>
      </c>
      <c r="O105">
        <f>E104*O104</f>
        <v>2.3012741061393831E-2</v>
      </c>
      <c r="P105">
        <f>F104*P104</f>
        <v>-6.3975543921081738E-3</v>
      </c>
      <c r="Q105">
        <f>G104*Q104</f>
        <v>5.0988624287848288E-3</v>
      </c>
      <c r="R105">
        <f>H104*R104</f>
        <v>5.2555436361574004E-2</v>
      </c>
      <c r="S105">
        <f>I104*S104</f>
        <v>5.8151734260997838E-2</v>
      </c>
      <c r="T105">
        <f>J104*T104</f>
        <v>6.2402477511474055E-2</v>
      </c>
      <c r="U105">
        <f>K104*U104</f>
        <v>6.8292016916466414E-2</v>
      </c>
      <c r="V105">
        <f>SUM(L105:U105)</f>
        <v>0.45674290782573451</v>
      </c>
      <c r="W105">
        <f>V105/COUNT(B103:K103)/W103</f>
        <v>0.76058424144330239</v>
      </c>
    </row>
    <row r="108" spans="1:23">
      <c r="V108" t="s">
        <v>185</v>
      </c>
      <c r="W108" t="s">
        <v>186</v>
      </c>
    </row>
    <row r="109" spans="1:23" ht="16">
      <c r="A109" s="2" t="s">
        <v>206</v>
      </c>
      <c r="B109">
        <v>0.18279370571758116</v>
      </c>
      <c r="C109">
        <v>0.16083963056255249</v>
      </c>
      <c r="D109">
        <v>0.1628385233075984</v>
      </c>
      <c r="E109">
        <v>0.18023257882173818</v>
      </c>
      <c r="F109">
        <v>0.18708482599337867</v>
      </c>
      <c r="G109">
        <v>0.18199517531237899</v>
      </c>
      <c r="H109">
        <v>0.18706116829077188</v>
      </c>
      <c r="I109">
        <v>0.20447752312685094</v>
      </c>
      <c r="J109">
        <v>0.20947637152092566</v>
      </c>
      <c r="K109">
        <v>0.21608710024846178</v>
      </c>
      <c r="L109">
        <v>0.1884164871802437</v>
      </c>
      <c r="M109">
        <v>0.1691360614265919</v>
      </c>
      <c r="N109">
        <v>0.16984830187217059</v>
      </c>
      <c r="O109">
        <v>0.1781978080185703</v>
      </c>
      <c r="P109">
        <v>0.1880009870489624</v>
      </c>
      <c r="Q109">
        <v>0.17494706674936372</v>
      </c>
      <c r="R109">
        <v>0.167973153318908</v>
      </c>
      <c r="S109">
        <v>0.18520152625601555</v>
      </c>
      <c r="T109">
        <v>0.1847316096106533</v>
      </c>
      <c r="U109">
        <v>0.19251984663282978</v>
      </c>
      <c r="V109">
        <f>AVERAGE(B109:U109)</f>
        <v>0.18359297255082735</v>
      </c>
      <c r="W109">
        <f>(_xlfn.STDEV.P(B109:U109))^2</f>
        <v>2.0105883567906203E-4</v>
      </c>
    </row>
    <row r="110" spans="1:23" ht="16">
      <c r="A110" s="2"/>
      <c r="B110">
        <f>B109-$V109</f>
        <v>-7.9926683324618719E-4</v>
      </c>
      <c r="C110">
        <f t="shared" ref="C110" si="21">C109-$V109</f>
        <v>-2.2753341988274861E-2</v>
      </c>
      <c r="D110">
        <f t="shared" ref="D110" si="22">D109-$V109</f>
        <v>-2.0754449243228945E-2</v>
      </c>
      <c r="E110">
        <f t="shared" ref="E110" si="23">E109-$V109</f>
        <v>-3.3603937290891672E-3</v>
      </c>
      <c r="F110">
        <f t="shared" ref="F110" si="24">F109-$V109</f>
        <v>3.4918534425513181E-3</v>
      </c>
      <c r="G110">
        <f t="shared" ref="G110" si="25">G109-$V109</f>
        <v>-1.5977972384483563E-3</v>
      </c>
      <c r="H110">
        <f t="shared" ref="H110" si="26">H109-$V109</f>
        <v>3.4681957399445296E-3</v>
      </c>
      <c r="I110">
        <f t="shared" ref="I110" si="27">I109-$V109</f>
        <v>2.0884550576023592E-2</v>
      </c>
      <c r="J110">
        <f t="shared" ref="J110" si="28">J109-$V109</f>
        <v>2.5883398970098309E-2</v>
      </c>
      <c r="K110">
        <f t="shared" ref="K110" si="29">K109-$V109</f>
        <v>3.2494127697634434E-2</v>
      </c>
      <c r="L110">
        <f>L109-$V109</f>
        <v>4.8235146294163533E-3</v>
      </c>
      <c r="M110">
        <f t="shared" ref="M110" si="30">M109-$V109</f>
        <v>-1.4456911124235444E-2</v>
      </c>
      <c r="N110">
        <f t="shared" ref="N110" si="31">N109-$V109</f>
        <v>-1.3744670678656756E-2</v>
      </c>
      <c r="O110">
        <f t="shared" ref="O110" si="32">O109-$V109</f>
        <v>-5.3951645322570518E-3</v>
      </c>
      <c r="P110">
        <f t="shared" ref="P110" si="33">P109-$V109</f>
        <v>4.4080144981350489E-3</v>
      </c>
      <c r="Q110">
        <f t="shared" ref="Q110" si="34">Q109-$V109</f>
        <v>-8.645905801463627E-3</v>
      </c>
      <c r="R110">
        <f t="shared" ref="R110" si="35">R109-$V109</f>
        <v>-1.5619819231919352E-2</v>
      </c>
      <c r="S110">
        <f t="shared" ref="S110" si="36">S109-$V109</f>
        <v>1.6085537051881982E-3</v>
      </c>
      <c r="T110">
        <f t="shared" ref="T110" si="37">T109-$V109</f>
        <v>1.1386370598259477E-3</v>
      </c>
      <c r="U110">
        <f t="shared" ref="U110" si="38">U109-$V109</f>
        <v>8.9268740820024339E-3</v>
      </c>
    </row>
    <row r="111" spans="1:23" ht="16">
      <c r="A111" s="2"/>
      <c r="L111">
        <f>B110*L110</f>
        <v>-3.8552752629702648E-6</v>
      </c>
      <c r="M111">
        <f>C110*M110</f>
        <v>3.2894304290382426E-4</v>
      </c>
      <c r="N111">
        <f>D110*N110</f>
        <v>2.8526306996507877E-4</v>
      </c>
      <c r="O111">
        <f>E110*O110</f>
        <v>1.8129877061600886E-5</v>
      </c>
      <c r="P111">
        <f>F110*P110</f>
        <v>1.539214060012899E-5</v>
      </c>
      <c r="Q111">
        <f>G110*Q110</f>
        <v>1.3814404413463206E-5</v>
      </c>
      <c r="R111">
        <f>H110*R110</f>
        <v>-5.4172590518846328E-5</v>
      </c>
      <c r="S111">
        <f>I110*S110</f>
        <v>3.3593921210253067E-5</v>
      </c>
      <c r="T111">
        <f>J110*T110</f>
        <v>2.94717973016147E-5</v>
      </c>
      <c r="U111">
        <f>K110*U110</f>
        <v>2.9007098636129024E-4</v>
      </c>
      <c r="V111">
        <f>SUM(L111:U111)</f>
        <v>9.5665137403543759E-4</v>
      </c>
      <c r="W111">
        <f>V111/COUNT(B109:K109)/W109</f>
        <v>0.47580668156383932</v>
      </c>
    </row>
  </sheetData>
  <sortState ref="A80:K86">
    <sortCondition descending="1" ref="K81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abSelected="1" topLeftCell="A86" workbookViewId="0">
      <selection activeCell="N96" sqref="N96:R100"/>
    </sheetView>
  </sheetViews>
  <sheetFormatPr baseColWidth="10" defaultColWidth="11.1640625" defaultRowHeight="15" x14ac:dyDescent="0"/>
  <sheetData>
    <row r="1" spans="1:12" ht="16">
      <c r="A1" s="2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</row>
    <row r="2" spans="1:12">
      <c r="A2" t="s">
        <v>91</v>
      </c>
      <c r="B2">
        <v>31874</v>
      </c>
      <c r="C2">
        <v>27028</v>
      </c>
      <c r="D2">
        <v>21300</v>
      </c>
      <c r="E2">
        <v>111823</v>
      </c>
      <c r="F2">
        <v>81521</v>
      </c>
      <c r="G2">
        <v>64659</v>
      </c>
      <c r="H2">
        <v>42198</v>
      </c>
      <c r="I2">
        <v>30814</v>
      </c>
      <c r="J2">
        <v>24779</v>
      </c>
      <c r="K2">
        <v>23605</v>
      </c>
      <c r="L2">
        <v>19332</v>
      </c>
    </row>
    <row r="3" spans="1:12">
      <c r="A3" s="17" t="s">
        <v>95</v>
      </c>
      <c r="B3">
        <v>82512</v>
      </c>
      <c r="C3">
        <v>107087</v>
      </c>
      <c r="D3">
        <v>107506</v>
      </c>
      <c r="E3">
        <v>127929</v>
      </c>
      <c r="F3">
        <v>95835</v>
      </c>
      <c r="G3">
        <v>90263</v>
      </c>
      <c r="H3">
        <v>65017</v>
      </c>
      <c r="I3">
        <v>52533</v>
      </c>
      <c r="J3">
        <v>38497</v>
      </c>
      <c r="K3">
        <v>34538</v>
      </c>
      <c r="L3">
        <v>31382</v>
      </c>
    </row>
    <row r="4" spans="1:12">
      <c r="A4" t="s">
        <v>96</v>
      </c>
      <c r="B4">
        <v>62763</v>
      </c>
      <c r="C4">
        <v>70913</v>
      </c>
      <c r="D4">
        <v>79330</v>
      </c>
      <c r="E4">
        <v>81478</v>
      </c>
      <c r="F4">
        <v>56965</v>
      </c>
      <c r="G4">
        <v>53357</v>
      </c>
      <c r="H4">
        <v>45379</v>
      </c>
      <c r="I4">
        <v>43871</v>
      </c>
      <c r="J4">
        <v>36470</v>
      </c>
      <c r="K4">
        <v>30127</v>
      </c>
      <c r="L4">
        <v>24544</v>
      </c>
    </row>
    <row r="5" spans="1:12">
      <c r="A5" t="s">
        <v>94</v>
      </c>
      <c r="B5">
        <v>59908</v>
      </c>
      <c r="C5">
        <v>68899</v>
      </c>
      <c r="D5">
        <v>67142</v>
      </c>
      <c r="E5">
        <v>160214</v>
      </c>
      <c r="F5">
        <v>104794</v>
      </c>
      <c r="G5">
        <v>86154</v>
      </c>
      <c r="H5">
        <v>71679</v>
      </c>
      <c r="I5">
        <v>59810</v>
      </c>
      <c r="J5">
        <v>51272</v>
      </c>
      <c r="K5">
        <v>48087</v>
      </c>
      <c r="L5">
        <v>48630</v>
      </c>
    </row>
    <row r="6" spans="1:12">
      <c r="A6" t="s">
        <v>93</v>
      </c>
      <c r="B6">
        <v>59733</v>
      </c>
      <c r="C6">
        <v>55104</v>
      </c>
      <c r="D6">
        <v>47631</v>
      </c>
      <c r="E6">
        <v>40333</v>
      </c>
      <c r="F6">
        <v>30317</v>
      </c>
      <c r="G6">
        <v>30519</v>
      </c>
      <c r="H6">
        <v>38496</v>
      </c>
      <c r="I6">
        <v>39931</v>
      </c>
      <c r="J6">
        <v>34018</v>
      </c>
      <c r="K6">
        <v>29514</v>
      </c>
      <c r="L6">
        <v>27062</v>
      </c>
    </row>
    <row r="7" spans="1:12">
      <c r="A7" t="s">
        <v>92</v>
      </c>
      <c r="B7">
        <v>60290</v>
      </c>
      <c r="C7">
        <v>75689</v>
      </c>
      <c r="D7">
        <v>60210</v>
      </c>
      <c r="E7">
        <v>21641</v>
      </c>
      <c r="F7">
        <v>15798</v>
      </c>
      <c r="G7">
        <v>14205</v>
      </c>
      <c r="H7">
        <v>13709</v>
      </c>
      <c r="I7">
        <v>11649</v>
      </c>
      <c r="J7">
        <v>10187</v>
      </c>
      <c r="K7">
        <v>9530</v>
      </c>
      <c r="L7">
        <v>11805</v>
      </c>
    </row>
    <row r="8" spans="1:12">
      <c r="A8" t="s">
        <v>90</v>
      </c>
      <c r="B8">
        <v>99022</v>
      </c>
      <c r="C8">
        <v>146922</v>
      </c>
      <c r="D8">
        <v>175934</v>
      </c>
      <c r="E8">
        <v>13413</v>
      </c>
      <c r="F8">
        <v>8444</v>
      </c>
      <c r="G8">
        <v>7285</v>
      </c>
      <c r="H8">
        <v>8563</v>
      </c>
      <c r="I8">
        <v>8525</v>
      </c>
      <c r="J8">
        <v>7384</v>
      </c>
      <c r="K8">
        <v>6876</v>
      </c>
      <c r="L8">
        <v>7286</v>
      </c>
    </row>
    <row r="10" spans="1:12">
      <c r="A10" s="20" t="s">
        <v>65</v>
      </c>
      <c r="B10">
        <v>2000</v>
      </c>
      <c r="C10">
        <v>2001</v>
      </c>
      <c r="D10">
        <v>2002</v>
      </c>
      <c r="E10">
        <v>2003</v>
      </c>
      <c r="F10">
        <v>2004</v>
      </c>
      <c r="G10">
        <v>2005</v>
      </c>
      <c r="H10">
        <v>2006</v>
      </c>
      <c r="I10">
        <v>2007</v>
      </c>
      <c r="J10">
        <v>2008</v>
      </c>
      <c r="K10">
        <v>2009</v>
      </c>
      <c r="L10">
        <v>2010</v>
      </c>
    </row>
    <row r="11" spans="1:12">
      <c r="A11" t="s">
        <v>91</v>
      </c>
      <c r="B11">
        <v>6438</v>
      </c>
      <c r="C11">
        <v>5133</v>
      </c>
      <c r="D11">
        <v>3972</v>
      </c>
      <c r="E11">
        <v>14811</v>
      </c>
      <c r="F11">
        <v>15107</v>
      </c>
      <c r="G11">
        <v>12674</v>
      </c>
      <c r="H11">
        <v>8779</v>
      </c>
      <c r="I11">
        <v>7012</v>
      </c>
      <c r="J11">
        <v>6381</v>
      </c>
      <c r="K11">
        <v>6325</v>
      </c>
      <c r="L11">
        <v>5159</v>
      </c>
    </row>
    <row r="12" spans="1:12">
      <c r="A12" s="17" t="s">
        <v>95</v>
      </c>
      <c r="B12">
        <v>9469</v>
      </c>
      <c r="C12">
        <v>11571</v>
      </c>
      <c r="D12">
        <v>12009</v>
      </c>
      <c r="E12">
        <v>17399</v>
      </c>
      <c r="F12">
        <v>19017</v>
      </c>
      <c r="G12">
        <v>18860</v>
      </c>
      <c r="H12">
        <v>14039</v>
      </c>
      <c r="I12">
        <v>12054</v>
      </c>
      <c r="J12">
        <v>9988</v>
      </c>
      <c r="K12">
        <v>9069</v>
      </c>
      <c r="L12">
        <v>8734</v>
      </c>
    </row>
    <row r="13" spans="1:12">
      <c r="A13" t="s">
        <v>96</v>
      </c>
      <c r="B13">
        <v>6691</v>
      </c>
      <c r="C13">
        <v>7356</v>
      </c>
      <c r="D13">
        <v>8649</v>
      </c>
      <c r="E13">
        <v>9943</v>
      </c>
      <c r="F13">
        <v>10226</v>
      </c>
      <c r="G13">
        <v>10346</v>
      </c>
      <c r="H13">
        <v>10246</v>
      </c>
      <c r="I13">
        <v>10673</v>
      </c>
      <c r="J13">
        <v>9836</v>
      </c>
      <c r="K13">
        <v>8351</v>
      </c>
      <c r="L13">
        <v>6984</v>
      </c>
    </row>
    <row r="14" spans="1:12">
      <c r="A14" t="s">
        <v>94</v>
      </c>
      <c r="B14">
        <v>6352</v>
      </c>
      <c r="C14">
        <v>6790</v>
      </c>
      <c r="D14">
        <v>6744</v>
      </c>
      <c r="E14">
        <v>20326</v>
      </c>
      <c r="F14">
        <v>19204</v>
      </c>
      <c r="G14">
        <v>18222</v>
      </c>
      <c r="H14">
        <v>16167</v>
      </c>
      <c r="I14">
        <v>14402</v>
      </c>
      <c r="J14">
        <v>13759</v>
      </c>
      <c r="K14">
        <v>13675</v>
      </c>
      <c r="L14">
        <v>14904</v>
      </c>
    </row>
    <row r="15" spans="1:12">
      <c r="A15" t="s">
        <v>93</v>
      </c>
      <c r="B15">
        <v>6264</v>
      </c>
      <c r="C15">
        <v>5567</v>
      </c>
      <c r="D15">
        <v>4859</v>
      </c>
      <c r="E15">
        <v>5775</v>
      </c>
      <c r="F15">
        <v>6182</v>
      </c>
      <c r="G15">
        <v>6730</v>
      </c>
      <c r="H15">
        <v>8864</v>
      </c>
      <c r="I15">
        <v>10131</v>
      </c>
      <c r="J15">
        <v>9622</v>
      </c>
      <c r="K15">
        <v>8769</v>
      </c>
      <c r="L15">
        <v>8403</v>
      </c>
    </row>
    <row r="16" spans="1:12">
      <c r="A16" t="s">
        <v>92</v>
      </c>
      <c r="B16">
        <v>6129</v>
      </c>
      <c r="C16">
        <v>7718</v>
      </c>
      <c r="D16">
        <v>6538</v>
      </c>
      <c r="E16">
        <v>3022</v>
      </c>
      <c r="F16">
        <v>3201</v>
      </c>
      <c r="G16">
        <v>3235</v>
      </c>
      <c r="H16">
        <v>3459</v>
      </c>
      <c r="I16">
        <v>3020</v>
      </c>
      <c r="J16">
        <v>2869</v>
      </c>
      <c r="K16">
        <v>2852</v>
      </c>
      <c r="L16">
        <v>3795</v>
      </c>
    </row>
    <row r="17" spans="1:22">
      <c r="A17" t="s">
        <v>90</v>
      </c>
      <c r="B17">
        <v>10965</v>
      </c>
      <c r="C17">
        <v>15662</v>
      </c>
      <c r="D17">
        <v>19678</v>
      </c>
      <c r="E17">
        <v>1897</v>
      </c>
      <c r="F17">
        <v>1858</v>
      </c>
      <c r="G17">
        <v>1702</v>
      </c>
      <c r="H17">
        <v>2245</v>
      </c>
      <c r="I17">
        <v>2238</v>
      </c>
      <c r="J17">
        <v>2323</v>
      </c>
      <c r="K17">
        <v>2292</v>
      </c>
      <c r="L17">
        <v>2445</v>
      </c>
    </row>
    <row r="18" spans="1:22">
      <c r="A18" t="s">
        <v>112</v>
      </c>
      <c r="B18">
        <f>SUM(B11:B17)</f>
        <v>52308</v>
      </c>
      <c r="C18">
        <v>59797</v>
      </c>
      <c r="D18">
        <v>62449</v>
      </c>
      <c r="E18">
        <v>73173</v>
      </c>
      <c r="F18">
        <v>74795</v>
      </c>
      <c r="G18">
        <v>71769</v>
      </c>
      <c r="H18">
        <v>63799</v>
      </c>
      <c r="I18">
        <v>59530</v>
      </c>
      <c r="J18">
        <v>54778</v>
      </c>
      <c r="K18">
        <v>51333</v>
      </c>
      <c r="L18">
        <v>50424</v>
      </c>
    </row>
    <row r="20" spans="1:22" ht="16">
      <c r="A20" s="2" t="s">
        <v>113</v>
      </c>
      <c r="B20">
        <v>2000</v>
      </c>
      <c r="C20">
        <v>2001</v>
      </c>
      <c r="D20">
        <v>2002</v>
      </c>
      <c r="E20">
        <v>2003</v>
      </c>
      <c r="F20">
        <v>2004</v>
      </c>
      <c r="G20">
        <v>2005</v>
      </c>
      <c r="H20">
        <v>2006</v>
      </c>
      <c r="I20">
        <v>2007</v>
      </c>
      <c r="J20">
        <v>2008</v>
      </c>
      <c r="K20">
        <v>2009</v>
      </c>
      <c r="L20">
        <v>2010</v>
      </c>
    </row>
    <row r="21" spans="1:22">
      <c r="A21" t="s">
        <v>91</v>
      </c>
      <c r="B21">
        <v>25764</v>
      </c>
      <c r="C21">
        <v>24586</v>
      </c>
      <c r="D21">
        <v>18689</v>
      </c>
      <c r="E21">
        <v>80508</v>
      </c>
      <c r="F21">
        <v>78337</v>
      </c>
      <c r="G21">
        <v>68699</v>
      </c>
      <c r="H21">
        <v>49299</v>
      </c>
      <c r="I21">
        <v>36810</v>
      </c>
      <c r="J21">
        <v>29114</v>
      </c>
      <c r="K21">
        <v>28108</v>
      </c>
      <c r="L21">
        <v>23368</v>
      </c>
    </row>
    <row r="22" spans="1:22">
      <c r="A22" s="17" t="s">
        <v>95</v>
      </c>
      <c r="B22">
        <v>53407</v>
      </c>
      <c r="C22">
        <v>73595</v>
      </c>
      <c r="D22">
        <v>75285</v>
      </c>
      <c r="E22">
        <f>47317+41320</f>
        <v>88637</v>
      </c>
      <c r="F22">
        <f>49989+34432</f>
        <v>84421</v>
      </c>
      <c r="G22">
        <f>51912+37994</f>
        <v>89906</v>
      </c>
      <c r="H22">
        <f>38469+34932</f>
        <v>73401</v>
      </c>
      <c r="I22">
        <f>30558+30391</f>
        <v>60949</v>
      </c>
      <c r="J22">
        <f>23219+20648</f>
        <v>43867</v>
      </c>
      <c r="K22">
        <f>21173+18306</f>
        <v>39479</v>
      </c>
      <c r="L22">
        <f>19473+16863</f>
        <v>36336</v>
      </c>
    </row>
    <row r="23" spans="1:22">
      <c r="A23" t="s">
        <v>96</v>
      </c>
      <c r="B23">
        <v>38751</v>
      </c>
      <c r="C23">
        <v>47698</v>
      </c>
      <c r="D23">
        <v>54259</v>
      </c>
      <c r="E23">
        <f>23689+30908</f>
        <v>54597</v>
      </c>
      <c r="F23">
        <f>24967+25734</f>
        <v>50701</v>
      </c>
      <c r="G23">
        <f>25225+28341</f>
        <v>53566</v>
      </c>
      <c r="H23">
        <f>26034+24377</f>
        <v>50411</v>
      </c>
      <c r="I23">
        <f>26451+23368</f>
        <v>49819</v>
      </c>
      <c r="J23">
        <f>20452+20551</f>
        <v>41003</v>
      </c>
      <c r="K23">
        <f>15629+18227</f>
        <v>33856</v>
      </c>
      <c r="L23">
        <f>14182+13311</f>
        <v>27493</v>
      </c>
    </row>
    <row r="24" spans="1:22">
      <c r="A24" t="s">
        <v>94</v>
      </c>
      <c r="B24">
        <v>36423</v>
      </c>
      <c r="C24">
        <v>44521</v>
      </c>
      <c r="D24">
        <v>44425</v>
      </c>
      <c r="E24">
        <v>105946</v>
      </c>
      <c r="F24">
        <v>92789</v>
      </c>
      <c r="G24">
        <v>87387</v>
      </c>
      <c r="H24">
        <v>80496</v>
      </c>
      <c r="I24">
        <v>67860</v>
      </c>
      <c r="J24">
        <v>58369</v>
      </c>
      <c r="K24">
        <v>54103</v>
      </c>
      <c r="L24">
        <v>55091</v>
      </c>
    </row>
    <row r="25" spans="1:22">
      <c r="A25" t="s">
        <v>93</v>
      </c>
      <c r="B25">
        <v>35077</v>
      </c>
      <c r="C25">
        <v>35592</v>
      </c>
      <c r="D25">
        <v>30709</v>
      </c>
      <c r="E25">
        <v>28907</v>
      </c>
      <c r="F25">
        <v>27965</v>
      </c>
      <c r="G25">
        <v>31037</v>
      </c>
      <c r="H25">
        <v>43229</v>
      </c>
      <c r="I25">
        <v>46925</v>
      </c>
      <c r="J25">
        <v>38865</v>
      </c>
      <c r="K25">
        <v>34387</v>
      </c>
      <c r="L25">
        <v>30934</v>
      </c>
    </row>
    <row r="26" spans="1:22">
      <c r="A26" t="s">
        <v>92</v>
      </c>
      <c r="B26">
        <v>34697</v>
      </c>
      <c r="C26">
        <v>47933</v>
      </c>
      <c r="D26">
        <v>39715</v>
      </c>
      <c r="E26">
        <v>15103</v>
      </c>
      <c r="F26">
        <v>14582</v>
      </c>
      <c r="G26">
        <v>14641</v>
      </c>
      <c r="H26">
        <v>15970</v>
      </c>
      <c r="I26">
        <v>13606</v>
      </c>
      <c r="J26">
        <v>11600</v>
      </c>
      <c r="K26">
        <v>11077</v>
      </c>
      <c r="L26">
        <v>13958</v>
      </c>
    </row>
    <row r="27" spans="1:22">
      <c r="A27" t="s">
        <v>90</v>
      </c>
      <c r="B27">
        <v>59061</v>
      </c>
      <c r="C27">
        <v>94597</v>
      </c>
      <c r="D27">
        <v>113718</v>
      </c>
      <c r="E27">
        <v>9569</v>
      </c>
      <c r="F27">
        <v>7862</v>
      </c>
      <c r="G27">
        <v>7889</v>
      </c>
      <c r="H27">
        <v>10118</v>
      </c>
      <c r="I27">
        <v>10145</v>
      </c>
      <c r="J27">
        <v>8688</v>
      </c>
      <c r="K27">
        <v>7990</v>
      </c>
      <c r="L27">
        <v>8737</v>
      </c>
    </row>
    <row r="28" spans="1:22">
      <c r="A28" t="s">
        <v>112</v>
      </c>
      <c r="B28">
        <f>SUM(B21:B27)</f>
        <v>283180</v>
      </c>
      <c r="C28">
        <f t="shared" ref="C28:K28" si="0">SUM(C21:C27)</f>
        <v>368522</v>
      </c>
      <c r="D28">
        <f t="shared" si="0"/>
        <v>376800</v>
      </c>
      <c r="E28">
        <f t="shared" si="0"/>
        <v>383267</v>
      </c>
      <c r="F28">
        <f t="shared" si="0"/>
        <v>356657</v>
      </c>
      <c r="G28">
        <f t="shared" si="0"/>
        <v>353125</v>
      </c>
      <c r="H28">
        <f t="shared" si="0"/>
        <v>322924</v>
      </c>
      <c r="I28">
        <f>SUM(I21:I27)</f>
        <v>286114</v>
      </c>
      <c r="J28">
        <f t="shared" si="0"/>
        <v>231506</v>
      </c>
      <c r="K28">
        <f t="shared" si="0"/>
        <v>209000</v>
      </c>
      <c r="L28">
        <f>SUM(L21:L27)</f>
        <v>195917</v>
      </c>
    </row>
    <row r="30" spans="1:22">
      <c r="A30" s="13" t="s">
        <v>3</v>
      </c>
      <c r="B30">
        <v>2000</v>
      </c>
      <c r="C30">
        <v>2001</v>
      </c>
      <c r="D30">
        <v>2002</v>
      </c>
      <c r="E30">
        <v>2003</v>
      </c>
      <c r="F30">
        <v>2004</v>
      </c>
      <c r="G30">
        <v>2005</v>
      </c>
      <c r="H30">
        <v>2006</v>
      </c>
      <c r="I30">
        <v>2007</v>
      </c>
      <c r="J30">
        <v>2008</v>
      </c>
      <c r="K30">
        <v>2009</v>
      </c>
      <c r="L30">
        <v>2010</v>
      </c>
    </row>
    <row r="31" spans="1:22">
      <c r="A31" t="s">
        <v>91</v>
      </c>
      <c r="B31" s="22">
        <f>(B11+B21)/B2</f>
        <v>1.0102905189182405</v>
      </c>
      <c r="C31" s="22">
        <f t="shared" ref="C31:L31" si="1">(C11+C21)/C2</f>
        <v>1.0995634157170342</v>
      </c>
      <c r="D31" s="22">
        <f t="shared" si="1"/>
        <v>1.0638967136150235</v>
      </c>
      <c r="E31" s="22">
        <f t="shared" si="1"/>
        <v>0.85240961161836115</v>
      </c>
      <c r="F31" s="22">
        <f t="shared" si="1"/>
        <v>1.1462567927282541</v>
      </c>
      <c r="G31" s="22">
        <f t="shared" si="1"/>
        <v>1.2584945637884903</v>
      </c>
      <c r="H31" s="22">
        <f t="shared" si="1"/>
        <v>1.3763211526612635</v>
      </c>
      <c r="I31" s="22">
        <f t="shared" si="1"/>
        <v>1.4221457778931654</v>
      </c>
      <c r="J31" s="22">
        <f t="shared" si="1"/>
        <v>1.4324629726784777</v>
      </c>
      <c r="K31" s="22">
        <f t="shared" si="1"/>
        <v>1.4587163736496505</v>
      </c>
      <c r="L31" s="22">
        <f t="shared" si="1"/>
        <v>1.4756362507759155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>
      <c r="A32" s="17" t="s">
        <v>95</v>
      </c>
      <c r="B32" s="22">
        <f t="shared" ref="B32:L37" si="2">(B12+B22)/B3</f>
        <v>0.76202249369788633</v>
      </c>
      <c r="C32" s="22">
        <f t="shared" si="2"/>
        <v>0.79529728164949998</v>
      </c>
      <c r="D32" s="22">
        <f t="shared" si="2"/>
        <v>0.81199188882480977</v>
      </c>
      <c r="E32" s="22">
        <f t="shared" si="2"/>
        <v>0.82886601161581819</v>
      </c>
      <c r="F32" s="22">
        <f t="shared" si="2"/>
        <v>1.0793342724474357</v>
      </c>
      <c r="G32" s="22">
        <f t="shared" si="2"/>
        <v>1.2049898629560285</v>
      </c>
      <c r="H32" s="22">
        <f t="shared" si="2"/>
        <v>1.3448790316378794</v>
      </c>
      <c r="I32" s="22">
        <f t="shared" si="2"/>
        <v>1.3896598328669598</v>
      </c>
      <c r="J32" s="22">
        <f t="shared" si="2"/>
        <v>1.3989401771566616</v>
      </c>
      <c r="K32" s="22">
        <f t="shared" si="2"/>
        <v>1.4056401644565406</v>
      </c>
      <c r="L32" s="22">
        <f t="shared" si="2"/>
        <v>1.4361736027021859</v>
      </c>
    </row>
    <row r="33" spans="1:12">
      <c r="A33" t="s">
        <v>96</v>
      </c>
      <c r="B33" s="22">
        <f t="shared" si="2"/>
        <v>0.72402530153115685</v>
      </c>
      <c r="C33" s="22">
        <f t="shared" si="2"/>
        <v>0.77635976478219793</v>
      </c>
      <c r="D33" s="22">
        <f t="shared" si="2"/>
        <v>0.7929913021555528</v>
      </c>
      <c r="E33" s="22">
        <f t="shared" si="2"/>
        <v>0.79211566312378801</v>
      </c>
      <c r="F33" s="22">
        <f t="shared" si="2"/>
        <v>1.06955147897832</v>
      </c>
      <c r="G33" s="22">
        <f t="shared" si="2"/>
        <v>1.1978184680548007</v>
      </c>
      <c r="H33" s="22">
        <f t="shared" si="2"/>
        <v>1.336675554772031</v>
      </c>
      <c r="I33" s="22">
        <f t="shared" si="2"/>
        <v>1.3788607508376831</v>
      </c>
      <c r="J33" s="22">
        <f t="shared" si="2"/>
        <v>1.3939950644365231</v>
      </c>
      <c r="K33" s="22">
        <f t="shared" si="2"/>
        <v>1.4009692302585721</v>
      </c>
      <c r="L33" s="22">
        <f t="shared" si="2"/>
        <v>1.4047017601043026</v>
      </c>
    </row>
    <row r="34" spans="1:12">
      <c r="A34" t="s">
        <v>94</v>
      </c>
      <c r="B34" s="22">
        <f t="shared" si="2"/>
        <v>0.71401148427588967</v>
      </c>
      <c r="C34" s="22">
        <f t="shared" si="2"/>
        <v>0.74472778995341005</v>
      </c>
      <c r="D34" s="22">
        <f t="shared" si="2"/>
        <v>0.76210121831342525</v>
      </c>
      <c r="E34" s="22">
        <f t="shared" si="2"/>
        <v>0.78814585491904576</v>
      </c>
      <c r="F34" s="22">
        <f t="shared" si="2"/>
        <v>1.068696681107697</v>
      </c>
      <c r="G34" s="22">
        <f t="shared" si="2"/>
        <v>1.2258165610418552</v>
      </c>
      <c r="H34" s="22">
        <f t="shared" si="2"/>
        <v>1.3485539697819444</v>
      </c>
      <c r="I34" s="22">
        <f t="shared" si="2"/>
        <v>1.3753887309814412</v>
      </c>
      <c r="J34" s="22">
        <f t="shared" si="2"/>
        <v>1.4067717272585427</v>
      </c>
      <c r="K34" s="22">
        <f t="shared" si="2"/>
        <v>1.4094869715307672</v>
      </c>
      <c r="L34" s="22">
        <f t="shared" si="2"/>
        <v>1.4393378572897388</v>
      </c>
    </row>
    <row r="35" spans="1:12">
      <c r="A35" t="s">
        <v>93</v>
      </c>
      <c r="B35" s="22">
        <f t="shared" si="2"/>
        <v>0.69209649607419688</v>
      </c>
      <c r="C35" s="22">
        <f t="shared" si="2"/>
        <v>0.74693307200929149</v>
      </c>
      <c r="D35" s="22">
        <f t="shared" si="2"/>
        <v>0.74674056811740253</v>
      </c>
      <c r="E35" s="22">
        <f t="shared" si="2"/>
        <v>0.85989140406119058</v>
      </c>
      <c r="F35" s="22">
        <f t="shared" si="2"/>
        <v>1.1263317610581522</v>
      </c>
      <c r="G35" s="22">
        <f t="shared" si="2"/>
        <v>1.237491398800747</v>
      </c>
      <c r="H35" s="22">
        <f t="shared" si="2"/>
        <v>1.353205527847049</v>
      </c>
      <c r="I35" s="22">
        <f t="shared" si="2"/>
        <v>1.4288647917657959</v>
      </c>
      <c r="J35" s="22">
        <f t="shared" si="2"/>
        <v>1.4253336468928215</v>
      </c>
      <c r="K35" s="22">
        <f t="shared" si="2"/>
        <v>1.4622213186962119</v>
      </c>
      <c r="L35" s="22">
        <f t="shared" si="2"/>
        <v>1.4535880570541719</v>
      </c>
    </row>
    <row r="36" spans="1:12">
      <c r="A36" t="s">
        <v>92</v>
      </c>
      <c r="B36" s="22">
        <f t="shared" si="2"/>
        <v>0.67716039144136675</v>
      </c>
      <c r="C36" s="22">
        <f t="shared" si="2"/>
        <v>0.7352587562261359</v>
      </c>
      <c r="D36" s="22">
        <f t="shared" si="2"/>
        <v>0.76819465205115434</v>
      </c>
      <c r="E36" s="22">
        <f t="shared" si="2"/>
        <v>0.83753061318793032</v>
      </c>
      <c r="F36" s="22">
        <f t="shared" si="2"/>
        <v>1.1256488163058616</v>
      </c>
      <c r="G36" s="22">
        <f t="shared" si="2"/>
        <v>1.2584301302358325</v>
      </c>
      <c r="H36" s="22">
        <f t="shared" si="2"/>
        <v>1.4172441461813408</v>
      </c>
      <c r="I36" s="22">
        <f t="shared" si="2"/>
        <v>1.4272469739891835</v>
      </c>
      <c r="J36" s="22">
        <f t="shared" si="2"/>
        <v>1.420339648571709</v>
      </c>
      <c r="K36" s="22">
        <f t="shared" si="2"/>
        <v>1.4615949632738721</v>
      </c>
      <c r="L36" s="22">
        <f t="shared" si="2"/>
        <v>1.5038542990258366</v>
      </c>
    </row>
    <row r="37" spans="1:12">
      <c r="A37" t="s">
        <v>90</v>
      </c>
      <c r="B37" s="22">
        <f t="shared" si="2"/>
        <v>0.70717618307042884</v>
      </c>
      <c r="C37" s="22">
        <f t="shared" si="2"/>
        <v>0.75045942745130068</v>
      </c>
      <c r="D37" s="22">
        <f t="shared" si="2"/>
        <v>0.75821614923778236</v>
      </c>
      <c r="E37" s="22">
        <f t="shared" si="2"/>
        <v>0.85484231715499892</v>
      </c>
      <c r="F37" s="22">
        <f t="shared" si="2"/>
        <v>1.1511132164850781</v>
      </c>
      <c r="G37" s="22">
        <f t="shared" si="2"/>
        <v>1.3165408373369938</v>
      </c>
      <c r="H37" s="22">
        <f t="shared" si="2"/>
        <v>1.4437697068784305</v>
      </c>
      <c r="I37" s="22">
        <f t="shared" si="2"/>
        <v>1.4525513196480939</v>
      </c>
      <c r="J37" s="22">
        <f t="shared" si="2"/>
        <v>1.4911971830985915</v>
      </c>
      <c r="K37" s="22">
        <f t="shared" si="2"/>
        <v>1.495346131471786</v>
      </c>
      <c r="L37" s="22">
        <f t="shared" si="2"/>
        <v>1.5347241284655504</v>
      </c>
    </row>
    <row r="38" spans="1:12" ht="16">
      <c r="A38" s="2" t="s">
        <v>173</v>
      </c>
      <c r="B38">
        <v>0.83079107445892919</v>
      </c>
      <c r="C38">
        <v>0.8642185453008866</v>
      </c>
      <c r="D38">
        <v>0.86848126528674741</v>
      </c>
      <c r="E38">
        <v>0.89668872386357001</v>
      </c>
      <c r="F38">
        <v>1.1352645064869114</v>
      </c>
      <c r="G38">
        <v>1.2629515784423904</v>
      </c>
      <c r="H38">
        <v>1.3743931189790406</v>
      </c>
      <c r="I38">
        <v>1.4122197127829614</v>
      </c>
      <c r="J38">
        <v>1.4268374534320749</v>
      </c>
      <c r="K38">
        <v>1.4385674908013812</v>
      </c>
      <c r="L38">
        <v>1.4545305460525417</v>
      </c>
    </row>
    <row r="39" spans="1:12" ht="16">
      <c r="A39" s="2" t="s">
        <v>1</v>
      </c>
      <c r="B39" s="22">
        <f>SUM(B2:B8)</f>
        <v>456102</v>
      </c>
      <c r="C39" s="22">
        <f t="shared" ref="C39:L39" si="3">SUM(C2:C8)</f>
        <v>551642</v>
      </c>
      <c r="D39" s="22">
        <f t="shared" si="3"/>
        <v>559053</v>
      </c>
      <c r="E39" s="22">
        <f t="shared" si="3"/>
        <v>556831</v>
      </c>
      <c r="F39" s="22">
        <f t="shared" si="3"/>
        <v>393674</v>
      </c>
      <c r="G39" s="22">
        <f t="shared" si="3"/>
        <v>346442</v>
      </c>
      <c r="H39" s="22">
        <f t="shared" si="3"/>
        <v>285041</v>
      </c>
      <c r="I39" s="22">
        <f t="shared" si="3"/>
        <v>247133</v>
      </c>
      <c r="J39" s="22">
        <f t="shared" si="3"/>
        <v>202607</v>
      </c>
      <c r="K39" s="22">
        <f t="shared" si="3"/>
        <v>182277</v>
      </c>
      <c r="L39" s="22">
        <f t="shared" si="3"/>
        <v>170041</v>
      </c>
    </row>
    <row r="40" spans="1:12">
      <c r="A40" s="13" t="s">
        <v>4</v>
      </c>
      <c r="B40">
        <v>2000</v>
      </c>
      <c r="C40">
        <v>2001</v>
      </c>
      <c r="D40">
        <v>2002</v>
      </c>
      <c r="E40">
        <v>2003</v>
      </c>
      <c r="F40">
        <v>2004</v>
      </c>
      <c r="G40">
        <v>2005</v>
      </c>
      <c r="H40">
        <v>2006</v>
      </c>
      <c r="I40">
        <v>2007</v>
      </c>
      <c r="J40">
        <v>2008</v>
      </c>
      <c r="K40">
        <v>2009</v>
      </c>
      <c r="L40">
        <v>2010</v>
      </c>
    </row>
    <row r="41" spans="1:12">
      <c r="A41" t="s">
        <v>91</v>
      </c>
      <c r="B41">
        <f>B11/(B11+B21)</f>
        <v>0.19992547046767281</v>
      </c>
      <c r="C41">
        <f t="shared" ref="C41:L41" si="4">C11/(C11+C21)</f>
        <v>0.172717789966015</v>
      </c>
      <c r="D41">
        <f t="shared" si="4"/>
        <v>0.17527911389612108</v>
      </c>
      <c r="E41">
        <f t="shared" si="4"/>
        <v>0.15538350171529286</v>
      </c>
      <c r="F41">
        <f t="shared" si="4"/>
        <v>0.16166902101793587</v>
      </c>
      <c r="G41">
        <f t="shared" si="4"/>
        <v>0.15575190788099247</v>
      </c>
      <c r="H41">
        <f t="shared" si="4"/>
        <v>0.15115878645958883</v>
      </c>
      <c r="I41">
        <f t="shared" si="4"/>
        <v>0.16001095340240062</v>
      </c>
      <c r="J41">
        <f t="shared" si="4"/>
        <v>0.17977179884490774</v>
      </c>
      <c r="K41">
        <f t="shared" si="4"/>
        <v>0.18369006476345368</v>
      </c>
      <c r="L41">
        <f t="shared" si="4"/>
        <v>0.18084621586567112</v>
      </c>
    </row>
    <row r="42" spans="1:12">
      <c r="A42" s="17" t="s">
        <v>95</v>
      </c>
      <c r="B42">
        <f t="shared" ref="B42:L47" si="5">B12/(B12+B22)</f>
        <v>0.15059800241745658</v>
      </c>
      <c r="C42">
        <f t="shared" si="5"/>
        <v>0.13586407721391167</v>
      </c>
      <c r="D42">
        <f t="shared" si="5"/>
        <v>0.1375695924118496</v>
      </c>
      <c r="E42">
        <f t="shared" si="5"/>
        <v>0.1640857821871817</v>
      </c>
      <c r="F42">
        <f t="shared" si="5"/>
        <v>0.18384926236006111</v>
      </c>
      <c r="G42">
        <f t="shared" si="5"/>
        <v>0.17339977566518949</v>
      </c>
      <c r="H42">
        <f t="shared" si="5"/>
        <v>0.16055580969807867</v>
      </c>
      <c r="I42">
        <f t="shared" si="5"/>
        <v>0.16511650206155912</v>
      </c>
      <c r="J42">
        <f t="shared" si="5"/>
        <v>0.18546095998514531</v>
      </c>
      <c r="K42">
        <f t="shared" si="5"/>
        <v>0.18680481173271812</v>
      </c>
      <c r="L42">
        <f t="shared" si="5"/>
        <v>0.19378744175726648</v>
      </c>
    </row>
    <row r="43" spans="1:12">
      <c r="A43" t="s">
        <v>96</v>
      </c>
      <c r="B43">
        <f t="shared" si="5"/>
        <v>0.14724263896835527</v>
      </c>
      <c r="C43">
        <f t="shared" si="5"/>
        <v>0.13361426962618519</v>
      </c>
      <c r="D43">
        <f t="shared" si="5"/>
        <v>0.13748648820499779</v>
      </c>
      <c r="E43">
        <f t="shared" si="5"/>
        <v>0.15405949798574528</v>
      </c>
      <c r="F43">
        <f t="shared" si="5"/>
        <v>0.16784020220920118</v>
      </c>
      <c r="G43">
        <f t="shared" si="5"/>
        <v>0.16187883339591938</v>
      </c>
      <c r="H43">
        <f t="shared" si="5"/>
        <v>0.16891702524028554</v>
      </c>
      <c r="I43">
        <f t="shared" si="5"/>
        <v>0.17643655359386365</v>
      </c>
      <c r="J43">
        <f t="shared" si="5"/>
        <v>0.19347351442789984</v>
      </c>
      <c r="K43">
        <f t="shared" si="5"/>
        <v>0.19785817518421114</v>
      </c>
      <c r="L43">
        <f t="shared" si="5"/>
        <v>0.20256982916146996</v>
      </c>
    </row>
    <row r="44" spans="1:12">
      <c r="A44" t="s">
        <v>94</v>
      </c>
      <c r="B44">
        <f t="shared" si="5"/>
        <v>0.1484979544126242</v>
      </c>
      <c r="C44">
        <f t="shared" si="5"/>
        <v>0.13233029954590633</v>
      </c>
      <c r="D44">
        <f t="shared" si="5"/>
        <v>0.13179854990326173</v>
      </c>
      <c r="E44">
        <f t="shared" si="5"/>
        <v>0.16096996958945767</v>
      </c>
      <c r="F44">
        <f t="shared" si="5"/>
        <v>0.1714750029019671</v>
      </c>
      <c r="G44">
        <f t="shared" si="5"/>
        <v>0.17254211288810611</v>
      </c>
      <c r="H44">
        <f t="shared" si="5"/>
        <v>0.16725117159616398</v>
      </c>
      <c r="I44">
        <f t="shared" si="5"/>
        <v>0.17507476112907538</v>
      </c>
      <c r="J44">
        <f t="shared" si="5"/>
        <v>0.19075809671694766</v>
      </c>
      <c r="K44">
        <f t="shared" si="5"/>
        <v>0.20176163356841453</v>
      </c>
      <c r="L44">
        <f t="shared" si="5"/>
        <v>0.21292949496392599</v>
      </c>
    </row>
    <row r="45" spans="1:12">
      <c r="A45" t="s">
        <v>93</v>
      </c>
      <c r="B45">
        <f t="shared" si="5"/>
        <v>0.15152028252824074</v>
      </c>
      <c r="C45">
        <f t="shared" si="5"/>
        <v>0.13525595859957726</v>
      </c>
      <c r="D45">
        <f t="shared" si="5"/>
        <v>0.13661156095366622</v>
      </c>
      <c r="E45">
        <f t="shared" si="5"/>
        <v>0.16651288853007323</v>
      </c>
      <c r="F45">
        <f t="shared" si="5"/>
        <v>0.18104079421325445</v>
      </c>
      <c r="G45">
        <f t="shared" si="5"/>
        <v>0.1781978976355019</v>
      </c>
      <c r="H45">
        <f t="shared" si="5"/>
        <v>0.17015721882018697</v>
      </c>
      <c r="I45">
        <f t="shared" si="5"/>
        <v>0.17756239484015704</v>
      </c>
      <c r="J45">
        <f t="shared" si="5"/>
        <v>0.19844494400560975</v>
      </c>
      <c r="K45">
        <f t="shared" si="5"/>
        <v>0.20319306701269813</v>
      </c>
      <c r="L45">
        <f t="shared" si="5"/>
        <v>0.21361567989424715</v>
      </c>
    </row>
    <row r="46" spans="1:12">
      <c r="A46" t="s">
        <v>92</v>
      </c>
      <c r="B46">
        <f t="shared" si="5"/>
        <v>0.15012492039386666</v>
      </c>
      <c r="C46">
        <f t="shared" si="5"/>
        <v>0.13868573790228389</v>
      </c>
      <c r="D46">
        <f t="shared" si="5"/>
        <v>0.14135299331935225</v>
      </c>
      <c r="E46">
        <f t="shared" si="5"/>
        <v>0.16673103448275861</v>
      </c>
      <c r="F46">
        <f t="shared" si="5"/>
        <v>0.18000337400888489</v>
      </c>
      <c r="G46">
        <f t="shared" si="5"/>
        <v>0.18096889684493175</v>
      </c>
      <c r="H46">
        <f t="shared" si="5"/>
        <v>0.17803283751093726</v>
      </c>
      <c r="I46">
        <f t="shared" si="5"/>
        <v>0.18164320943101167</v>
      </c>
      <c r="J46">
        <f t="shared" si="5"/>
        <v>0.19828599073882092</v>
      </c>
      <c r="K46">
        <f t="shared" si="5"/>
        <v>0.20475267427668892</v>
      </c>
      <c r="L46">
        <f t="shared" si="5"/>
        <v>0.21376668732045287</v>
      </c>
    </row>
    <row r="47" spans="1:12">
      <c r="A47" t="s">
        <v>90</v>
      </c>
      <c r="B47">
        <f t="shared" si="5"/>
        <v>0.15658469711250106</v>
      </c>
      <c r="C47">
        <f t="shared" si="5"/>
        <v>0.1420473612131436</v>
      </c>
      <c r="D47">
        <f t="shared" si="5"/>
        <v>0.14751566763621099</v>
      </c>
      <c r="E47">
        <f t="shared" si="5"/>
        <v>0.16544566544566544</v>
      </c>
      <c r="F47">
        <f t="shared" si="5"/>
        <v>0.1911522633744856</v>
      </c>
      <c r="G47">
        <f t="shared" si="5"/>
        <v>0.17745803357314149</v>
      </c>
      <c r="H47">
        <f t="shared" si="5"/>
        <v>0.18159022890884088</v>
      </c>
      <c r="I47">
        <f t="shared" si="5"/>
        <v>0.18073164822740853</v>
      </c>
      <c r="J47">
        <f t="shared" si="5"/>
        <v>0.21097084733448371</v>
      </c>
      <c r="K47">
        <f t="shared" si="5"/>
        <v>0.22291382999416456</v>
      </c>
      <c r="L47">
        <f t="shared" si="5"/>
        <v>0.21865498121981755</v>
      </c>
    </row>
    <row r="48" spans="1:12" ht="16">
      <c r="A48" s="2" t="s">
        <v>173</v>
      </c>
      <c r="B48">
        <v>0.18310136682703376</v>
      </c>
      <c r="C48">
        <v>0.16236597870987024</v>
      </c>
      <c r="D48">
        <v>0.16290146026167054</v>
      </c>
      <c r="E48">
        <v>0.17437590427469235</v>
      </c>
      <c r="F48">
        <v>0.1821220156444269</v>
      </c>
      <c r="G48">
        <v>0.17363610944536964</v>
      </c>
      <c r="H48">
        <v>0.17183256049820014</v>
      </c>
      <c r="I48">
        <v>0.17669463374097311</v>
      </c>
      <c r="J48">
        <v>0.19419507773458455</v>
      </c>
      <c r="K48">
        <v>0.19761493682994832</v>
      </c>
      <c r="L48">
        <v>0.20427497651111806</v>
      </c>
    </row>
    <row r="50" spans="1:12">
      <c r="A50" s="20" t="s">
        <v>148</v>
      </c>
      <c r="B50" t="s">
        <v>138</v>
      </c>
    </row>
    <row r="51" spans="1:12">
      <c r="A51" t="s">
        <v>94</v>
      </c>
      <c r="B51">
        <v>14904</v>
      </c>
    </row>
    <row r="52" spans="1:12">
      <c r="A52" s="17" t="s">
        <v>95</v>
      </c>
      <c r="B52">
        <v>8734</v>
      </c>
    </row>
    <row r="53" spans="1:12">
      <c r="A53" t="s">
        <v>93</v>
      </c>
      <c r="B53">
        <v>8403</v>
      </c>
    </row>
    <row r="54" spans="1:12">
      <c r="A54" t="s">
        <v>96</v>
      </c>
      <c r="B54">
        <v>6984</v>
      </c>
    </row>
    <row r="55" spans="1:12">
      <c r="A55" t="s">
        <v>91</v>
      </c>
      <c r="B55">
        <v>5159</v>
      </c>
    </row>
    <row r="56" spans="1:12">
      <c r="A56" t="s">
        <v>92</v>
      </c>
      <c r="B56">
        <v>3795</v>
      </c>
    </row>
    <row r="57" spans="1:12">
      <c r="A57" t="s">
        <v>90</v>
      </c>
      <c r="B57">
        <v>2445</v>
      </c>
    </row>
    <row r="61" spans="1:12">
      <c r="A61" s="20" t="s">
        <v>65</v>
      </c>
      <c r="B61">
        <v>2000</v>
      </c>
      <c r="C61">
        <v>2001</v>
      </c>
      <c r="D61">
        <v>2002</v>
      </c>
      <c r="E61">
        <v>2003</v>
      </c>
      <c r="F61">
        <v>2004</v>
      </c>
      <c r="G61">
        <v>2005</v>
      </c>
      <c r="H61">
        <v>2006</v>
      </c>
      <c r="I61">
        <v>2007</v>
      </c>
      <c r="J61">
        <v>2008</v>
      </c>
      <c r="K61">
        <v>2009</v>
      </c>
      <c r="L61">
        <v>2010</v>
      </c>
    </row>
    <row r="62" spans="1:12">
      <c r="A62" t="s">
        <v>94</v>
      </c>
      <c r="B62">
        <v>6352</v>
      </c>
      <c r="C62">
        <v>6790</v>
      </c>
      <c r="D62">
        <v>6744</v>
      </c>
      <c r="E62">
        <v>20326</v>
      </c>
      <c r="F62">
        <v>19204</v>
      </c>
      <c r="G62">
        <v>18222</v>
      </c>
      <c r="H62">
        <v>16167</v>
      </c>
      <c r="I62">
        <v>14402</v>
      </c>
      <c r="J62">
        <v>13759</v>
      </c>
      <c r="K62">
        <v>13675</v>
      </c>
      <c r="L62">
        <v>14904</v>
      </c>
    </row>
    <row r="63" spans="1:12">
      <c r="A63" s="17" t="s">
        <v>95</v>
      </c>
      <c r="B63">
        <v>9469</v>
      </c>
      <c r="C63">
        <v>11571</v>
      </c>
      <c r="D63">
        <v>12009</v>
      </c>
      <c r="E63">
        <v>17399</v>
      </c>
      <c r="F63">
        <v>19017</v>
      </c>
      <c r="G63">
        <v>18860</v>
      </c>
      <c r="H63">
        <v>14039</v>
      </c>
      <c r="I63">
        <v>12054</v>
      </c>
      <c r="J63">
        <v>9988</v>
      </c>
      <c r="K63">
        <v>9069</v>
      </c>
      <c r="L63">
        <v>8734</v>
      </c>
    </row>
    <row r="64" spans="1:12">
      <c r="A64" t="s">
        <v>93</v>
      </c>
      <c r="B64">
        <v>6264</v>
      </c>
      <c r="C64">
        <v>5567</v>
      </c>
      <c r="D64">
        <v>4859</v>
      </c>
      <c r="E64">
        <v>5775</v>
      </c>
      <c r="F64">
        <v>6182</v>
      </c>
      <c r="G64">
        <v>6730</v>
      </c>
      <c r="H64">
        <v>8864</v>
      </c>
      <c r="I64">
        <v>10131</v>
      </c>
      <c r="J64">
        <v>9622</v>
      </c>
      <c r="K64">
        <v>8769</v>
      </c>
      <c r="L64">
        <v>8403</v>
      </c>
    </row>
    <row r="65" spans="1:12">
      <c r="A65" t="s">
        <v>96</v>
      </c>
      <c r="B65">
        <v>6691</v>
      </c>
      <c r="C65">
        <v>7356</v>
      </c>
      <c r="D65">
        <v>8649</v>
      </c>
      <c r="E65">
        <v>9943</v>
      </c>
      <c r="F65">
        <v>10226</v>
      </c>
      <c r="G65">
        <v>10346</v>
      </c>
      <c r="H65">
        <v>10246</v>
      </c>
      <c r="I65">
        <v>10673</v>
      </c>
      <c r="J65">
        <v>9836</v>
      </c>
      <c r="K65">
        <v>8351</v>
      </c>
      <c r="L65">
        <v>6984</v>
      </c>
    </row>
    <row r="66" spans="1:12">
      <c r="A66" t="s">
        <v>91</v>
      </c>
      <c r="B66">
        <v>6438</v>
      </c>
      <c r="C66">
        <v>5133</v>
      </c>
      <c r="D66">
        <v>3972</v>
      </c>
      <c r="E66">
        <v>14811</v>
      </c>
      <c r="F66">
        <v>15107</v>
      </c>
      <c r="G66">
        <v>12674</v>
      </c>
      <c r="H66">
        <v>8779</v>
      </c>
      <c r="I66">
        <v>7012</v>
      </c>
      <c r="J66">
        <v>6381</v>
      </c>
      <c r="K66">
        <v>6325</v>
      </c>
      <c r="L66">
        <v>5159</v>
      </c>
    </row>
    <row r="67" spans="1:12">
      <c r="A67" t="s">
        <v>92</v>
      </c>
      <c r="B67">
        <v>6129</v>
      </c>
      <c r="C67">
        <v>7718</v>
      </c>
      <c r="D67">
        <v>6538</v>
      </c>
      <c r="E67">
        <v>3022</v>
      </c>
      <c r="F67">
        <v>3201</v>
      </c>
      <c r="G67">
        <v>3235</v>
      </c>
      <c r="H67">
        <v>3459</v>
      </c>
      <c r="I67">
        <v>3020</v>
      </c>
      <c r="J67">
        <v>2869</v>
      </c>
      <c r="K67">
        <v>2852</v>
      </c>
      <c r="L67">
        <v>3795</v>
      </c>
    </row>
    <row r="68" spans="1:12">
      <c r="A68" t="s">
        <v>90</v>
      </c>
      <c r="B68">
        <v>10965</v>
      </c>
      <c r="C68">
        <v>15662</v>
      </c>
      <c r="D68">
        <v>19678</v>
      </c>
      <c r="E68">
        <v>1897</v>
      </c>
      <c r="F68">
        <v>1858</v>
      </c>
      <c r="G68">
        <v>1702</v>
      </c>
      <c r="H68">
        <v>2245</v>
      </c>
      <c r="I68">
        <v>2238</v>
      </c>
      <c r="J68">
        <v>2323</v>
      </c>
      <c r="K68">
        <v>2292</v>
      </c>
      <c r="L68">
        <v>2445</v>
      </c>
    </row>
    <row r="71" spans="1:12" ht="16">
      <c r="A71" s="2" t="s">
        <v>173</v>
      </c>
      <c r="B71">
        <v>0.83079107445892919</v>
      </c>
      <c r="C71">
        <v>0.8642185453008866</v>
      </c>
      <c r="D71">
        <v>0.86848126528674741</v>
      </c>
      <c r="E71">
        <v>0.89668872386357001</v>
      </c>
      <c r="F71">
        <v>1.1352645064869114</v>
      </c>
      <c r="G71">
        <v>1.2629515784423904</v>
      </c>
      <c r="H71">
        <v>1.3743931189790406</v>
      </c>
      <c r="I71">
        <v>1.4122197127829614</v>
      </c>
      <c r="J71">
        <v>1.4268374534320749</v>
      </c>
      <c r="K71">
        <v>1.4385674908013812</v>
      </c>
      <c r="L71">
        <v>1.4545305460525417</v>
      </c>
    </row>
    <row r="72" spans="1:12" ht="16">
      <c r="A72" s="2" t="s">
        <v>173</v>
      </c>
      <c r="B72">
        <v>0.18310136682703376</v>
      </c>
      <c r="C72">
        <v>0.16236597870987024</v>
      </c>
      <c r="D72">
        <v>0.16290146026167054</v>
      </c>
      <c r="E72">
        <v>0.17437590427469235</v>
      </c>
      <c r="F72">
        <v>0.1821220156444269</v>
      </c>
      <c r="G72">
        <v>0.17363610944536964</v>
      </c>
      <c r="H72">
        <v>0.17183256049820014</v>
      </c>
      <c r="I72">
        <v>0.17669463374097311</v>
      </c>
      <c r="J72">
        <v>0.19419507773458455</v>
      </c>
      <c r="K72">
        <v>0.19761493682994832</v>
      </c>
      <c r="L72">
        <v>0.20427497651111806</v>
      </c>
    </row>
    <row r="89" spans="1:18">
      <c r="A89" t="s">
        <v>3</v>
      </c>
      <c r="B89">
        <v>2000</v>
      </c>
      <c r="C89">
        <v>2001</v>
      </c>
      <c r="D89">
        <v>2002</v>
      </c>
      <c r="E89">
        <v>2003</v>
      </c>
      <c r="F89">
        <v>2004</v>
      </c>
      <c r="G89">
        <v>2005</v>
      </c>
      <c r="H89">
        <v>2006</v>
      </c>
      <c r="I89">
        <v>2007</v>
      </c>
      <c r="J89">
        <v>2008</v>
      </c>
      <c r="K89">
        <v>2009</v>
      </c>
      <c r="L89">
        <v>2010</v>
      </c>
      <c r="N89" s="35" t="s">
        <v>3</v>
      </c>
      <c r="O89" s="35" t="s">
        <v>95</v>
      </c>
      <c r="P89" s="35" t="s">
        <v>96</v>
      </c>
      <c r="Q89" s="35" t="s">
        <v>94</v>
      </c>
      <c r="R89" s="35" t="s">
        <v>93</v>
      </c>
    </row>
    <row r="90" spans="1:18">
      <c r="A90" t="s">
        <v>95</v>
      </c>
      <c r="B90">
        <v>0.76202249369788633</v>
      </c>
      <c r="C90">
        <v>0.79529728164949998</v>
      </c>
      <c r="D90">
        <v>0.81199188882480977</v>
      </c>
      <c r="E90">
        <v>0.82886601161581819</v>
      </c>
      <c r="F90">
        <v>1.0793342724474357</v>
      </c>
      <c r="G90">
        <v>1.2049898629560285</v>
      </c>
      <c r="H90">
        <v>1.3448790316378794</v>
      </c>
      <c r="I90">
        <v>1.3896598328669598</v>
      </c>
      <c r="J90">
        <v>1.3989401771566616</v>
      </c>
      <c r="K90">
        <v>1.4056401644565406</v>
      </c>
      <c r="L90">
        <v>1.4361736027021859</v>
      </c>
      <c r="N90" s="35" t="s">
        <v>95</v>
      </c>
      <c r="O90" s="35">
        <v>1</v>
      </c>
      <c r="P90" s="35"/>
      <c r="Q90" s="35"/>
      <c r="R90" s="35"/>
    </row>
    <row r="91" spans="1:18">
      <c r="A91" t="s">
        <v>96</v>
      </c>
      <c r="B91">
        <v>0.72402530153115685</v>
      </c>
      <c r="C91">
        <v>0.77635976478219793</v>
      </c>
      <c r="D91">
        <v>0.7929913021555528</v>
      </c>
      <c r="E91">
        <v>0.79211566312378801</v>
      </c>
      <c r="F91">
        <v>1.06955147897832</v>
      </c>
      <c r="G91">
        <v>1.1978184680548007</v>
      </c>
      <c r="H91">
        <v>1.336675554772031</v>
      </c>
      <c r="I91">
        <v>1.3788607508376831</v>
      </c>
      <c r="J91">
        <v>1.3939950644365231</v>
      </c>
      <c r="K91">
        <v>1.4009692302585721</v>
      </c>
      <c r="L91">
        <v>1.4047017601043026</v>
      </c>
      <c r="N91" s="35" t="s">
        <v>96</v>
      </c>
      <c r="O91" s="35">
        <v>0.99704375123418054</v>
      </c>
      <c r="P91" s="35">
        <v>1</v>
      </c>
      <c r="Q91" s="35"/>
      <c r="R91" s="35"/>
    </row>
    <row r="92" spans="1:18">
      <c r="A92" t="s">
        <v>94</v>
      </c>
      <c r="B92">
        <v>0.71401148427588967</v>
      </c>
      <c r="C92">
        <v>0.74472778995341005</v>
      </c>
      <c r="D92">
        <v>0.76210121831342525</v>
      </c>
      <c r="E92">
        <v>0.78814585491904576</v>
      </c>
      <c r="F92">
        <v>1.068696681107697</v>
      </c>
      <c r="G92">
        <v>1.2258165610418552</v>
      </c>
      <c r="H92">
        <v>1.3485539697819444</v>
      </c>
      <c r="I92">
        <v>1.3753887309814412</v>
      </c>
      <c r="J92">
        <v>1.4067717272585427</v>
      </c>
      <c r="K92">
        <v>1.4094869715307672</v>
      </c>
      <c r="L92">
        <v>1.4393378572897388</v>
      </c>
      <c r="N92" s="35" t="s">
        <v>94</v>
      </c>
      <c r="O92" s="35">
        <v>0.99435764304591057</v>
      </c>
      <c r="P92" s="35">
        <v>0.99751698786256071</v>
      </c>
      <c r="Q92" s="35">
        <v>1</v>
      </c>
      <c r="R92" s="35"/>
    </row>
    <row r="93" spans="1:18">
      <c r="A93" t="s">
        <v>93</v>
      </c>
      <c r="B93">
        <v>0.69209649607419688</v>
      </c>
      <c r="C93">
        <v>0.74693307200929149</v>
      </c>
      <c r="D93">
        <v>0.74674056811740253</v>
      </c>
      <c r="E93">
        <v>0.85989140406119058</v>
      </c>
      <c r="F93">
        <v>1.1263317610581522</v>
      </c>
      <c r="G93">
        <v>1.237491398800747</v>
      </c>
      <c r="H93">
        <v>1.353205527847049</v>
      </c>
      <c r="I93">
        <v>1.4288647917657959</v>
      </c>
      <c r="J93">
        <v>1.4253336468928215</v>
      </c>
      <c r="K93">
        <v>1.4622213186962119</v>
      </c>
      <c r="L93">
        <v>1.4535880570541719</v>
      </c>
      <c r="N93" s="35" t="s">
        <v>93</v>
      </c>
      <c r="O93" s="35">
        <v>0.98813349839998721</v>
      </c>
      <c r="P93" s="35">
        <v>0.98746787109828849</v>
      </c>
      <c r="Q93" s="35">
        <v>0.99205819808681606</v>
      </c>
      <c r="R93" s="35">
        <v>1</v>
      </c>
    </row>
    <row r="94" spans="1:18">
      <c r="N94" s="35"/>
      <c r="O94" s="35"/>
      <c r="P94" s="35"/>
      <c r="Q94" s="35"/>
      <c r="R94" s="35"/>
    </row>
    <row r="95" spans="1:18">
      <c r="N95" s="35"/>
      <c r="O95" s="35"/>
      <c r="P95" s="35"/>
      <c r="Q95" s="35"/>
      <c r="R95" s="35"/>
    </row>
    <row r="96" spans="1:18">
      <c r="A96" t="s">
        <v>4</v>
      </c>
      <c r="B96">
        <v>2000</v>
      </c>
      <c r="C96">
        <v>2001</v>
      </c>
      <c r="D96">
        <v>2002</v>
      </c>
      <c r="E96">
        <v>2003</v>
      </c>
      <c r="F96">
        <v>2004</v>
      </c>
      <c r="G96">
        <v>2005</v>
      </c>
      <c r="H96">
        <v>2006</v>
      </c>
      <c r="I96">
        <v>2007</v>
      </c>
      <c r="J96">
        <v>2008</v>
      </c>
      <c r="K96">
        <v>2009</v>
      </c>
      <c r="L96">
        <v>2010</v>
      </c>
      <c r="N96" s="35" t="s">
        <v>4</v>
      </c>
      <c r="O96" s="35" t="s">
        <v>95</v>
      </c>
      <c r="P96" s="35" t="s">
        <v>96</v>
      </c>
      <c r="Q96" s="35" t="s">
        <v>94</v>
      </c>
      <c r="R96" s="35" t="s">
        <v>93</v>
      </c>
    </row>
    <row r="97" spans="1:25">
      <c r="A97" t="s">
        <v>95</v>
      </c>
      <c r="B97">
        <v>0.15059800241745658</v>
      </c>
      <c r="C97">
        <v>0.13586407721391167</v>
      </c>
      <c r="D97">
        <v>0.1375695924118496</v>
      </c>
      <c r="E97">
        <v>0.1640857821871817</v>
      </c>
      <c r="F97">
        <v>0.18384926236006111</v>
      </c>
      <c r="G97">
        <v>0.17339977566518949</v>
      </c>
      <c r="H97">
        <v>0.16055580969807867</v>
      </c>
      <c r="I97">
        <v>0.16511650206155912</v>
      </c>
      <c r="J97">
        <v>0.18546095998514531</v>
      </c>
      <c r="K97">
        <v>0.18680481173271812</v>
      </c>
      <c r="L97">
        <v>0.19378744175726648</v>
      </c>
      <c r="N97" s="35" t="s">
        <v>95</v>
      </c>
      <c r="O97" s="35">
        <v>1</v>
      </c>
      <c r="P97" s="35"/>
      <c r="Q97" s="35"/>
      <c r="R97" s="35"/>
    </row>
    <row r="98" spans="1:25">
      <c r="A98" t="s">
        <v>96</v>
      </c>
      <c r="B98">
        <v>0.14724263896835527</v>
      </c>
      <c r="C98">
        <v>0.13361426962618519</v>
      </c>
      <c r="D98">
        <v>0.13748648820499779</v>
      </c>
      <c r="E98">
        <v>0.15405949798574528</v>
      </c>
      <c r="F98">
        <v>0.16784020220920118</v>
      </c>
      <c r="G98">
        <v>0.16187883339591938</v>
      </c>
      <c r="H98">
        <v>0.16891702524028554</v>
      </c>
      <c r="I98">
        <v>0.17643655359386365</v>
      </c>
      <c r="J98">
        <v>0.19347351442789984</v>
      </c>
      <c r="K98">
        <v>0.19785817518421114</v>
      </c>
      <c r="L98">
        <v>0.20256982916146996</v>
      </c>
      <c r="N98" s="35" t="s">
        <v>96</v>
      </c>
      <c r="O98" s="35">
        <v>0.89831592236768532</v>
      </c>
      <c r="P98" s="35">
        <v>1</v>
      </c>
      <c r="Q98" s="35"/>
      <c r="R98" s="35"/>
    </row>
    <row r="99" spans="1:25">
      <c r="A99" t="s">
        <v>94</v>
      </c>
      <c r="B99">
        <v>0.1484979544126242</v>
      </c>
      <c r="C99">
        <v>0.13233029954590633</v>
      </c>
      <c r="D99">
        <v>0.13179854990326173</v>
      </c>
      <c r="E99">
        <v>0.16096996958945767</v>
      </c>
      <c r="F99">
        <v>0.1714750029019671</v>
      </c>
      <c r="G99">
        <v>0.17254211288810611</v>
      </c>
      <c r="H99">
        <v>0.16725117159616398</v>
      </c>
      <c r="I99">
        <v>0.17507476112907538</v>
      </c>
      <c r="J99">
        <v>0.19075809671694766</v>
      </c>
      <c r="K99">
        <v>0.20176163356841453</v>
      </c>
      <c r="L99">
        <v>0.21292949496392599</v>
      </c>
      <c r="N99" s="35" t="s">
        <v>94</v>
      </c>
      <c r="O99" s="35">
        <v>0.90891703784030786</v>
      </c>
      <c r="P99" s="35">
        <v>0.97208175784787254</v>
      </c>
      <c r="Q99" s="35">
        <v>1</v>
      </c>
      <c r="R99" s="35"/>
    </row>
    <row r="100" spans="1:25">
      <c r="A100" t="s">
        <v>93</v>
      </c>
      <c r="B100">
        <v>0.15152028252824074</v>
      </c>
      <c r="C100">
        <v>0.13525595859957726</v>
      </c>
      <c r="D100">
        <v>0.13661156095366622</v>
      </c>
      <c r="E100">
        <v>0.16651288853007323</v>
      </c>
      <c r="F100">
        <v>0.18104079421325445</v>
      </c>
      <c r="G100">
        <v>0.1781978976355019</v>
      </c>
      <c r="H100">
        <v>0.17015721882018697</v>
      </c>
      <c r="I100">
        <v>0.17756239484015704</v>
      </c>
      <c r="J100">
        <v>0.19844494400560975</v>
      </c>
      <c r="K100">
        <v>0.20319306701269813</v>
      </c>
      <c r="L100">
        <v>0.21361567989424715</v>
      </c>
      <c r="N100" s="35" t="s">
        <v>93</v>
      </c>
      <c r="O100" s="35">
        <v>0.89628318637058779</v>
      </c>
      <c r="P100" s="35">
        <v>0.93575597952346901</v>
      </c>
      <c r="Q100" s="35">
        <v>0.97977974299306159</v>
      </c>
      <c r="R100" s="35">
        <v>1</v>
      </c>
    </row>
    <row r="104" spans="1:25">
      <c r="X104" t="s">
        <v>185</v>
      </c>
      <c r="Y104" t="s">
        <v>186</v>
      </c>
    </row>
    <row r="105" spans="1:25" ht="16">
      <c r="A105" s="2">
        <v>13</v>
      </c>
      <c r="B105">
        <v>0.76202249369788633</v>
      </c>
      <c r="C105">
        <v>0.79529728164949998</v>
      </c>
      <c r="D105">
        <v>0.81199188882480977</v>
      </c>
      <c r="E105">
        <v>0.82886601161581819</v>
      </c>
      <c r="F105">
        <v>1.0793342724474357</v>
      </c>
      <c r="G105">
        <v>1.2049898629560285</v>
      </c>
      <c r="H105">
        <v>1.3448790316378794</v>
      </c>
      <c r="I105">
        <v>1.3896598328669598</v>
      </c>
      <c r="J105">
        <v>1.3989401771566616</v>
      </c>
      <c r="K105">
        <v>1.4056401644565406</v>
      </c>
      <c r="L105">
        <v>1.4361736027021859</v>
      </c>
      <c r="M105">
        <v>0.72402530153115685</v>
      </c>
      <c r="N105">
        <v>0.77635976478219793</v>
      </c>
      <c r="O105">
        <v>0.7929913021555528</v>
      </c>
      <c r="P105">
        <v>0.79211566312378801</v>
      </c>
      <c r="Q105">
        <v>1.06955147897832</v>
      </c>
      <c r="R105">
        <v>1.1978184680548007</v>
      </c>
      <c r="S105">
        <v>1.336675554772031</v>
      </c>
      <c r="T105">
        <v>1.3788607508376831</v>
      </c>
      <c r="U105">
        <v>1.3939950644365231</v>
      </c>
      <c r="V105">
        <v>1.4009692302585721</v>
      </c>
      <c r="W105">
        <v>1.4047017601043026</v>
      </c>
      <c r="X105">
        <f>AVERAGE(B105:W105)</f>
        <v>1.1239026799566654</v>
      </c>
      <c r="Y105">
        <f>(_xlfn.STDEV.P(B105:W105))^2</f>
        <v>7.5061716773189513E-2</v>
      </c>
    </row>
    <row r="106" spans="1:25" ht="16">
      <c r="A106" s="2"/>
      <c r="B106">
        <f>B105-$X105</f>
        <v>-0.36188018625877905</v>
      </c>
      <c r="C106">
        <f>C105-$X105</f>
        <v>-0.3286053983071654</v>
      </c>
      <c r="D106">
        <f>D105-$X105</f>
        <v>-0.3119107911318556</v>
      </c>
      <c r="E106">
        <f>E105-$X105</f>
        <v>-0.29503666834084719</v>
      </c>
      <c r="F106">
        <f>F105-$X105</f>
        <v>-4.4568407509229635E-2</v>
      </c>
      <c r="G106">
        <f>G105-$X105</f>
        <v>8.1087182999363128E-2</v>
      </c>
      <c r="H106">
        <f>H105-$X105</f>
        <v>0.22097635168121399</v>
      </c>
      <c r="I106">
        <f>I105-$X105</f>
        <v>0.26575715291029445</v>
      </c>
      <c r="J106">
        <f>J105-$X105</f>
        <v>0.27503749719999626</v>
      </c>
      <c r="K106">
        <f>K105-$X105</f>
        <v>0.28173748449987523</v>
      </c>
      <c r="L106">
        <f>L105-$X105</f>
        <v>0.31227092274552049</v>
      </c>
      <c r="M106">
        <f>M105-$X105</f>
        <v>-0.39987737842550852</v>
      </c>
      <c r="N106">
        <f>N105-$X105</f>
        <v>-0.34754291517446745</v>
      </c>
      <c r="O106">
        <f>O105-$X105</f>
        <v>-0.33091137780111257</v>
      </c>
      <c r="P106">
        <f>P105-$X105</f>
        <v>-0.33178701683287737</v>
      </c>
      <c r="Q106">
        <f>Q105-$X105</f>
        <v>-5.4351200978345338E-2</v>
      </c>
      <c r="R106">
        <f>R105-$X105</f>
        <v>7.3915788098135371E-2</v>
      </c>
      <c r="S106">
        <f>S105-$X105</f>
        <v>0.21277287481536566</v>
      </c>
      <c r="T106">
        <f>T105-$X105</f>
        <v>0.25495807088101774</v>
      </c>
      <c r="U106">
        <f>U105-$X105</f>
        <v>0.27009238447985773</v>
      </c>
      <c r="V106">
        <f>V105-$X105</f>
        <v>0.27706655030190674</v>
      </c>
      <c r="W106">
        <f>W105-$X105</f>
        <v>0.28079908014763721</v>
      </c>
    </row>
    <row r="107" spans="1:25" ht="16">
      <c r="A107" s="2"/>
      <c r="M107">
        <f>B106*M106</f>
        <v>0.1447077001852953</v>
      </c>
      <c r="N107">
        <f t="shared" ref="N107:W107" si="6">C106*N106</f>
        <v>0.11420447806973927</v>
      </c>
      <c r="O107">
        <f t="shared" si="6"/>
        <v>0.10321482964447738</v>
      </c>
      <c r="P107">
        <f t="shared" si="6"/>
        <v>9.788933604512072E-2</v>
      </c>
      <c r="Q107">
        <f t="shared" si="6"/>
        <v>2.4223464738189356E-3</v>
      </c>
      <c r="R107">
        <f t="shared" si="6"/>
        <v>5.9936230360556498E-3</v>
      </c>
      <c r="S107">
        <f t="shared" si="6"/>
        <v>4.7017773613423165E-2</v>
      </c>
      <c r="T107">
        <f t="shared" si="6"/>
        <v>6.7756931028840325E-2</v>
      </c>
      <c r="U107">
        <f t="shared" si="6"/>
        <v>7.4285533440119178E-2</v>
      </c>
      <c r="V107">
        <f t="shared" si="6"/>
        <v>7.806003292111735E-2</v>
      </c>
      <c r="W107">
        <f t="shared" si="6"/>
        <v>8.7685387863796038E-2</v>
      </c>
      <c r="X107">
        <f>SUM(M107:W107)</f>
        <v>0.82323797232180329</v>
      </c>
      <c r="Y107">
        <f>X107/COUNT(B105:L105)/Y105</f>
        <v>0.99704375123418054</v>
      </c>
    </row>
    <row r="108" spans="1:25" ht="16">
      <c r="A108" s="2">
        <v>15</v>
      </c>
      <c r="B108">
        <v>0.76202249369788633</v>
      </c>
      <c r="C108">
        <v>0.79529728164949998</v>
      </c>
      <c r="D108">
        <v>0.81199188882480977</v>
      </c>
      <c r="E108">
        <v>0.82886601161581819</v>
      </c>
      <c r="F108">
        <v>1.0793342724474357</v>
      </c>
      <c r="G108">
        <v>1.2049898629560285</v>
      </c>
      <c r="H108">
        <v>1.3448790316378794</v>
      </c>
      <c r="I108">
        <v>1.3896598328669598</v>
      </c>
      <c r="J108">
        <v>1.3989401771566616</v>
      </c>
      <c r="K108">
        <v>1.4056401644565406</v>
      </c>
      <c r="L108">
        <v>1.4361736027021859</v>
      </c>
      <c r="M108">
        <v>0.71401148427588967</v>
      </c>
      <c r="N108">
        <v>0.74472778995341005</v>
      </c>
      <c r="O108">
        <v>0.76210121831342525</v>
      </c>
      <c r="P108">
        <v>0.78814585491904576</v>
      </c>
      <c r="Q108">
        <v>1.068696681107697</v>
      </c>
      <c r="R108">
        <v>1.2258165610418552</v>
      </c>
      <c r="S108">
        <v>1.3485539697819444</v>
      </c>
      <c r="T108">
        <v>1.3753887309814412</v>
      </c>
      <c r="U108">
        <v>1.4067717272585427</v>
      </c>
      <c r="V108">
        <v>1.4094869715307672</v>
      </c>
      <c r="W108">
        <v>1.4393378572897388</v>
      </c>
      <c r="X108">
        <f>AVERAGE(B108:W108)</f>
        <v>1.1245833393847942</v>
      </c>
      <c r="Y108">
        <f>(_xlfn.STDEV.P(B108:W108))^2</f>
        <v>7.942976178082152E-2</v>
      </c>
    </row>
    <row r="109" spans="1:25">
      <c r="B109">
        <f>B108-$X108</f>
        <v>-0.36256084568690783</v>
      </c>
      <c r="C109">
        <f>C108-$X108</f>
        <v>-0.32928605773529418</v>
      </c>
      <c r="D109">
        <f>D108-$X108</f>
        <v>-0.31259145055998439</v>
      </c>
      <c r="E109">
        <f>E108-$X108</f>
        <v>-0.29571732776897597</v>
      </c>
      <c r="F109">
        <f>F108-$X108</f>
        <v>-4.5249066937358418E-2</v>
      </c>
      <c r="G109">
        <f>G108-$X108</f>
        <v>8.0406523571234345E-2</v>
      </c>
      <c r="H109">
        <f>H108-$X108</f>
        <v>0.22029569225308521</v>
      </c>
      <c r="I109">
        <f>I108-$X108</f>
        <v>0.26507649348216566</v>
      </c>
      <c r="J109">
        <f>J108-$X108</f>
        <v>0.27435683777186748</v>
      </c>
      <c r="K109">
        <f>K108-$X108</f>
        <v>0.28105682507174645</v>
      </c>
      <c r="L109">
        <f>L108-$X108</f>
        <v>0.3115902633173917</v>
      </c>
      <c r="M109">
        <f>M108-$X108</f>
        <v>-0.41057185510890448</v>
      </c>
      <c r="N109">
        <f>N108-$X108</f>
        <v>-0.37985554943138411</v>
      </c>
      <c r="O109">
        <f>O108-$X108</f>
        <v>-0.3624821210713689</v>
      </c>
      <c r="P109">
        <f>P108-$X108</f>
        <v>-0.33643748446574839</v>
      </c>
      <c r="Q109">
        <f>Q108-$X108</f>
        <v>-5.5886658277097156E-2</v>
      </c>
      <c r="R109">
        <f>R108-$X108</f>
        <v>0.10123322165706106</v>
      </c>
      <c r="S109">
        <f>S108-$X108</f>
        <v>0.22397063039715026</v>
      </c>
      <c r="T109">
        <f>T108-$X108</f>
        <v>0.25080539159664705</v>
      </c>
      <c r="U109">
        <f>U108-$X108</f>
        <v>0.28218838787374856</v>
      </c>
      <c r="V109">
        <f>V108-$X108</f>
        <v>0.28490363214597303</v>
      </c>
      <c r="W109">
        <f>W108-$X108</f>
        <v>0.31475451790494469</v>
      </c>
    </row>
    <row r="110" spans="1:25">
      <c r="M110">
        <f>B109*M109</f>
        <v>0.14885727900352699</v>
      </c>
      <c r="N110">
        <f t="shared" ref="N110:W110" si="7">C109*N109</f>
        <v>0.12508113638113463</v>
      </c>
      <c r="O110">
        <f t="shared" si="7"/>
        <v>0.11330881202775908</v>
      </c>
      <c r="P110">
        <f t="shared" si="7"/>
        <v>9.9490393867527477E-2</v>
      </c>
      <c r="Q110">
        <f t="shared" si="7"/>
        <v>2.5288191412856449E-3</v>
      </c>
      <c r="R110">
        <f t="shared" si="7"/>
        <v>8.1398114233604702E-3</v>
      </c>
      <c r="S110">
        <f t="shared" si="7"/>
        <v>4.9339765067700103E-2</v>
      </c>
      <c r="T110">
        <f t="shared" si="7"/>
        <v>6.648261375086062E-2</v>
      </c>
      <c r="U110">
        <f t="shared" si="7"/>
        <v>7.7420313752982847E-2</v>
      </c>
      <c r="V110">
        <f t="shared" si="7"/>
        <v>8.0074110302355936E-2</v>
      </c>
      <c r="W110">
        <f t="shared" si="7"/>
        <v>9.8074443114340396E-2</v>
      </c>
      <c r="X110">
        <f>SUM(M110:W110)</f>
        <v>0.86879749783283422</v>
      </c>
      <c r="Y110">
        <f>X110/COUNT(B108:L108)/Y108</f>
        <v>0.99435764304591057</v>
      </c>
    </row>
    <row r="111" spans="1:25" ht="16">
      <c r="A111" s="2">
        <v>110</v>
      </c>
      <c r="B111">
        <v>0.76202249369788633</v>
      </c>
      <c r="C111">
        <v>0.79529728164949998</v>
      </c>
      <c r="D111">
        <v>0.81199188882480977</v>
      </c>
      <c r="E111">
        <v>0.82886601161581819</v>
      </c>
      <c r="F111">
        <v>1.0793342724474357</v>
      </c>
      <c r="G111">
        <v>1.2049898629560285</v>
      </c>
      <c r="H111">
        <v>1.3448790316378794</v>
      </c>
      <c r="I111">
        <v>1.3896598328669598</v>
      </c>
      <c r="J111">
        <v>1.3989401771566616</v>
      </c>
      <c r="K111">
        <v>1.4056401644565406</v>
      </c>
      <c r="L111">
        <v>1.4361736027021859</v>
      </c>
      <c r="M111">
        <v>0.69209649607419688</v>
      </c>
      <c r="N111">
        <v>0.74693307200929149</v>
      </c>
      <c r="O111">
        <v>0.74674056811740253</v>
      </c>
      <c r="P111">
        <v>0.85989140406119058</v>
      </c>
      <c r="Q111">
        <v>1.1263317610581522</v>
      </c>
      <c r="R111">
        <v>1.237491398800747</v>
      </c>
      <c r="S111">
        <v>1.353205527847049</v>
      </c>
      <c r="T111">
        <v>1.4288647917657959</v>
      </c>
      <c r="U111">
        <v>1.4253336468928215</v>
      </c>
      <c r="V111">
        <v>1.4622213186962119</v>
      </c>
      <c r="W111">
        <v>1.4535880570541719</v>
      </c>
      <c r="X111">
        <f>AVERAGE(B111:W111)</f>
        <v>1.1359314846540334</v>
      </c>
      <c r="Y111">
        <f>(_xlfn.STDEV.P(B111:W111))^2</f>
        <v>8.2439209830200103E-2</v>
      </c>
    </row>
    <row r="112" spans="1:25">
      <c r="B112">
        <f>B111-$X111</f>
        <v>-0.37390899095614705</v>
      </c>
      <c r="C112">
        <f>C111-$X111</f>
        <v>-0.3406342030045334</v>
      </c>
      <c r="D112">
        <f>D111-$X111</f>
        <v>-0.3239395958292236</v>
      </c>
      <c r="E112">
        <f>E111-$X111</f>
        <v>-0.30706547303821519</v>
      </c>
      <c r="F112">
        <f>F111-$X111</f>
        <v>-5.6597212206597636E-2</v>
      </c>
      <c r="G112">
        <f>G111-$X111</f>
        <v>6.9058378301995127E-2</v>
      </c>
      <c r="H112">
        <f>H111-$X111</f>
        <v>0.20894754698384599</v>
      </c>
      <c r="I112">
        <f>I111-$X111</f>
        <v>0.25372834821292645</v>
      </c>
      <c r="J112">
        <f>J111-$X111</f>
        <v>0.26300869250262826</v>
      </c>
      <c r="K112">
        <f>K111-$X111</f>
        <v>0.26970867980250723</v>
      </c>
      <c r="L112">
        <f>L111-$X111</f>
        <v>0.30024211804815248</v>
      </c>
      <c r="M112">
        <f>M111-$X111</f>
        <v>-0.4438349885798365</v>
      </c>
      <c r="N112">
        <f>N111-$X111</f>
        <v>-0.38899841264474189</v>
      </c>
      <c r="O112">
        <f>O111-$X111</f>
        <v>-0.38919091653663085</v>
      </c>
      <c r="P112">
        <f>P111-$X111</f>
        <v>-0.2760400805928428</v>
      </c>
      <c r="Q112">
        <f>Q111-$X111</f>
        <v>-9.5997235958811267E-3</v>
      </c>
      <c r="R112">
        <f>R111-$X111</f>
        <v>0.10155991414671361</v>
      </c>
      <c r="S112">
        <f>S111-$X111</f>
        <v>0.21727404319301558</v>
      </c>
      <c r="T112">
        <f>T111-$X111</f>
        <v>0.29293330711176258</v>
      </c>
      <c r="U112">
        <f>U111-$X111</f>
        <v>0.28940216223878812</v>
      </c>
      <c r="V112">
        <f>V111-$X111</f>
        <v>0.32628983404217848</v>
      </c>
      <c r="W112">
        <f>W111-$X111</f>
        <v>0.31765657240013856</v>
      </c>
    </row>
    <row r="113" spans="1:25">
      <c r="M113">
        <f>B112*M112</f>
        <v>0.16595389273091971</v>
      </c>
      <c r="N113">
        <f t="shared" ref="N113:W113" si="8">C112*N112</f>
        <v>0.13250616426127027</v>
      </c>
      <c r="O113">
        <f t="shared" si="8"/>
        <v>0.12607434820328128</v>
      </c>
      <c r="P113">
        <f t="shared" si="8"/>
        <v>8.4762377924748319E-2</v>
      </c>
      <c r="Q113">
        <f t="shared" si="8"/>
        <v>5.4331759348076668E-4</v>
      </c>
      <c r="R113">
        <f t="shared" si="8"/>
        <v>7.0135629714618954E-3</v>
      </c>
      <c r="S113">
        <f t="shared" si="8"/>
        <v>4.5398878348442806E-2</v>
      </c>
      <c r="T113">
        <f t="shared" si="8"/>
        <v>7.4325484150017412E-2</v>
      </c>
      <c r="U113">
        <f t="shared" si="8"/>
        <v>7.6115284297857161E-2</v>
      </c>
      <c r="V113">
        <f t="shared" si="8"/>
        <v>8.8003200372495136E-2</v>
      </c>
      <c r="W113">
        <f t="shared" si="8"/>
        <v>9.5373882109333896E-2</v>
      </c>
      <c r="X113">
        <f>SUM(M113:W113)</f>
        <v>0.8960703929633087</v>
      </c>
      <c r="Y113">
        <f>X113/COUNT(B111:L111)/Y111</f>
        <v>0.98813349839998721</v>
      </c>
    </row>
    <row r="114" spans="1:25">
      <c r="A114">
        <v>35</v>
      </c>
      <c r="B114">
        <v>0.72402530153115685</v>
      </c>
      <c r="C114">
        <v>0.77635976478219793</v>
      </c>
      <c r="D114">
        <v>0.7929913021555528</v>
      </c>
      <c r="E114">
        <v>0.79211566312378801</v>
      </c>
      <c r="F114">
        <v>1.06955147897832</v>
      </c>
      <c r="G114">
        <v>1.1978184680548007</v>
      </c>
      <c r="H114">
        <v>1.336675554772031</v>
      </c>
      <c r="I114">
        <v>1.3788607508376831</v>
      </c>
      <c r="J114">
        <v>1.3939950644365231</v>
      </c>
      <c r="K114">
        <v>1.4009692302585721</v>
      </c>
      <c r="L114">
        <v>1.4047017601043026</v>
      </c>
      <c r="M114">
        <v>0.71401148427588967</v>
      </c>
      <c r="N114">
        <v>0.74472778995341005</v>
      </c>
      <c r="O114">
        <v>0.76210121831342525</v>
      </c>
      <c r="P114">
        <v>0.78814585491904576</v>
      </c>
      <c r="Q114">
        <v>1.068696681107697</v>
      </c>
      <c r="R114">
        <v>1.2258165610418552</v>
      </c>
      <c r="S114">
        <v>1.3485539697819444</v>
      </c>
      <c r="T114">
        <v>1.3753887309814412</v>
      </c>
      <c r="U114">
        <v>1.4067717272585427</v>
      </c>
      <c r="V114">
        <v>1.4094869715307672</v>
      </c>
      <c r="W114">
        <v>1.4393378572897388</v>
      </c>
      <c r="X114">
        <f>AVERAGE(B114:W114)</f>
        <v>1.1159592357040313</v>
      </c>
      <c r="Y114">
        <f>(_xlfn.STDEV.P(B114:W114))^2</f>
        <v>8.1353624904295416E-2</v>
      </c>
    </row>
    <row r="115" spans="1:25">
      <c r="B115">
        <f>B114-$X114</f>
        <v>-0.39193393417287448</v>
      </c>
      <c r="C115">
        <f>C114-$X114</f>
        <v>-0.3395994709218334</v>
      </c>
      <c r="D115">
        <f>D114-$X114</f>
        <v>-0.32296793354847853</v>
      </c>
      <c r="E115">
        <f>E114-$X114</f>
        <v>-0.32384357258024332</v>
      </c>
      <c r="F115">
        <f>F114-$X114</f>
        <v>-4.6407756725711291E-2</v>
      </c>
      <c r="G115">
        <f>G114-$X114</f>
        <v>8.1859232350769418E-2</v>
      </c>
      <c r="H115">
        <f>H114-$X114</f>
        <v>0.22071631906799971</v>
      </c>
      <c r="I115">
        <f>I114-$X114</f>
        <v>0.26290151513365179</v>
      </c>
      <c r="J115">
        <f>J114-$X114</f>
        <v>0.27803582873249177</v>
      </c>
      <c r="K115">
        <f>K114-$X114</f>
        <v>0.28500999455454079</v>
      </c>
      <c r="L115">
        <f>L114-$X114</f>
        <v>0.28874252440027126</v>
      </c>
      <c r="M115">
        <f>M114-$X114</f>
        <v>-0.40194775142814165</v>
      </c>
      <c r="N115">
        <f>N114-$X114</f>
        <v>-0.37123144575062128</v>
      </c>
      <c r="O115">
        <f>O114-$X114</f>
        <v>-0.35385801739060607</v>
      </c>
      <c r="P115">
        <f>P114-$X114</f>
        <v>-0.32781338078498556</v>
      </c>
      <c r="Q115">
        <f>Q114-$X114</f>
        <v>-4.7262554596334327E-2</v>
      </c>
      <c r="R115">
        <f>R114-$X114</f>
        <v>0.10985732533782389</v>
      </c>
      <c r="S115">
        <f>S114-$X114</f>
        <v>0.23259473407791309</v>
      </c>
      <c r="T115">
        <f>T114-$X114</f>
        <v>0.25942949527740988</v>
      </c>
      <c r="U115">
        <f>U114-$X114</f>
        <v>0.29081249155451139</v>
      </c>
      <c r="V115">
        <f>V114-$X114</f>
        <v>0.29352773582673586</v>
      </c>
      <c r="W115">
        <f>W114-$X114</f>
        <v>0.32337862158570752</v>
      </c>
    </row>
    <row r="116" spans="1:25">
      <c r="M116">
        <f>B115*M115</f>
        <v>0.15753696354917218</v>
      </c>
      <c r="N116">
        <f t="shared" ref="N116" si="9">C115*N115</f>
        <v>0.12607000256645828</v>
      </c>
      <c r="O116">
        <f t="shared" ref="O116" si="10">D115*O115</f>
        <v>0.11428479264620563</v>
      </c>
      <c r="P116">
        <f t="shared" ref="P116" si="11">E115*P115</f>
        <v>0.10616025637301742</v>
      </c>
      <c r="Q116">
        <f t="shared" ref="Q116" si="12">F115*Q115</f>
        <v>2.1933491359423314E-3</v>
      </c>
      <c r="R116">
        <f t="shared" ref="R116" si="13">G115*R115</f>
        <v>8.9928363202629938E-3</v>
      </c>
      <c r="S116">
        <f t="shared" ref="S116" si="14">H115*S115</f>
        <v>5.133745354027721E-2</v>
      </c>
      <c r="T116">
        <f t="shared" ref="T116" si="15">I115*T115</f>
        <v>6.8204407378789619E-2</v>
      </c>
      <c r="U116">
        <f t="shared" ref="U116" si="16">J115*U115</f>
        <v>8.0856292095119339E-2</v>
      </c>
      <c r="V116">
        <f t="shared" ref="V116" si="17">K115*V115</f>
        <v>8.3658338389584669E-2</v>
      </c>
      <c r="W116">
        <f t="shared" ref="W116" si="18">L115*W115</f>
        <v>9.3373159533737232E-2</v>
      </c>
      <c r="X116">
        <f>SUM(M116:W116)</f>
        <v>0.89266785152856709</v>
      </c>
      <c r="Y116">
        <f>X116/COUNT(B114:L114)/Y114</f>
        <v>0.99751698786256071</v>
      </c>
    </row>
    <row r="117" spans="1:25">
      <c r="A117">
        <v>310</v>
      </c>
      <c r="B117">
        <v>0.72402530153115685</v>
      </c>
      <c r="C117">
        <v>0.77635976478219793</v>
      </c>
      <c r="D117">
        <v>0.7929913021555528</v>
      </c>
      <c r="E117">
        <v>0.79211566312378801</v>
      </c>
      <c r="F117">
        <v>1.06955147897832</v>
      </c>
      <c r="G117">
        <v>1.1978184680548007</v>
      </c>
      <c r="H117">
        <v>1.336675554772031</v>
      </c>
      <c r="I117">
        <v>1.3788607508376831</v>
      </c>
      <c r="J117">
        <v>1.3939950644365231</v>
      </c>
      <c r="K117">
        <v>1.4009692302585721</v>
      </c>
      <c r="L117">
        <v>1.4047017601043026</v>
      </c>
      <c r="M117">
        <v>0.69209649607419688</v>
      </c>
      <c r="N117">
        <v>0.74693307200929149</v>
      </c>
      <c r="O117">
        <v>0.74674056811740253</v>
      </c>
      <c r="P117">
        <v>0.85989140406119058</v>
      </c>
      <c r="Q117">
        <v>1.1263317610581522</v>
      </c>
      <c r="R117">
        <v>1.237491398800747</v>
      </c>
      <c r="S117">
        <v>1.353205527847049</v>
      </c>
      <c r="T117">
        <v>1.4288647917657959</v>
      </c>
      <c r="U117">
        <v>1.4253336468928215</v>
      </c>
      <c r="V117">
        <v>1.4622213186962119</v>
      </c>
      <c r="W117">
        <v>1.4535880570541719</v>
      </c>
      <c r="X117">
        <f>AVERAGE(B117:W117)</f>
        <v>1.127307380973271</v>
      </c>
      <c r="Y117">
        <f>(_xlfn.STDEV.P(B117:W117))^2</f>
        <v>8.4558808116445949E-2</v>
      </c>
    </row>
    <row r="118" spans="1:25">
      <c r="B118">
        <f>B117-$X117</f>
        <v>-0.40328207944211414</v>
      </c>
      <c r="C118">
        <f>C117-$X117</f>
        <v>-0.35094761619107306</v>
      </c>
      <c r="D118">
        <f>D117-$X117</f>
        <v>-0.33431607881771819</v>
      </c>
      <c r="E118">
        <f>E117-$X117</f>
        <v>-0.33519171784948298</v>
      </c>
      <c r="F118">
        <f>F117-$X117</f>
        <v>-5.7755901994950953E-2</v>
      </c>
      <c r="G118">
        <f>G117-$X117</f>
        <v>7.0511087081529755E-2</v>
      </c>
      <c r="H118">
        <f>H117-$X117</f>
        <v>0.20936817379876005</v>
      </c>
      <c r="I118">
        <f>I117-$X117</f>
        <v>0.25155336986441212</v>
      </c>
      <c r="J118">
        <f>J117-$X117</f>
        <v>0.26668768346325211</v>
      </c>
      <c r="K118">
        <f>K117-$X117</f>
        <v>0.27366184928530113</v>
      </c>
      <c r="L118">
        <f>L117-$X117</f>
        <v>0.2773943791310316</v>
      </c>
      <c r="M118">
        <f>M117-$X117</f>
        <v>-0.43521088489907411</v>
      </c>
      <c r="N118">
        <f>N117-$X117</f>
        <v>-0.3803743089639795</v>
      </c>
      <c r="O118">
        <f>O117-$X117</f>
        <v>-0.38056681285586846</v>
      </c>
      <c r="P118">
        <f>P117-$X117</f>
        <v>-0.26741597691208041</v>
      </c>
      <c r="Q118">
        <f>Q117-$X117</f>
        <v>-9.7561991511874169E-4</v>
      </c>
      <c r="R118">
        <f>R117-$X117</f>
        <v>0.110184017827476</v>
      </c>
      <c r="S118">
        <f>S117-$X117</f>
        <v>0.22589814687377796</v>
      </c>
      <c r="T118">
        <f>T117-$X117</f>
        <v>0.30155741079252496</v>
      </c>
      <c r="U118">
        <f>U117-$X117</f>
        <v>0.2980262659195505</v>
      </c>
      <c r="V118">
        <f>V117-$X117</f>
        <v>0.33491393772294087</v>
      </c>
      <c r="W118">
        <f>W117-$X117</f>
        <v>0.32628067608090094</v>
      </c>
    </row>
    <row r="119" spans="1:25">
      <c r="M119">
        <f>B118*M118</f>
        <v>0.1755127506579412</v>
      </c>
      <c r="N119">
        <f t="shared" ref="N119" si="19">C118*N118</f>
        <v>0.13349145699123532</v>
      </c>
      <c r="O119">
        <f t="shared" ref="O119" si="20">D118*O118</f>
        <v>0.12722960460213034</v>
      </c>
      <c r="P119">
        <f t="shared" ref="P119" si="21">E118*P118</f>
        <v>8.9635620681557907E-2</v>
      </c>
      <c r="Q119">
        <f t="shared" ref="Q119" si="22">F118*Q118</f>
        <v>5.6347808201920415E-5</v>
      </c>
      <c r="R119">
        <f t="shared" ref="R119" si="23">G118*R118</f>
        <v>7.7691948760259871E-3</v>
      </c>
      <c r="S119">
        <f t="shared" ref="S119" si="24">H118*S118</f>
        <v>4.7295882475486967E-2</v>
      </c>
      <c r="T119">
        <f t="shared" ref="T119" si="25">I118*T118</f>
        <v>7.585778289244649E-2</v>
      </c>
      <c r="U119">
        <f t="shared" ref="U119" si="26">J118*U118</f>
        <v>7.9479934469288083E-2</v>
      </c>
      <c r="V119">
        <f t="shared" ref="V119" si="27">K118*V118</f>
        <v>9.1653167548682177E-2</v>
      </c>
      <c r="W119">
        <f t="shared" ref="W119" si="28">L118*W118</f>
        <v>9.0508425563914752E-2</v>
      </c>
      <c r="X119">
        <f>SUM(M119:W119)</f>
        <v>0.91849016856691112</v>
      </c>
      <c r="Y119">
        <f>X119/COUNT(B117:L117)/Y117</f>
        <v>0.98746787109828849</v>
      </c>
    </row>
    <row r="120" spans="1:25">
      <c r="A120">
        <v>510</v>
      </c>
      <c r="B120">
        <v>0.71401148427588967</v>
      </c>
      <c r="C120">
        <v>0.74472778995341005</v>
      </c>
      <c r="D120">
        <v>0.76210121831342525</v>
      </c>
      <c r="E120">
        <v>0.78814585491904576</v>
      </c>
      <c r="F120">
        <v>1.068696681107697</v>
      </c>
      <c r="G120">
        <v>1.2258165610418552</v>
      </c>
      <c r="H120">
        <v>1.3485539697819444</v>
      </c>
      <c r="I120">
        <v>1.3753887309814412</v>
      </c>
      <c r="J120">
        <v>1.4067717272585427</v>
      </c>
      <c r="K120">
        <v>1.4094869715307672</v>
      </c>
      <c r="L120">
        <v>1.4393378572897388</v>
      </c>
      <c r="M120">
        <v>0.69209649607419688</v>
      </c>
      <c r="N120">
        <v>0.74693307200929149</v>
      </c>
      <c r="O120">
        <v>0.74674056811740253</v>
      </c>
      <c r="P120">
        <v>0.85989140406119058</v>
      </c>
      <c r="Q120">
        <v>1.1263317610581522</v>
      </c>
      <c r="R120">
        <v>1.237491398800747</v>
      </c>
      <c r="S120">
        <v>1.353205527847049</v>
      </c>
      <c r="T120">
        <v>1.4288647917657959</v>
      </c>
      <c r="U120">
        <v>1.4253336468928215</v>
      </c>
      <c r="V120">
        <v>1.4622213186962119</v>
      </c>
      <c r="W120">
        <v>1.4535880570541719</v>
      </c>
      <c r="X120">
        <f>AVERAGE(B120:W120)</f>
        <v>1.1279880404013995</v>
      </c>
      <c r="Y120">
        <f>(_xlfn.STDEV.P(B120:W120))^2</f>
        <v>8.8922218240384626E-2</v>
      </c>
    </row>
    <row r="121" spans="1:25">
      <c r="B121">
        <f>B120-$X120</f>
        <v>-0.41397655612550988</v>
      </c>
      <c r="C121">
        <f>C120-$X120</f>
        <v>-0.3832602504479895</v>
      </c>
      <c r="D121">
        <f>D120-$X120</f>
        <v>-0.36588682208797429</v>
      </c>
      <c r="E121">
        <f>E120-$X120</f>
        <v>-0.33984218548235379</v>
      </c>
      <c r="F121">
        <f>F120-$X120</f>
        <v>-5.929135929370255E-2</v>
      </c>
      <c r="G121">
        <f>G120-$X120</f>
        <v>9.7828520640455663E-2</v>
      </c>
      <c r="H121">
        <f>H120-$X120</f>
        <v>0.22056592938054487</v>
      </c>
      <c r="I121">
        <f>I120-$X120</f>
        <v>0.24740069058004166</v>
      </c>
      <c r="J121">
        <f>J120-$X120</f>
        <v>0.27878368685714316</v>
      </c>
      <c r="K121">
        <f>K120-$X120</f>
        <v>0.28149893112936764</v>
      </c>
      <c r="L121">
        <f>L120-$X120</f>
        <v>0.31134981688833929</v>
      </c>
      <c r="M121">
        <f>M120-$X120</f>
        <v>-0.43589154432720267</v>
      </c>
      <c r="N121">
        <f>N120-$X120</f>
        <v>-0.38105496839210806</v>
      </c>
      <c r="O121">
        <f>O120-$X120</f>
        <v>-0.38124747228399702</v>
      </c>
      <c r="P121">
        <f>P120-$X120</f>
        <v>-0.26809663634020897</v>
      </c>
      <c r="Q121">
        <f>Q120-$X120</f>
        <v>-1.6562793432473022E-3</v>
      </c>
      <c r="R121">
        <f>R120-$X120</f>
        <v>0.10950335839934744</v>
      </c>
      <c r="S121">
        <f>S120-$X120</f>
        <v>0.2252174874456494</v>
      </c>
      <c r="T121">
        <f>T120-$X120</f>
        <v>0.3008767513643964</v>
      </c>
      <c r="U121">
        <f>U120-$X120</f>
        <v>0.29734560649142194</v>
      </c>
      <c r="V121">
        <f>V120-$X120</f>
        <v>0.33423327829481231</v>
      </c>
      <c r="W121">
        <f>W120-$X120</f>
        <v>0.32560001665277238</v>
      </c>
    </row>
    <row r="122" spans="1:25">
      <c r="M122">
        <f>B121*M121</f>
        <v>0.18044888036480539</v>
      </c>
      <c r="N122">
        <f t="shared" ref="N122" si="29">C121*N121</f>
        <v>0.14604322262041006</v>
      </c>
      <c r="O122">
        <f t="shared" ref="O122" si="30">D121*O121</f>
        <v>0.13949342606306472</v>
      </c>
      <c r="P122">
        <f t="shared" ref="P122" si="31">E121*P121</f>
        <v>9.1110546814324442E-2</v>
      </c>
      <c r="Q122">
        <f t="shared" ref="Q122" si="32">F121*Q121</f>
        <v>9.8203053631213492E-5</v>
      </c>
      <c r="R122">
        <f t="shared" ref="R122" si="33">G121*R121</f>
        <v>1.0712551557369774E-2</v>
      </c>
      <c r="S122">
        <f t="shared" ref="S122" si="34">H121*S121</f>
        <v>4.9675304431200856E-2</v>
      </c>
      <c r="T122">
        <f t="shared" ref="T122" si="35">I121*T121</f>
        <v>7.4437116067031156E-2</v>
      </c>
      <c r="U122">
        <f t="shared" ref="U122" si="36">J121*U121</f>
        <v>8.2895104448451884E-2</v>
      </c>
      <c r="V122">
        <f t="shared" ref="V122" si="37">K121*V121</f>
        <v>9.4086310587854133E-2</v>
      </c>
      <c r="W122">
        <f t="shared" ref="W122" si="38">L121*W121</f>
        <v>0.10137550556368091</v>
      </c>
      <c r="X122">
        <f>SUM(M122:W122)</f>
        <v>0.97037617157182432</v>
      </c>
      <c r="Y122">
        <f>X122/COUNT(B120:L120)/Y120</f>
        <v>0.99205819808681606</v>
      </c>
    </row>
    <row r="124" spans="1:25" ht="16">
      <c r="A124" s="2">
        <v>13</v>
      </c>
      <c r="B124">
        <v>0.15059800241745658</v>
      </c>
      <c r="C124">
        <v>0.13586407721391167</v>
      </c>
      <c r="D124">
        <v>0.1375695924118496</v>
      </c>
      <c r="E124">
        <v>0.1640857821871817</v>
      </c>
      <c r="F124">
        <v>0.18384926236006111</v>
      </c>
      <c r="G124">
        <v>0.17339977566518949</v>
      </c>
      <c r="H124">
        <v>0.16055580969807867</v>
      </c>
      <c r="I124">
        <v>0.16511650206155912</v>
      </c>
      <c r="J124">
        <v>0.18546095998514531</v>
      </c>
      <c r="K124">
        <v>0.18680481173271812</v>
      </c>
      <c r="L124">
        <v>0.19378744175726648</v>
      </c>
      <c r="M124">
        <v>0.14724263896835527</v>
      </c>
      <c r="N124">
        <v>0.13361426962618519</v>
      </c>
      <c r="O124">
        <v>0.13748648820499779</v>
      </c>
      <c r="P124">
        <v>0.15405949798574528</v>
      </c>
      <c r="Q124">
        <v>0.16784020220920118</v>
      </c>
      <c r="R124">
        <v>0.16187883339591938</v>
      </c>
      <c r="S124">
        <v>0.16891702524028554</v>
      </c>
      <c r="T124">
        <v>0.17643655359386365</v>
      </c>
      <c r="U124">
        <v>0.19347351442789984</v>
      </c>
      <c r="V124">
        <v>0.19785817518421114</v>
      </c>
      <c r="W124">
        <v>0.20256982916146996</v>
      </c>
      <c r="X124">
        <f>AVERAGE(B124:W124)</f>
        <v>0.16720313843129783</v>
      </c>
      <c r="Y124">
        <f>(_xlfn.STDEV.P(B124:W124))^2</f>
        <v>4.3246119492237954E-4</v>
      </c>
    </row>
    <row r="125" spans="1:25" ht="16">
      <c r="A125" s="2"/>
      <c r="B125">
        <f>B124-$X124</f>
        <v>-1.6605136013841254E-2</v>
      </c>
      <c r="C125">
        <f>C124-$X124</f>
        <v>-3.1339061217386166E-2</v>
      </c>
      <c r="D125">
        <f>D124-$X124</f>
        <v>-2.9633546019448231E-2</v>
      </c>
      <c r="E125">
        <f>E124-$X124</f>
        <v>-3.1173562441161318E-3</v>
      </c>
      <c r="F125">
        <f>F124-$X124</f>
        <v>1.6646123928763273E-2</v>
      </c>
      <c r="G125">
        <f>G124-$X124</f>
        <v>6.1966372338916609E-3</v>
      </c>
      <c r="H125">
        <f>H124-$X124</f>
        <v>-6.64732873321916E-3</v>
      </c>
      <c r="I125">
        <f>I124-$X124</f>
        <v>-2.0866363697387147E-3</v>
      </c>
      <c r="J125">
        <f>J124-$X124</f>
        <v>1.8257821553847475E-2</v>
      </c>
      <c r="K125">
        <f>K124-$X124</f>
        <v>1.9601673301420292E-2</v>
      </c>
      <c r="L125">
        <f>L124-$X124</f>
        <v>2.6584303325968645E-2</v>
      </c>
      <c r="M125">
        <f>M124-$X124</f>
        <v>-1.9960499462942566E-2</v>
      </c>
      <c r="N125">
        <f>N124-$X124</f>
        <v>-3.3588868805112637E-2</v>
      </c>
      <c r="O125">
        <f>O124-$X124</f>
        <v>-2.9716650226300045E-2</v>
      </c>
      <c r="P125">
        <f>P124-$X124</f>
        <v>-1.3143640445552551E-2</v>
      </c>
      <c r="Q125">
        <f>Q124-$X124</f>
        <v>6.3706377790334612E-4</v>
      </c>
      <c r="R125">
        <f>R124-$X124</f>
        <v>-5.3243050353784516E-3</v>
      </c>
      <c r="S125">
        <f>S124-$X124</f>
        <v>1.713886808987708E-3</v>
      </c>
      <c r="T125">
        <f>T124-$X124</f>
        <v>9.2334151625658167E-3</v>
      </c>
      <c r="U125">
        <f>U124-$X124</f>
        <v>2.6270375996602008E-2</v>
      </c>
      <c r="V125">
        <f>V124-$X124</f>
        <v>3.0655036752913312E-2</v>
      </c>
      <c r="W125">
        <f>W124-$X124</f>
        <v>3.5366690730172123E-2</v>
      </c>
    </row>
    <row r="126" spans="1:25" ht="16">
      <c r="A126" s="2"/>
      <c r="M126">
        <f>B125*M125</f>
        <v>3.3144680848636661E-4</v>
      </c>
      <c r="N126">
        <f t="shared" ref="N126:W126" si="39">C125*N125</f>
        <v>1.0526436157061775E-3</v>
      </c>
      <c r="O126">
        <f t="shared" si="39"/>
        <v>8.8060972202490912E-4</v>
      </c>
      <c r="P126">
        <f t="shared" si="39"/>
        <v>4.097340961336058E-5</v>
      </c>
      <c r="Q126">
        <f t="shared" si="39"/>
        <v>1.0604642597505222E-5</v>
      </c>
      <c r="R126">
        <f t="shared" si="39"/>
        <v>-3.2992786826822967E-5</v>
      </c>
      <c r="S126">
        <f t="shared" si="39"/>
        <v>-1.139276903086929E-5</v>
      </c>
      <c r="T126">
        <f t="shared" si="39"/>
        <v>-1.9266779895106738E-5</v>
      </c>
      <c r="U126">
        <f t="shared" si="39"/>
        <v>4.7963983709843746E-4</v>
      </c>
      <c r="V126">
        <f t="shared" si="39"/>
        <v>6.0089001547363862E-4</v>
      </c>
      <c r="W126">
        <f t="shared" si="39"/>
        <v>9.4019883400661924E-4</v>
      </c>
      <c r="X126">
        <f>SUM(M126:W126)</f>
        <v>4.2733545492542159E-3</v>
      </c>
      <c r="Y126">
        <f>X126/COUNT(B124:L124)/Y124</f>
        <v>0.89831592236768532</v>
      </c>
    </row>
    <row r="127" spans="1:25" ht="16">
      <c r="A127" s="2">
        <v>15</v>
      </c>
      <c r="B127">
        <v>0.15059800241745658</v>
      </c>
      <c r="C127">
        <v>0.13586407721391167</v>
      </c>
      <c r="D127">
        <v>0.1375695924118496</v>
      </c>
      <c r="E127">
        <v>0.1640857821871817</v>
      </c>
      <c r="F127">
        <v>0.18384926236006111</v>
      </c>
      <c r="G127">
        <v>0.17339977566518949</v>
      </c>
      <c r="H127">
        <v>0.16055580969807867</v>
      </c>
      <c r="I127">
        <v>0.16511650206155912</v>
      </c>
      <c r="J127">
        <v>0.18546095998514531</v>
      </c>
      <c r="K127">
        <v>0.18680481173271812</v>
      </c>
      <c r="L127">
        <v>0.19378744175726648</v>
      </c>
      <c r="M127">
        <v>0.1484979544126242</v>
      </c>
      <c r="N127">
        <v>0.13233029954590633</v>
      </c>
      <c r="O127">
        <v>0.13179854990326173</v>
      </c>
      <c r="P127">
        <v>0.16096996958945767</v>
      </c>
      <c r="Q127">
        <v>0.1714750029019671</v>
      </c>
      <c r="R127">
        <v>0.17254211288810611</v>
      </c>
      <c r="S127">
        <v>0.16725117159616398</v>
      </c>
      <c r="T127">
        <v>0.17507476112907538</v>
      </c>
      <c r="U127">
        <v>0.19075809671694766</v>
      </c>
      <c r="V127">
        <v>0.20176163356841453</v>
      </c>
      <c r="W127">
        <v>0.21292949496392599</v>
      </c>
      <c r="X127">
        <f>AVERAGE(B127:W127)</f>
        <v>0.16829459385028492</v>
      </c>
      <c r="Y127">
        <f>(_xlfn.STDEV.P(B127:W127))^2</f>
        <v>4.8704252095260796E-4</v>
      </c>
    </row>
    <row r="128" spans="1:25">
      <c r="B128">
        <f>B127-$X127</f>
        <v>-1.769659143282834E-2</v>
      </c>
      <c r="C128">
        <f>C127-$X127</f>
        <v>-3.2430516636373252E-2</v>
      </c>
      <c r="D128">
        <f>D127-$X127</f>
        <v>-3.0725001438435318E-2</v>
      </c>
      <c r="E128">
        <f>E127-$X127</f>
        <v>-4.208811663103218E-3</v>
      </c>
      <c r="F128">
        <f>F127-$X127</f>
        <v>1.5554668509776187E-2</v>
      </c>
      <c r="G128">
        <f>G127-$X127</f>
        <v>5.1051818149045747E-3</v>
      </c>
      <c r="H128">
        <f>H127-$X127</f>
        <v>-7.7387841522062462E-3</v>
      </c>
      <c r="I128">
        <f>I127-$X127</f>
        <v>-3.1780917887258009E-3</v>
      </c>
      <c r="J128">
        <f>J127-$X127</f>
        <v>1.7166366134860389E-2</v>
      </c>
      <c r="K128">
        <f>K127-$X127</f>
        <v>1.8510217882433205E-2</v>
      </c>
      <c r="L128">
        <f>L127-$X127</f>
        <v>2.5492847906981558E-2</v>
      </c>
      <c r="M128">
        <f>M127-$X127</f>
        <v>-1.9796639437660718E-2</v>
      </c>
      <c r="N128">
        <f>N127-$X127</f>
        <v>-3.5964294304378586E-2</v>
      </c>
      <c r="O128">
        <f>O127-$X127</f>
        <v>-3.6496043947023188E-2</v>
      </c>
      <c r="P128">
        <f>P127-$X127</f>
        <v>-7.3246242608272505E-3</v>
      </c>
      <c r="Q128">
        <f>Q127-$X127</f>
        <v>3.1804090516821815E-3</v>
      </c>
      <c r="R128">
        <f>R127-$X127</f>
        <v>4.2475190378211958E-3</v>
      </c>
      <c r="S128">
        <f>S127-$X127</f>
        <v>-1.0434222541209348E-3</v>
      </c>
      <c r="T128">
        <f>T127-$X127</f>
        <v>6.7801672787904665E-3</v>
      </c>
      <c r="U128">
        <f>U127-$X127</f>
        <v>2.2463502866662738E-2</v>
      </c>
      <c r="V128">
        <f>V127-$X127</f>
        <v>3.3467039718129615E-2</v>
      </c>
      <c r="W128">
        <f>W127-$X127</f>
        <v>4.4634901113641073E-2</v>
      </c>
    </row>
    <row r="129" spans="1:25">
      <c r="M129">
        <f>B128*M128</f>
        <v>3.503330398712983E-4</v>
      </c>
      <c r="N129">
        <f t="shared" ref="N129:W129" si="40">C128*N128</f>
        <v>1.1663406447535735E-3</v>
      </c>
      <c r="O129">
        <f t="shared" si="40"/>
        <v>1.1213410027694861E-3</v>
      </c>
      <c r="P129">
        <f t="shared" si="40"/>
        <v>3.0827964016818522E-5</v>
      </c>
      <c r="Q129">
        <f t="shared" si="40"/>
        <v>4.9470208524407972E-5</v>
      </c>
      <c r="R129">
        <f t="shared" si="40"/>
        <v>2.1684356950345744E-5</v>
      </c>
      <c r="S129">
        <f t="shared" si="40"/>
        <v>8.0748196042504089E-6</v>
      </c>
      <c r="T129">
        <f t="shared" si="40"/>
        <v>-2.154799395491134E-5</v>
      </c>
      <c r="U129">
        <f t="shared" si="40"/>
        <v>3.8561671488061849E-4</v>
      </c>
      <c r="V129">
        <f t="shared" si="40"/>
        <v>6.1948219706262509E-4</v>
      </c>
      <c r="W129">
        <f t="shared" si="40"/>
        <v>1.1378707454332137E-3</v>
      </c>
      <c r="X129">
        <f>SUM(M129:W129)</f>
        <v>4.8694936999117257E-3</v>
      </c>
      <c r="Y129">
        <f>X129/COUNT(B127:L127)/Y127</f>
        <v>0.90891703784030786</v>
      </c>
    </row>
    <row r="130" spans="1:25" ht="16">
      <c r="A130" s="2">
        <v>110</v>
      </c>
      <c r="B130">
        <v>0.15059800241745658</v>
      </c>
      <c r="C130">
        <v>0.13586407721391167</v>
      </c>
      <c r="D130">
        <v>0.1375695924118496</v>
      </c>
      <c r="E130">
        <v>0.1640857821871817</v>
      </c>
      <c r="F130">
        <v>0.18384926236006111</v>
      </c>
      <c r="G130">
        <v>0.17339977566518949</v>
      </c>
      <c r="H130">
        <v>0.16055580969807867</v>
      </c>
      <c r="I130">
        <v>0.16511650206155912</v>
      </c>
      <c r="J130">
        <v>0.18546095998514531</v>
      </c>
      <c r="K130">
        <v>0.18680481173271812</v>
      </c>
      <c r="L130">
        <v>0.19378744175726648</v>
      </c>
      <c r="M130">
        <v>0.15152028252824074</v>
      </c>
      <c r="N130">
        <v>0.13525595859957726</v>
      </c>
      <c r="O130">
        <v>0.13661156095366622</v>
      </c>
      <c r="P130">
        <v>0.16651288853007323</v>
      </c>
      <c r="Q130">
        <v>0.18104079421325445</v>
      </c>
      <c r="R130">
        <v>0.1781978976355019</v>
      </c>
      <c r="S130">
        <v>0.17015721882018697</v>
      </c>
      <c r="T130">
        <v>0.17756239484015704</v>
      </c>
      <c r="U130">
        <v>0.19844494400560975</v>
      </c>
      <c r="V130">
        <v>0.20319306701269813</v>
      </c>
      <c r="W130">
        <v>0.21361567989424715</v>
      </c>
      <c r="X130">
        <f>AVERAGE(B130:W130)</f>
        <v>0.17041839566016503</v>
      </c>
      <c r="Y130">
        <f>(_xlfn.STDEV.P(B130:W130))^2</f>
        <v>4.8924461232646981E-4</v>
      </c>
    </row>
    <row r="131" spans="1:25">
      <c r="B131">
        <f>B130-$X130</f>
        <v>-1.9820393242708456E-2</v>
      </c>
      <c r="C131">
        <f>C130-$X130</f>
        <v>-3.4554318446253368E-2</v>
      </c>
      <c r="D131">
        <f>D130-$X130</f>
        <v>-3.2848803248315434E-2</v>
      </c>
      <c r="E131">
        <f>E130-$X130</f>
        <v>-6.3326134729833339E-3</v>
      </c>
      <c r="F131">
        <f>F130-$X130</f>
        <v>1.3430866699896071E-2</v>
      </c>
      <c r="G131">
        <f>G130-$X130</f>
        <v>2.9813800050244588E-3</v>
      </c>
      <c r="H131">
        <f>H130-$X130</f>
        <v>-9.8625859620863621E-3</v>
      </c>
      <c r="I131">
        <f>I130-$X130</f>
        <v>-5.3018935986059168E-3</v>
      </c>
      <c r="J131">
        <f>J130-$X130</f>
        <v>1.5042564324980273E-2</v>
      </c>
      <c r="K131">
        <f>K130-$X130</f>
        <v>1.6386416072553089E-2</v>
      </c>
      <c r="L131">
        <f>L130-$X130</f>
        <v>2.3369046097101442E-2</v>
      </c>
      <c r="M131">
        <f>M130-$X130</f>
        <v>-1.8898113131924299E-2</v>
      </c>
      <c r="N131">
        <f>N130-$X130</f>
        <v>-3.5162437060587776E-2</v>
      </c>
      <c r="O131">
        <f>O130-$X130</f>
        <v>-3.3806834706498812E-2</v>
      </c>
      <c r="P131">
        <f>P130-$X130</f>
        <v>-3.9055071300918009E-3</v>
      </c>
      <c r="Q131">
        <f>Q130-$X130</f>
        <v>1.0622398553089413E-2</v>
      </c>
      <c r="R131">
        <f>R130-$X130</f>
        <v>7.7795019753368611E-3</v>
      </c>
      <c r="S131">
        <f>S130-$X130</f>
        <v>-2.6117683997806118E-4</v>
      </c>
      <c r="T131">
        <f>T130-$X130</f>
        <v>7.1439991799920055E-3</v>
      </c>
      <c r="U131">
        <f>U130-$X130</f>
        <v>2.8026548345444713E-2</v>
      </c>
      <c r="V131">
        <f>V130-$X130</f>
        <v>3.2774671352533091E-2</v>
      </c>
      <c r="W131">
        <f>W130-$X130</f>
        <v>4.3197284234082117E-2</v>
      </c>
    </row>
    <row r="132" spans="1:25">
      <c r="M132">
        <f>B131*M131</f>
        <v>3.745680338199323E-4</v>
      </c>
      <c r="N132">
        <f t="shared" ref="N132:W132" si="41">C131*N131</f>
        <v>1.2150140475378913E-3</v>
      </c>
      <c r="O132">
        <f t="shared" si="41"/>
        <v>1.1105140617221011E-3</v>
      </c>
      <c r="P132">
        <f t="shared" si="41"/>
        <v>2.4732067070851812E-5</v>
      </c>
      <c r="Q132">
        <f t="shared" si="41"/>
        <v>1.4266801899971281E-4</v>
      </c>
      <c r="R132">
        <f t="shared" si="41"/>
        <v>2.3193651638317599E-5</v>
      </c>
      <c r="S132">
        <f t="shared" si="41"/>
        <v>2.5758790355897023E-6</v>
      </c>
      <c r="T132">
        <f t="shared" si="41"/>
        <v>-3.7876723520845532E-5</v>
      </c>
      <c r="U132">
        <f t="shared" si="41"/>
        <v>4.2159115629352155E-4</v>
      </c>
      <c r="V132">
        <f t="shared" si="41"/>
        <v>5.3705940142379351E-4</v>
      </c>
      <c r="W132">
        <f t="shared" si="41"/>
        <v>1.0094793265358584E-3</v>
      </c>
      <c r="X132">
        <f>SUM(M132:W132)</f>
        <v>4.8235189205567243E-3</v>
      </c>
      <c r="Y132">
        <f>X132/COUNT(B130:L130)/Y130</f>
        <v>0.89628318637058779</v>
      </c>
    </row>
    <row r="133" spans="1:25">
      <c r="A133">
        <v>35</v>
      </c>
      <c r="B133">
        <v>0.14724263896835527</v>
      </c>
      <c r="C133">
        <v>0.13361426962618519</v>
      </c>
      <c r="D133">
        <v>0.13748648820499779</v>
      </c>
      <c r="E133">
        <v>0.15405949798574528</v>
      </c>
      <c r="F133">
        <v>0.16784020220920118</v>
      </c>
      <c r="G133">
        <v>0.16187883339591938</v>
      </c>
      <c r="H133">
        <v>0.16891702524028554</v>
      </c>
      <c r="I133">
        <v>0.17643655359386365</v>
      </c>
      <c r="J133">
        <v>0.19347351442789984</v>
      </c>
      <c r="K133">
        <v>0.19785817518421114</v>
      </c>
      <c r="L133">
        <v>0.20256982916146996</v>
      </c>
      <c r="M133">
        <v>0.1484979544126242</v>
      </c>
      <c r="N133">
        <v>0.13233029954590633</v>
      </c>
      <c r="O133">
        <v>0.13179854990326173</v>
      </c>
      <c r="P133">
        <v>0.16096996958945767</v>
      </c>
      <c r="Q133">
        <v>0.1714750029019671</v>
      </c>
      <c r="R133">
        <v>0.17254211288810611</v>
      </c>
      <c r="S133">
        <v>0.16725117159616398</v>
      </c>
      <c r="T133">
        <v>0.17507476112907538</v>
      </c>
      <c r="U133">
        <v>0.19075809671694766</v>
      </c>
      <c r="V133">
        <v>0.20176163356841453</v>
      </c>
      <c r="W133">
        <v>0.21292949496392599</v>
      </c>
      <c r="X133">
        <f>AVERAGE(B133:W133)</f>
        <v>0.16848936705518114</v>
      </c>
      <c r="Y133">
        <f>(_xlfn.STDEV.P(B133:W133))^2</f>
        <v>5.6139843649855893E-4</v>
      </c>
    </row>
    <row r="134" spans="1:25">
      <c r="B134">
        <f>B133-$X133</f>
        <v>-2.1246728086825872E-2</v>
      </c>
      <c r="C134">
        <f>C133-$X133</f>
        <v>-3.4875097428995944E-2</v>
      </c>
      <c r="D134">
        <f>D133-$X133</f>
        <v>-3.1002878850183352E-2</v>
      </c>
      <c r="E134">
        <f>E133-$X133</f>
        <v>-1.4429869069435858E-2</v>
      </c>
      <c r="F134">
        <f>F133-$X133</f>
        <v>-6.4916484597996038E-4</v>
      </c>
      <c r="G134">
        <f>G133-$X133</f>
        <v>-6.6105336592617581E-3</v>
      </c>
      <c r="H134">
        <f>H133-$X133</f>
        <v>4.2765818510440146E-4</v>
      </c>
      <c r="I134">
        <f>I133-$X133</f>
        <v>7.9471865386825102E-3</v>
      </c>
      <c r="J134">
        <f>J133-$X133</f>
        <v>2.4984147372718701E-2</v>
      </c>
      <c r="K134">
        <f>K133-$X133</f>
        <v>2.9368808129030005E-2</v>
      </c>
      <c r="L134">
        <f>L133-$X133</f>
        <v>3.4080462106288817E-2</v>
      </c>
      <c r="M134">
        <f>M133-$X133</f>
        <v>-1.9991412642556938E-2</v>
      </c>
      <c r="N134">
        <f>N133-$X133</f>
        <v>-3.6159067509274806E-2</v>
      </c>
      <c r="O134">
        <f>O133-$X133</f>
        <v>-3.6690817151919408E-2</v>
      </c>
      <c r="P134">
        <f>P133-$X133</f>
        <v>-7.5193974657234708E-3</v>
      </c>
      <c r="Q134">
        <f>Q133-$X133</f>
        <v>2.9856358467859612E-3</v>
      </c>
      <c r="R134">
        <f>R133-$X133</f>
        <v>4.0527458329249755E-3</v>
      </c>
      <c r="S134">
        <f>S133-$X133</f>
        <v>-1.2381954590171551E-3</v>
      </c>
      <c r="T134">
        <f>T133-$X133</f>
        <v>6.5853940738942462E-3</v>
      </c>
      <c r="U134">
        <f>U133-$X133</f>
        <v>2.2268729661766518E-2</v>
      </c>
      <c r="V134">
        <f>V133-$X133</f>
        <v>3.3272266513233395E-2</v>
      </c>
      <c r="W134">
        <f>W133-$X133</f>
        <v>4.4440127908744853E-2</v>
      </c>
    </row>
    <row r="135" spans="1:25">
      <c r="M135">
        <f>B134*M134</f>
        <v>4.2475210848794034E-4</v>
      </c>
      <c r="N135">
        <f t="shared" ref="N135" si="42">C134*N134</f>
        <v>1.2610510023276006E-3</v>
      </c>
      <c r="O135">
        <f t="shared" ref="O135" si="43">D134*O134</f>
        <v>1.1375209590751868E-3</v>
      </c>
      <c r="P135">
        <f t="shared" ref="P135" si="44">E134*P134</f>
        <v>1.0850392091143748E-4</v>
      </c>
      <c r="Q135">
        <f t="shared" ref="Q135" si="45">F134*Q134</f>
        <v>-1.9381698346310569E-6</v>
      </c>
      <c r="R135">
        <f t="shared" ref="R135" si="46">G134*R134</f>
        <v>-2.6790812740983379E-5</v>
      </c>
      <c r="S135">
        <f t="shared" ref="S135" si="47">H134*S134</f>
        <v>-5.2952442280778784E-7</v>
      </c>
      <c r="T135">
        <f t="shared" ref="T135" si="48">I134*T134</f>
        <v>5.2335355135971933E-5</v>
      </c>
      <c r="U135">
        <f t="shared" ref="U135" si="49">J134*U134</f>
        <v>5.5636522367280691E-4</v>
      </c>
      <c r="V135">
        <f t="shared" ref="V135" si="50">K134*V134</f>
        <v>9.7716681124510171E-4</v>
      </c>
      <c r="W135">
        <f t="shared" ref="W135" si="51">L134*W134</f>
        <v>1.514540095192607E-3</v>
      </c>
      <c r="X135">
        <f>SUM(M135:W135)</f>
        <v>6.0029769690502308E-3</v>
      </c>
      <c r="Y135">
        <f>X135/COUNT(B133:L133)/Y133</f>
        <v>0.97208175784787254</v>
      </c>
    </row>
    <row r="136" spans="1:25">
      <c r="A136">
        <v>310</v>
      </c>
      <c r="B136">
        <v>0.14724263896835527</v>
      </c>
      <c r="C136">
        <v>0.13361426962618519</v>
      </c>
      <c r="D136">
        <v>0.13748648820499779</v>
      </c>
      <c r="E136">
        <v>0.15405949798574528</v>
      </c>
      <c r="F136">
        <v>0.16784020220920118</v>
      </c>
      <c r="G136">
        <v>0.16187883339591938</v>
      </c>
      <c r="H136">
        <v>0.16891702524028554</v>
      </c>
      <c r="I136">
        <v>0.17643655359386365</v>
      </c>
      <c r="J136">
        <v>0.19347351442789984</v>
      </c>
      <c r="K136">
        <v>0.19785817518421114</v>
      </c>
      <c r="L136">
        <v>0.20256982916146996</v>
      </c>
      <c r="M136">
        <v>0.15152028252824074</v>
      </c>
      <c r="N136">
        <v>0.13525595859957726</v>
      </c>
      <c r="O136">
        <v>0.13661156095366622</v>
      </c>
      <c r="P136">
        <v>0.16651288853007323</v>
      </c>
      <c r="Q136">
        <v>0.18104079421325445</v>
      </c>
      <c r="R136">
        <v>0.1781978976355019</v>
      </c>
      <c r="S136">
        <v>0.17015721882018697</v>
      </c>
      <c r="T136">
        <v>0.17756239484015704</v>
      </c>
      <c r="U136">
        <v>0.19844494400560975</v>
      </c>
      <c r="V136">
        <v>0.20319306701269813</v>
      </c>
      <c r="W136">
        <v>0.21361567989424715</v>
      </c>
      <c r="X136">
        <f>AVERAGE(B136:W136)</f>
        <v>0.17061316886506125</v>
      </c>
      <c r="Y136">
        <f>(_xlfn.STDEV.P(B136:W136))^2</f>
        <v>5.6277320850227092E-4</v>
      </c>
    </row>
    <row r="137" spans="1:25">
      <c r="B137">
        <f>B136-$X136</f>
        <v>-2.3370529896705988E-2</v>
      </c>
      <c r="C137">
        <f>C136-$X136</f>
        <v>-3.699889923887606E-2</v>
      </c>
      <c r="D137">
        <f>D136-$X136</f>
        <v>-3.3126680660063468E-2</v>
      </c>
      <c r="E137">
        <f>E136-$X136</f>
        <v>-1.6553670879315974E-2</v>
      </c>
      <c r="F137">
        <f>F136-$X136</f>
        <v>-2.7729666558600763E-3</v>
      </c>
      <c r="G137">
        <f>G136-$X136</f>
        <v>-8.734335469141874E-3</v>
      </c>
      <c r="H137">
        <f>H136-$X136</f>
        <v>-1.6961436247757145E-3</v>
      </c>
      <c r="I137">
        <f>I136-$X136</f>
        <v>5.8233847288023943E-3</v>
      </c>
      <c r="J137">
        <f>J136-$X136</f>
        <v>2.2860345562838585E-2</v>
      </c>
      <c r="K137">
        <f>K136-$X136</f>
        <v>2.7245006319149889E-2</v>
      </c>
      <c r="L137">
        <f>L136-$X136</f>
        <v>3.1956660296408701E-2</v>
      </c>
      <c r="M137">
        <f>M136-$X136</f>
        <v>-1.9092886336820519E-2</v>
      </c>
      <c r="N137">
        <f>N136-$X136</f>
        <v>-3.5357210265483996E-2</v>
      </c>
      <c r="O137">
        <f>O136-$X136</f>
        <v>-3.4001607911395032E-2</v>
      </c>
      <c r="P137">
        <f>P136-$X136</f>
        <v>-4.1002803349880212E-3</v>
      </c>
      <c r="Q137">
        <f>Q136-$X136</f>
        <v>1.0427625348193192E-2</v>
      </c>
      <c r="R137">
        <f>R136-$X136</f>
        <v>7.5847287704406408E-3</v>
      </c>
      <c r="S137">
        <f>S136-$X136</f>
        <v>-4.5595004487428148E-4</v>
      </c>
      <c r="T137">
        <f>T136-$X136</f>
        <v>6.9492259750957852E-3</v>
      </c>
      <c r="U137">
        <f>U136-$X136</f>
        <v>2.7831775140548493E-2</v>
      </c>
      <c r="V137">
        <f>V136-$X136</f>
        <v>3.2579898147636871E-2</v>
      </c>
      <c r="W137">
        <f>W136-$X136</f>
        <v>4.3002511029185897E-2</v>
      </c>
    </row>
    <row r="138" spans="1:25">
      <c r="M138">
        <f>B137*M137</f>
        <v>4.4621087094907322E-4</v>
      </c>
      <c r="N138">
        <f t="shared" ref="N138" si="52">C137*N137</f>
        <v>1.3081778599803966E-3</v>
      </c>
      <c r="O138">
        <f t="shared" ref="O138" si="53">D137*O137</f>
        <v>1.1263604072094709E-3</v>
      </c>
      <c r="P138">
        <f t="shared" ref="P138" si="54">E137*P137</f>
        <v>6.7874691178323147E-5</v>
      </c>
      <c r="Q138">
        <f t="shared" ref="Q138" si="55">F137*Q137</f>
        <v>-2.8915457390341039E-5</v>
      </c>
      <c r="R138">
        <f t="shared" ref="R138" si="56">G137*R137</f>
        <v>-6.624756552348052E-5</v>
      </c>
      <c r="S138">
        <f t="shared" ref="S138" si="57">H137*S137</f>
        <v>7.7335676182971349E-7</v>
      </c>
      <c r="T138">
        <f t="shared" ref="T138" si="58">I137*T137</f>
        <v>4.0468016420369722E-5</v>
      </c>
      <c r="U138">
        <f t="shared" ref="U138" si="59">J137*U137</f>
        <v>6.3624399734015901E-4</v>
      </c>
      <c r="V138">
        <f t="shared" ref="V138" si="60">K137*V137</f>
        <v>8.8763953090962634E-4</v>
      </c>
      <c r="W138">
        <f t="shared" ref="W138" si="61">L137*W137</f>
        <v>1.3742166368522623E-3</v>
      </c>
      <c r="X138">
        <f>SUM(M138:W138)</f>
        <v>5.7928023446876887E-3</v>
      </c>
      <c r="Y138">
        <f>X138/COUNT(B136:L136)/Y136</f>
        <v>0.93575597952346901</v>
      </c>
    </row>
    <row r="139" spans="1:25">
      <c r="A139">
        <v>510</v>
      </c>
      <c r="B139">
        <v>0.1484979544126242</v>
      </c>
      <c r="C139">
        <v>0.13233029954590633</v>
      </c>
      <c r="D139">
        <v>0.13179854990326173</v>
      </c>
      <c r="E139">
        <v>0.16096996958945767</v>
      </c>
      <c r="F139">
        <v>0.1714750029019671</v>
      </c>
      <c r="G139">
        <v>0.17254211288810611</v>
      </c>
      <c r="H139">
        <v>0.16725117159616398</v>
      </c>
      <c r="I139">
        <v>0.17507476112907538</v>
      </c>
      <c r="J139">
        <v>0.19075809671694766</v>
      </c>
      <c r="K139">
        <v>0.20176163356841453</v>
      </c>
      <c r="L139">
        <v>0.21292949496392599</v>
      </c>
      <c r="M139">
        <v>0.15152028252824074</v>
      </c>
      <c r="N139">
        <v>0.13525595859957726</v>
      </c>
      <c r="O139">
        <v>0.13661156095366622</v>
      </c>
      <c r="P139">
        <v>0.16651288853007323</v>
      </c>
      <c r="Q139">
        <v>0.18104079421325445</v>
      </c>
      <c r="R139">
        <v>0.1781978976355019</v>
      </c>
      <c r="S139">
        <v>0.17015721882018697</v>
      </c>
      <c r="T139">
        <v>0.17756239484015704</v>
      </c>
      <c r="U139">
        <v>0.19844494400560975</v>
      </c>
      <c r="V139">
        <v>0.20319306701269813</v>
      </c>
      <c r="W139">
        <v>0.21361567989424715</v>
      </c>
      <c r="X139">
        <f>AVERAGE(B139:W139)</f>
        <v>0.17170462428404834</v>
      </c>
      <c r="Y139">
        <f>(_xlfn.STDEV.P(B139:W139))^2</f>
        <v>6.0991074214081665E-4</v>
      </c>
    </row>
    <row r="140" spans="1:25">
      <c r="B140">
        <f>B139-$X139</f>
        <v>-2.320666987142414E-2</v>
      </c>
      <c r="C140">
        <f>C139-$X139</f>
        <v>-3.9374324738142008E-2</v>
      </c>
      <c r="D140">
        <f>D139-$X139</f>
        <v>-3.990607438078661E-2</v>
      </c>
      <c r="E140">
        <f>E139-$X139</f>
        <v>-1.0734654694590673E-2</v>
      </c>
      <c r="F140">
        <f>F139-$X139</f>
        <v>-2.2962138208124094E-4</v>
      </c>
      <c r="G140">
        <f>G139-$X139</f>
        <v>8.3748860405777337E-4</v>
      </c>
      <c r="H140">
        <f>H139-$X139</f>
        <v>-4.4534526878843572E-3</v>
      </c>
      <c r="I140">
        <f>I139-$X139</f>
        <v>3.3701368450270441E-3</v>
      </c>
      <c r="J140">
        <f>J139-$X139</f>
        <v>1.9053472432899315E-2</v>
      </c>
      <c r="K140">
        <f>K139-$X139</f>
        <v>3.0057009284366193E-2</v>
      </c>
      <c r="L140">
        <f>L139-$X139</f>
        <v>4.1224870679877651E-2</v>
      </c>
      <c r="M140">
        <f>M139-$X139</f>
        <v>-2.0184341755807605E-2</v>
      </c>
      <c r="N140">
        <f>N139-$X139</f>
        <v>-3.6448665684471082E-2</v>
      </c>
      <c r="O140">
        <f>O139-$X139</f>
        <v>-3.5093063330382118E-2</v>
      </c>
      <c r="P140">
        <f>P139-$X139</f>
        <v>-5.1917357539751074E-3</v>
      </c>
      <c r="Q140">
        <f>Q139-$X139</f>
        <v>9.3361699292061062E-3</v>
      </c>
      <c r="R140">
        <f>R139-$X139</f>
        <v>6.4932733514535546E-3</v>
      </c>
      <c r="S140">
        <f>S139-$X139</f>
        <v>-1.5474054638613677E-3</v>
      </c>
      <c r="T140">
        <f>T139-$X139</f>
        <v>5.857770556108699E-3</v>
      </c>
      <c r="U140">
        <f>U139-$X139</f>
        <v>2.6740319721561406E-2</v>
      </c>
      <c r="V140">
        <f>V139-$X139</f>
        <v>3.1488442728649785E-2</v>
      </c>
      <c r="W140">
        <f>W139-$X139</f>
        <v>4.1911055610198811E-2</v>
      </c>
    </row>
    <row r="141" spans="1:25">
      <c r="M141">
        <f>B140*M140</f>
        <v>4.6841135569902857E-4</v>
      </c>
      <c r="N141">
        <f t="shared" ref="N141" si="62">C140*N140</f>
        <v>1.4351415989323373E-3</v>
      </c>
      <c r="O141">
        <f t="shared" ref="O141" si="63">D140*O140</f>
        <v>1.4004263955118838E-3</v>
      </c>
      <c r="P141">
        <f t="shared" ref="P141" si="64">E140*P140</f>
        <v>5.5731490584483131E-5</v>
      </c>
      <c r="Q141">
        <f t="shared" ref="Q141" si="65">F140*Q140</f>
        <v>-2.1437842424896273E-6</v>
      </c>
      <c r="R141">
        <f t="shared" ref="R141" si="66">G140*R140</f>
        <v>5.4380424348743767E-6</v>
      </c>
      <c r="S141">
        <f t="shared" ref="S141" si="67">H140*S140</f>
        <v>6.8912970222803484E-6</v>
      </c>
      <c r="T141">
        <f t="shared" ref="T141" si="68">I140*T140</f>
        <v>1.9741488380856484E-5</v>
      </c>
      <c r="U141">
        <f t="shared" ref="U141" si="69">J140*U140</f>
        <v>5.0949594466168416E-4</v>
      </c>
      <c r="V141">
        <f t="shared" ref="V141" si="70">K140*V140</f>
        <v>9.464484154452597E-4</v>
      </c>
      <c r="W141">
        <f t="shared" ref="W141" si="71">L140*W140</f>
        <v>1.7277778475876067E-3</v>
      </c>
      <c r="X141">
        <f>SUM(M141:W141)</f>
        <v>6.5733600920178043E-3</v>
      </c>
      <c r="Y141">
        <f>X141/COUNT(B139:L139)/Y139</f>
        <v>0.97977974299306159</v>
      </c>
    </row>
  </sheetData>
  <sortState ref="A60:L67">
    <sortCondition descending="1" ref="L60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workbookViewId="0">
      <selection activeCell="N35" sqref="N35:Y35"/>
    </sheetView>
  </sheetViews>
  <sheetFormatPr baseColWidth="10" defaultColWidth="11.1640625" defaultRowHeight="15" x14ac:dyDescent="0"/>
  <sheetData>
    <row r="1" spans="1:25" s="19" customFormat="1">
      <c r="A1" s="18" t="s">
        <v>1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N1" s="19" t="s">
        <v>3</v>
      </c>
      <c r="O1" s="19">
        <v>2000</v>
      </c>
      <c r="P1" s="19">
        <v>2001</v>
      </c>
      <c r="Q1" s="19">
        <v>2002</v>
      </c>
      <c r="R1" s="19">
        <v>2003</v>
      </c>
      <c r="S1" s="19">
        <v>2004</v>
      </c>
      <c r="T1" s="19">
        <v>2005</v>
      </c>
      <c r="U1" s="19">
        <v>2006</v>
      </c>
      <c r="V1" s="19">
        <v>2007</v>
      </c>
      <c r="W1" s="19">
        <v>2008</v>
      </c>
      <c r="X1" s="19">
        <v>2009</v>
      </c>
      <c r="Y1" s="19">
        <v>2010</v>
      </c>
    </row>
    <row r="2" spans="1:25">
      <c r="A2" s="4" t="s">
        <v>109</v>
      </c>
      <c r="B2">
        <v>7545</v>
      </c>
      <c r="C2">
        <v>1999</v>
      </c>
      <c r="D2">
        <v>1701</v>
      </c>
      <c r="E2">
        <v>1513</v>
      </c>
      <c r="F2">
        <v>905</v>
      </c>
      <c r="G2">
        <v>733</v>
      </c>
      <c r="H2">
        <v>447</v>
      </c>
      <c r="I2">
        <v>326</v>
      </c>
      <c r="J2">
        <v>256</v>
      </c>
      <c r="K2">
        <v>154</v>
      </c>
      <c r="L2">
        <v>120</v>
      </c>
      <c r="N2" s="4" t="s">
        <v>109</v>
      </c>
      <c r="O2">
        <f>(B20+B38)/B2</f>
        <v>0.97110669317428766</v>
      </c>
      <c r="P2">
        <f t="shared" ref="P2:Y16" si="0">(C20+C38)/C2</f>
        <v>0.96298149074537265</v>
      </c>
      <c r="Q2">
        <f t="shared" si="0"/>
        <v>0.96237507348618456</v>
      </c>
      <c r="R2">
        <f t="shared" si="0"/>
        <v>0.99471249173826837</v>
      </c>
      <c r="S2">
        <f t="shared" si="0"/>
        <v>1.0762430939226519</v>
      </c>
      <c r="T2">
        <f t="shared" si="0"/>
        <v>1.2073669849931787</v>
      </c>
      <c r="U2">
        <f t="shared" si="0"/>
        <v>1.0648769574944073</v>
      </c>
      <c r="V2">
        <f t="shared" si="0"/>
        <v>1.0490797546012269</v>
      </c>
      <c r="W2">
        <f t="shared" si="0"/>
        <v>1.0859375</v>
      </c>
      <c r="X2">
        <f t="shared" si="0"/>
        <v>1.0974025974025974</v>
      </c>
      <c r="Y2">
        <f t="shared" si="0"/>
        <v>1.0083333333333333</v>
      </c>
    </row>
    <row r="3" spans="1:25">
      <c r="A3" s="4" t="s">
        <v>111</v>
      </c>
      <c r="B3">
        <v>1302</v>
      </c>
      <c r="C3">
        <v>1389</v>
      </c>
      <c r="D3">
        <v>1314</v>
      </c>
      <c r="E3">
        <v>1039</v>
      </c>
      <c r="F3">
        <v>669</v>
      </c>
      <c r="G3">
        <v>528</v>
      </c>
      <c r="H3">
        <v>286</v>
      </c>
      <c r="I3">
        <v>218</v>
      </c>
      <c r="J3">
        <v>170</v>
      </c>
      <c r="K3">
        <v>100</v>
      </c>
      <c r="L3">
        <v>81</v>
      </c>
      <c r="N3" s="4" t="s">
        <v>111</v>
      </c>
      <c r="O3">
        <f t="shared" ref="O3:O16" si="1">(B21+B39)/B3</f>
        <v>1.0414746543778801</v>
      </c>
      <c r="P3">
        <f t="shared" si="0"/>
        <v>0.95752339812814979</v>
      </c>
      <c r="Q3">
        <f t="shared" si="0"/>
        <v>0.89878234398782342</v>
      </c>
      <c r="R3">
        <f t="shared" si="0"/>
        <v>0.98267564966313758</v>
      </c>
      <c r="S3">
        <f t="shared" si="0"/>
        <v>1.0672645739910314</v>
      </c>
      <c r="T3">
        <f t="shared" si="0"/>
        <v>1.1723484848484849</v>
      </c>
      <c r="U3">
        <f t="shared" si="0"/>
        <v>1.06993006993007</v>
      </c>
      <c r="V3">
        <f t="shared" si="0"/>
        <v>1.0550458715596329</v>
      </c>
      <c r="W3">
        <f t="shared" si="0"/>
        <v>1.1058823529411765</v>
      </c>
      <c r="X3">
        <f t="shared" si="0"/>
        <v>1.05</v>
      </c>
      <c r="Y3">
        <f t="shared" si="0"/>
        <v>1.0740740740740742</v>
      </c>
    </row>
    <row r="4" spans="1:25">
      <c r="A4" s="4" t="s">
        <v>110</v>
      </c>
      <c r="B4">
        <v>1086</v>
      </c>
      <c r="C4">
        <v>1105</v>
      </c>
      <c r="D4">
        <v>1005</v>
      </c>
      <c r="E4">
        <v>832</v>
      </c>
      <c r="F4">
        <v>578</v>
      </c>
      <c r="G4">
        <v>403</v>
      </c>
      <c r="H4">
        <v>269</v>
      </c>
      <c r="I4">
        <v>247</v>
      </c>
      <c r="J4">
        <v>163</v>
      </c>
      <c r="K4">
        <v>132</v>
      </c>
      <c r="L4">
        <v>101</v>
      </c>
      <c r="N4" s="4" t="s">
        <v>110</v>
      </c>
      <c r="O4">
        <f t="shared" si="1"/>
        <v>1.0506445672191529</v>
      </c>
      <c r="P4">
        <f t="shared" si="0"/>
        <v>1.0226244343891402</v>
      </c>
      <c r="Q4">
        <f t="shared" si="0"/>
        <v>0.94527363184079605</v>
      </c>
      <c r="R4">
        <f t="shared" si="0"/>
        <v>1.0649038461538463</v>
      </c>
      <c r="S4">
        <f t="shared" si="0"/>
        <v>1.1072664359861593</v>
      </c>
      <c r="T4">
        <f t="shared" si="0"/>
        <v>1.2431761786600497</v>
      </c>
      <c r="U4">
        <f t="shared" si="0"/>
        <v>1.1598513011152416</v>
      </c>
      <c r="V4">
        <f t="shared" si="0"/>
        <v>1.1457489878542511</v>
      </c>
      <c r="W4">
        <f t="shared" si="0"/>
        <v>1.1288343558282208</v>
      </c>
      <c r="X4">
        <f t="shared" si="0"/>
        <v>1.2727272727272727</v>
      </c>
      <c r="Y4">
        <f t="shared" si="0"/>
        <v>1.2871287128712872</v>
      </c>
    </row>
    <row r="5" spans="1:25">
      <c r="A5" s="4" t="s">
        <v>108</v>
      </c>
      <c r="B5">
        <v>1503</v>
      </c>
      <c r="C5">
        <v>1964</v>
      </c>
      <c r="D5">
        <v>2010</v>
      </c>
      <c r="E5">
        <v>1749</v>
      </c>
      <c r="F5">
        <v>1486</v>
      </c>
      <c r="G5">
        <v>1543</v>
      </c>
      <c r="H5">
        <v>1165</v>
      </c>
      <c r="I5">
        <v>1060</v>
      </c>
      <c r="J5">
        <v>828</v>
      </c>
      <c r="K5">
        <v>872</v>
      </c>
      <c r="L5">
        <v>911</v>
      </c>
      <c r="N5" s="4" t="s">
        <v>108</v>
      </c>
      <c r="O5">
        <f t="shared" si="1"/>
        <v>1.1510312707917498</v>
      </c>
      <c r="P5">
        <f t="shared" si="0"/>
        <v>1.2189409368635438</v>
      </c>
      <c r="Q5">
        <f t="shared" si="0"/>
        <v>1.2189054726368158</v>
      </c>
      <c r="R5">
        <f t="shared" si="0"/>
        <v>1.2938822184105203</v>
      </c>
      <c r="S5">
        <f t="shared" si="0"/>
        <v>1.4118438761776582</v>
      </c>
      <c r="T5">
        <f t="shared" si="0"/>
        <v>1.492546986390149</v>
      </c>
      <c r="U5">
        <f t="shared" si="0"/>
        <v>1.5064377682403434</v>
      </c>
      <c r="V5">
        <f t="shared" si="0"/>
        <v>1.6707547169811321</v>
      </c>
      <c r="W5">
        <f t="shared" si="0"/>
        <v>1.6485507246376812</v>
      </c>
      <c r="X5">
        <f t="shared" si="0"/>
        <v>1.7190366972477065</v>
      </c>
      <c r="Y5">
        <f t="shared" si="0"/>
        <v>1.7497255762897914</v>
      </c>
    </row>
    <row r="6" spans="1:25">
      <c r="A6" s="4" t="s">
        <v>103</v>
      </c>
      <c r="B6">
        <v>25559</v>
      </c>
      <c r="C6">
        <v>32326</v>
      </c>
      <c r="D6">
        <v>32626</v>
      </c>
      <c r="E6">
        <v>27097</v>
      </c>
      <c r="F6">
        <v>23760</v>
      </c>
      <c r="G6">
        <v>21109</v>
      </c>
      <c r="H6">
        <v>18196</v>
      </c>
      <c r="I6">
        <v>16381</v>
      </c>
      <c r="J6">
        <v>12660</v>
      </c>
      <c r="K6">
        <v>12003</v>
      </c>
      <c r="L6">
        <v>10335</v>
      </c>
      <c r="N6" s="4" t="s">
        <v>103</v>
      </c>
      <c r="O6">
        <f t="shared" si="1"/>
        <v>1.0332172620212059</v>
      </c>
      <c r="P6">
        <f t="shared" si="0"/>
        <v>1.0734393367567903</v>
      </c>
      <c r="Q6">
        <f t="shared" si="0"/>
        <v>1.0861582786734507</v>
      </c>
      <c r="R6">
        <f t="shared" si="0"/>
        <v>1.1606081854079788</v>
      </c>
      <c r="S6">
        <f t="shared" si="0"/>
        <v>1.3688552188552188</v>
      </c>
      <c r="T6">
        <f t="shared" si="0"/>
        <v>1.4394807901842817</v>
      </c>
      <c r="U6">
        <f t="shared" si="0"/>
        <v>1.521268410639701</v>
      </c>
      <c r="V6">
        <f t="shared" si="0"/>
        <v>1.5657774250656249</v>
      </c>
      <c r="W6">
        <f t="shared" si="0"/>
        <v>1.5630331753554503</v>
      </c>
      <c r="X6">
        <f t="shared" si="0"/>
        <v>1.5841872865117055</v>
      </c>
      <c r="Y6">
        <f t="shared" si="0"/>
        <v>1.5892597968069666</v>
      </c>
    </row>
    <row r="7" spans="1:25">
      <c r="A7" s="4" t="s">
        <v>101</v>
      </c>
      <c r="B7">
        <v>99891</v>
      </c>
      <c r="C7">
        <v>116642</v>
      </c>
      <c r="D7">
        <v>116589</v>
      </c>
      <c r="E7">
        <v>96071</v>
      </c>
      <c r="F7">
        <v>74340</v>
      </c>
      <c r="G7">
        <v>61701</v>
      </c>
      <c r="H7">
        <v>50898</v>
      </c>
      <c r="I7">
        <v>42849</v>
      </c>
      <c r="J7">
        <v>33605</v>
      </c>
      <c r="K7">
        <v>30451</v>
      </c>
      <c r="L7">
        <v>29180</v>
      </c>
      <c r="N7" s="4" t="s">
        <v>101</v>
      </c>
      <c r="O7">
        <f t="shared" si="1"/>
        <v>0.86096845561662216</v>
      </c>
      <c r="P7">
        <f t="shared" si="0"/>
        <v>0.89232866377462661</v>
      </c>
      <c r="Q7">
        <f t="shared" si="0"/>
        <v>0.89716868658278226</v>
      </c>
      <c r="R7">
        <f t="shared" si="0"/>
        <v>0.94495737527453649</v>
      </c>
      <c r="S7">
        <f t="shared" si="0"/>
        <v>1.1679311272531612</v>
      </c>
      <c r="T7">
        <f t="shared" si="0"/>
        <v>1.2820537754655517</v>
      </c>
      <c r="U7">
        <f t="shared" si="0"/>
        <v>1.399092302251562</v>
      </c>
      <c r="V7">
        <f t="shared" si="0"/>
        <v>1.4375131274942239</v>
      </c>
      <c r="W7">
        <f t="shared" si="0"/>
        <v>1.4552596339830381</v>
      </c>
      <c r="X7">
        <f t="shared" si="0"/>
        <v>1.4500673212702375</v>
      </c>
      <c r="Y7">
        <f t="shared" si="0"/>
        <v>1.4630568882796435</v>
      </c>
    </row>
    <row r="8" spans="1:25">
      <c r="A8" s="4" t="s">
        <v>99</v>
      </c>
      <c r="B8">
        <v>136286</v>
      </c>
      <c r="C8">
        <v>161473</v>
      </c>
      <c r="D8">
        <v>163209</v>
      </c>
      <c r="E8">
        <v>133366</v>
      </c>
      <c r="F8">
        <v>107575</v>
      </c>
      <c r="G8">
        <v>90697</v>
      </c>
      <c r="H8">
        <v>64029</v>
      </c>
      <c r="I8">
        <v>52627</v>
      </c>
      <c r="J8">
        <v>42941</v>
      </c>
      <c r="K8">
        <v>37827</v>
      </c>
      <c r="L8">
        <v>34561</v>
      </c>
      <c r="N8" s="4" t="s">
        <v>99</v>
      </c>
      <c r="O8">
        <f t="shared" si="1"/>
        <v>0.82701084484099618</v>
      </c>
      <c r="P8">
        <f t="shared" si="0"/>
        <v>0.85269363918425989</v>
      </c>
      <c r="Q8">
        <f t="shared" si="0"/>
        <v>0.85466487754964493</v>
      </c>
      <c r="R8">
        <f t="shared" si="0"/>
        <v>0.89681028148103714</v>
      </c>
      <c r="S8">
        <f t="shared" si="0"/>
        <v>1.1264513130374159</v>
      </c>
      <c r="T8">
        <f t="shared" si="0"/>
        <v>1.2450687453829785</v>
      </c>
      <c r="U8">
        <f t="shared" si="0"/>
        <v>1.3607271705008668</v>
      </c>
      <c r="V8">
        <f t="shared" si="0"/>
        <v>1.4019039656450112</v>
      </c>
      <c r="W8">
        <f t="shared" si="0"/>
        <v>1.4105866188491185</v>
      </c>
      <c r="X8">
        <f t="shared" si="0"/>
        <v>1.4314642979882095</v>
      </c>
      <c r="Y8">
        <f t="shared" si="0"/>
        <v>1.4375452099186945</v>
      </c>
    </row>
    <row r="9" spans="1:25">
      <c r="A9" s="4" t="s">
        <v>98</v>
      </c>
      <c r="B9">
        <v>118171</v>
      </c>
      <c r="C9">
        <v>149225</v>
      </c>
      <c r="D9">
        <v>158029</v>
      </c>
      <c r="E9">
        <v>139030</v>
      </c>
      <c r="F9">
        <v>104569</v>
      </c>
      <c r="G9">
        <v>90562</v>
      </c>
      <c r="H9">
        <v>77261</v>
      </c>
      <c r="I9">
        <v>63152</v>
      </c>
      <c r="J9">
        <v>48533</v>
      </c>
      <c r="K9">
        <v>41271</v>
      </c>
      <c r="L9">
        <v>36265</v>
      </c>
      <c r="N9" s="4" t="s">
        <v>98</v>
      </c>
      <c r="O9">
        <f t="shared" si="1"/>
        <v>0.82063281177276992</v>
      </c>
      <c r="P9">
        <f t="shared" si="0"/>
        <v>0.84514659071871334</v>
      </c>
      <c r="Q9">
        <f t="shared" si="0"/>
        <v>0.84375019774851456</v>
      </c>
      <c r="R9">
        <f t="shared" si="0"/>
        <v>0.87373948068762142</v>
      </c>
      <c r="S9">
        <f t="shared" si="0"/>
        <v>1.1249414262353088</v>
      </c>
      <c r="T9">
        <f t="shared" si="0"/>
        <v>1.2452242662485369</v>
      </c>
      <c r="U9">
        <f t="shared" si="0"/>
        <v>1.369876134142711</v>
      </c>
      <c r="V9">
        <f t="shared" si="0"/>
        <v>1.4087756523942234</v>
      </c>
      <c r="W9">
        <f t="shared" si="0"/>
        <v>1.4234438423340821</v>
      </c>
      <c r="X9">
        <f t="shared" si="0"/>
        <v>1.4335732112136852</v>
      </c>
      <c r="Y9">
        <f t="shared" si="0"/>
        <v>1.4474286502137046</v>
      </c>
    </row>
    <row r="10" spans="1:25">
      <c r="A10" s="4" t="s">
        <v>97</v>
      </c>
      <c r="B10">
        <v>101755</v>
      </c>
      <c r="C10">
        <v>130884</v>
      </c>
      <c r="D10">
        <v>136768</v>
      </c>
      <c r="E10">
        <v>116784</v>
      </c>
      <c r="F10">
        <v>86601</v>
      </c>
      <c r="G10">
        <v>76164</v>
      </c>
      <c r="H10">
        <v>67643</v>
      </c>
      <c r="I10">
        <v>60046</v>
      </c>
      <c r="J10">
        <v>50043</v>
      </c>
      <c r="K10">
        <v>44196</v>
      </c>
      <c r="L10">
        <v>39435</v>
      </c>
      <c r="N10" s="4" t="s">
        <v>97</v>
      </c>
      <c r="O10">
        <f t="shared" si="1"/>
        <v>0.78216303867131831</v>
      </c>
      <c r="P10">
        <f t="shared" si="0"/>
        <v>0.83457107056630297</v>
      </c>
      <c r="Q10">
        <f t="shared" si="0"/>
        <v>0.84433493214787081</v>
      </c>
      <c r="R10">
        <f t="shared" si="0"/>
        <v>0.87055589806822853</v>
      </c>
      <c r="S10">
        <f t="shared" si="0"/>
        <v>1.1310262006212399</v>
      </c>
      <c r="T10">
        <f t="shared" si="0"/>
        <v>1.2568011133869019</v>
      </c>
      <c r="U10">
        <f t="shared" si="0"/>
        <v>1.3648566740091361</v>
      </c>
      <c r="V10">
        <f t="shared" si="0"/>
        <v>1.4051560470306099</v>
      </c>
      <c r="W10">
        <f t="shared" si="0"/>
        <v>1.426473233019603</v>
      </c>
      <c r="X10">
        <f t="shared" si="0"/>
        <v>1.4384333423839262</v>
      </c>
      <c r="Y10">
        <f t="shared" si="0"/>
        <v>1.4573855711931025</v>
      </c>
    </row>
    <row r="11" spans="1:25">
      <c r="A11" s="4" t="s">
        <v>100</v>
      </c>
      <c r="B11">
        <v>63733</v>
      </c>
      <c r="C11">
        <v>72500</v>
      </c>
      <c r="D11">
        <v>70433</v>
      </c>
      <c r="E11">
        <v>66623</v>
      </c>
      <c r="F11">
        <v>55373</v>
      </c>
      <c r="G11">
        <v>52323</v>
      </c>
      <c r="H11">
        <v>49082</v>
      </c>
      <c r="I11">
        <v>46010</v>
      </c>
      <c r="J11">
        <v>37546</v>
      </c>
      <c r="K11">
        <v>33325</v>
      </c>
      <c r="L11">
        <v>30955</v>
      </c>
      <c r="N11" s="4" t="s">
        <v>100</v>
      </c>
      <c r="O11">
        <f t="shared" si="1"/>
        <v>0.75500917891829977</v>
      </c>
      <c r="P11">
        <f t="shared" si="0"/>
        <v>0.80168275862068961</v>
      </c>
      <c r="Q11">
        <f t="shared" si="0"/>
        <v>0.81725895531923953</v>
      </c>
      <c r="R11">
        <f t="shared" si="0"/>
        <v>0.81620461402218458</v>
      </c>
      <c r="S11">
        <f t="shared" si="0"/>
        <v>1.0790276849728206</v>
      </c>
      <c r="T11">
        <f t="shared" si="0"/>
        <v>1.2604399594824456</v>
      </c>
      <c r="U11">
        <f t="shared" si="0"/>
        <v>1.3686076362006439</v>
      </c>
      <c r="V11">
        <f t="shared" si="0"/>
        <v>1.3998478591610519</v>
      </c>
      <c r="W11">
        <f t="shared" si="0"/>
        <v>1.4250785702871145</v>
      </c>
      <c r="X11">
        <f t="shared" si="0"/>
        <v>1.4349887471867968</v>
      </c>
      <c r="Y11">
        <f t="shared" si="0"/>
        <v>1.4613471167824261</v>
      </c>
    </row>
    <row r="12" spans="1:25">
      <c r="A12" s="4" t="s">
        <v>102</v>
      </c>
      <c r="B12">
        <v>36655</v>
      </c>
      <c r="C12">
        <v>46554</v>
      </c>
      <c r="D12">
        <v>49713</v>
      </c>
      <c r="E12">
        <v>46357</v>
      </c>
      <c r="F12">
        <v>35067</v>
      </c>
      <c r="G12">
        <v>29058</v>
      </c>
      <c r="H12">
        <v>24795</v>
      </c>
      <c r="I12">
        <v>20737</v>
      </c>
      <c r="J12">
        <v>17720</v>
      </c>
      <c r="K12">
        <v>18181</v>
      </c>
      <c r="L12">
        <v>18552</v>
      </c>
      <c r="N12" s="4" t="s">
        <v>102</v>
      </c>
      <c r="O12">
        <f t="shared" si="1"/>
        <v>0.79075160278270362</v>
      </c>
      <c r="P12">
        <f t="shared" si="0"/>
        <v>0.8349228852515358</v>
      </c>
      <c r="Q12">
        <f t="shared" si="0"/>
        <v>0.84828917989258346</v>
      </c>
      <c r="R12">
        <f t="shared" si="0"/>
        <v>0.82803028668809453</v>
      </c>
      <c r="S12">
        <f t="shared" si="0"/>
        <v>1.0769669489833746</v>
      </c>
      <c r="T12">
        <f t="shared" si="0"/>
        <v>1.2419987610984926</v>
      </c>
      <c r="U12">
        <f t="shared" si="0"/>
        <v>1.3720104859850777</v>
      </c>
      <c r="V12">
        <f t="shared" si="0"/>
        <v>1.3939335487293243</v>
      </c>
      <c r="W12">
        <f t="shared" si="0"/>
        <v>1.4051354401805869</v>
      </c>
      <c r="X12">
        <f t="shared" si="0"/>
        <v>1.4089984049282218</v>
      </c>
      <c r="Y12">
        <f t="shared" si="0"/>
        <v>1.4464208710651143</v>
      </c>
    </row>
    <row r="13" spans="1:25">
      <c r="A13" s="4" t="s">
        <v>104</v>
      </c>
      <c r="B13">
        <v>11626</v>
      </c>
      <c r="C13">
        <v>16043</v>
      </c>
      <c r="D13">
        <v>17550</v>
      </c>
      <c r="E13">
        <v>17616</v>
      </c>
      <c r="F13">
        <v>15556</v>
      </c>
      <c r="G13">
        <v>14922</v>
      </c>
      <c r="H13">
        <v>14489</v>
      </c>
      <c r="I13">
        <v>13587</v>
      </c>
      <c r="J13">
        <v>11902</v>
      </c>
      <c r="K13">
        <v>11102</v>
      </c>
      <c r="L13">
        <v>10079</v>
      </c>
      <c r="N13" s="4" t="s">
        <v>104</v>
      </c>
      <c r="O13">
        <f t="shared" si="1"/>
        <v>0.88895578874935488</v>
      </c>
      <c r="P13">
        <f t="shared" si="0"/>
        <v>0.88967150782272642</v>
      </c>
      <c r="Q13">
        <f t="shared" si="0"/>
        <v>0.89418803418803416</v>
      </c>
      <c r="R13">
        <f t="shared" si="0"/>
        <v>0.8777815622161671</v>
      </c>
      <c r="S13">
        <f t="shared" si="0"/>
        <v>1.0964258164052456</v>
      </c>
      <c r="T13">
        <f t="shared" si="0"/>
        <v>1.2435330384666934</v>
      </c>
      <c r="U13">
        <f t="shared" si="0"/>
        <v>1.3486783076816895</v>
      </c>
      <c r="V13">
        <f t="shared" si="0"/>
        <v>1.3785235887245162</v>
      </c>
      <c r="W13">
        <f t="shared" si="0"/>
        <v>1.3968240631826583</v>
      </c>
      <c r="X13">
        <f t="shared" si="0"/>
        <v>1.4228967753557917</v>
      </c>
      <c r="Y13">
        <f t="shared" si="0"/>
        <v>1.4214703839666634</v>
      </c>
    </row>
    <row r="14" spans="1:25">
      <c r="A14" s="4" t="s">
        <v>105</v>
      </c>
      <c r="B14">
        <v>4671</v>
      </c>
      <c r="C14">
        <v>6049</v>
      </c>
      <c r="D14">
        <v>6185</v>
      </c>
      <c r="E14">
        <v>6047</v>
      </c>
      <c r="F14">
        <v>5243</v>
      </c>
      <c r="G14">
        <v>5232</v>
      </c>
      <c r="H14">
        <v>5455</v>
      </c>
      <c r="I14">
        <v>5439</v>
      </c>
      <c r="J14">
        <v>4874</v>
      </c>
      <c r="K14">
        <v>5061</v>
      </c>
      <c r="L14">
        <v>5178</v>
      </c>
      <c r="N14" s="4" t="s">
        <v>105</v>
      </c>
      <c r="O14">
        <f t="shared" si="1"/>
        <v>0.94968957396703058</v>
      </c>
      <c r="P14">
        <f t="shared" si="0"/>
        <v>0.9690857993056704</v>
      </c>
      <c r="Q14">
        <f t="shared" si="0"/>
        <v>0.94454324979789817</v>
      </c>
      <c r="R14">
        <f t="shared" si="0"/>
        <v>0.94476599966925745</v>
      </c>
      <c r="S14">
        <f t="shared" si="0"/>
        <v>1.1382796109097846</v>
      </c>
      <c r="T14">
        <f t="shared" si="0"/>
        <v>1.2589831804281346</v>
      </c>
      <c r="U14">
        <f t="shared" si="0"/>
        <v>1.3105407882676443</v>
      </c>
      <c r="V14">
        <f t="shared" si="0"/>
        <v>1.3708402279830851</v>
      </c>
      <c r="W14">
        <f t="shared" si="0"/>
        <v>1.36992203528929</v>
      </c>
      <c r="X14">
        <f t="shared" si="0"/>
        <v>1.3851017585457419</v>
      </c>
      <c r="Y14">
        <f t="shared" si="0"/>
        <v>1.4061413673232908</v>
      </c>
    </row>
    <row r="15" spans="1:25">
      <c r="A15" s="4" t="s">
        <v>106</v>
      </c>
      <c r="B15">
        <v>2463</v>
      </c>
      <c r="C15">
        <v>2907</v>
      </c>
      <c r="D15">
        <v>3015</v>
      </c>
      <c r="E15">
        <v>2837</v>
      </c>
      <c r="F15">
        <v>2079</v>
      </c>
      <c r="G15">
        <v>1966</v>
      </c>
      <c r="H15">
        <v>1999</v>
      </c>
      <c r="I15">
        <v>1966</v>
      </c>
      <c r="J15">
        <v>1863</v>
      </c>
      <c r="K15">
        <v>1856</v>
      </c>
      <c r="L15">
        <v>1919</v>
      </c>
      <c r="N15" s="4" t="s">
        <v>106</v>
      </c>
      <c r="O15">
        <f t="shared" si="1"/>
        <v>1.047909053999188</v>
      </c>
      <c r="P15">
        <f t="shared" si="0"/>
        <v>1.0292397660818713</v>
      </c>
      <c r="Q15">
        <f t="shared" si="0"/>
        <v>1.0023217247097844</v>
      </c>
      <c r="R15">
        <f t="shared" si="0"/>
        <v>1.0507578427916813</v>
      </c>
      <c r="S15">
        <f t="shared" si="0"/>
        <v>1.1370851370851371</v>
      </c>
      <c r="T15">
        <f t="shared" si="0"/>
        <v>1.2706002034587995</v>
      </c>
      <c r="U15">
        <f t="shared" si="0"/>
        <v>1.2401200600300151</v>
      </c>
      <c r="V15">
        <f t="shared" si="0"/>
        <v>1.3138351983723295</v>
      </c>
      <c r="W15">
        <f t="shared" si="0"/>
        <v>1.3059581320450886</v>
      </c>
      <c r="X15">
        <f t="shared" si="0"/>
        <v>1.3151939655172413</v>
      </c>
      <c r="Y15">
        <f t="shared" si="0"/>
        <v>1.3757165190203231</v>
      </c>
    </row>
    <row r="16" spans="1:25">
      <c r="A16" s="4" t="s">
        <v>107</v>
      </c>
      <c r="B16">
        <v>4725</v>
      </c>
      <c r="C16">
        <v>13859</v>
      </c>
      <c r="D16">
        <v>12989</v>
      </c>
      <c r="E16">
        <v>10548</v>
      </c>
      <c r="F16">
        <v>4090</v>
      </c>
      <c r="G16">
        <v>3313</v>
      </c>
      <c r="H16">
        <v>2767</v>
      </c>
      <c r="I16">
        <v>2564</v>
      </c>
      <c r="J16">
        <v>2100</v>
      </c>
      <c r="K16">
        <v>1820</v>
      </c>
      <c r="L16">
        <v>1849</v>
      </c>
      <c r="N16" s="4" t="s">
        <v>107</v>
      </c>
      <c r="O16">
        <f t="shared" si="1"/>
        <v>1.0321693121693121</v>
      </c>
      <c r="P16">
        <f t="shared" si="0"/>
        <v>0.98831084493830723</v>
      </c>
      <c r="Q16">
        <f t="shared" si="0"/>
        <v>0.97059049965355304</v>
      </c>
      <c r="R16">
        <f t="shared" si="0"/>
        <v>1.0401023890784984</v>
      </c>
      <c r="S16">
        <f t="shared" si="0"/>
        <v>1.1012224938875306</v>
      </c>
      <c r="T16">
        <f t="shared" si="0"/>
        <v>1.1328101418653789</v>
      </c>
      <c r="U16">
        <f t="shared" si="0"/>
        <v>1.157932779183231</v>
      </c>
      <c r="V16">
        <f t="shared" si="0"/>
        <v>1.1774570982839314</v>
      </c>
      <c r="W16">
        <f t="shared" si="0"/>
        <v>1.1976190476190476</v>
      </c>
      <c r="X16">
        <f t="shared" si="0"/>
        <v>1.2087912087912087</v>
      </c>
      <c r="Y16">
        <f t="shared" si="0"/>
        <v>1.2368848025959978</v>
      </c>
    </row>
    <row r="17" spans="1:25" ht="16">
      <c r="N17" s="2" t="s">
        <v>173</v>
      </c>
      <c r="O17">
        <v>0.83079107445892919</v>
      </c>
      <c r="P17">
        <v>0.8642185453008866</v>
      </c>
      <c r="Q17">
        <v>0.86848126528674741</v>
      </c>
      <c r="R17">
        <v>0.89668872386357001</v>
      </c>
      <c r="S17">
        <v>1.1352645064869114</v>
      </c>
      <c r="T17">
        <v>1.2629515784423904</v>
      </c>
      <c r="U17">
        <v>1.3743931189790406</v>
      </c>
      <c r="V17">
        <v>1.4122197127829614</v>
      </c>
      <c r="W17">
        <v>1.4268374534320749</v>
      </c>
      <c r="X17">
        <v>1.4385674908013812</v>
      </c>
      <c r="Y17">
        <v>1.4545305460525417</v>
      </c>
    </row>
    <row r="19" spans="1:25" s="19" customFormat="1">
      <c r="A19" s="18" t="s">
        <v>65</v>
      </c>
      <c r="B19" s="16">
        <v>2000</v>
      </c>
      <c r="C19" s="19">
        <v>2001</v>
      </c>
      <c r="D19" s="16">
        <v>2002</v>
      </c>
      <c r="E19" s="19">
        <v>2003</v>
      </c>
      <c r="F19" s="16">
        <v>2004</v>
      </c>
      <c r="G19" s="19">
        <v>2005</v>
      </c>
      <c r="H19" s="16">
        <v>2006</v>
      </c>
      <c r="I19" s="19">
        <v>2007</v>
      </c>
      <c r="J19" s="16">
        <v>2008</v>
      </c>
      <c r="K19" s="19">
        <v>2009</v>
      </c>
      <c r="L19" s="16">
        <v>2010</v>
      </c>
      <c r="N19" s="19" t="s">
        <v>4</v>
      </c>
      <c r="O19" s="26">
        <v>2000</v>
      </c>
      <c r="P19" s="26">
        <v>2001</v>
      </c>
      <c r="Q19" s="26">
        <v>2002</v>
      </c>
      <c r="R19" s="26">
        <v>2003</v>
      </c>
      <c r="S19" s="26">
        <v>2004</v>
      </c>
      <c r="T19" s="26">
        <v>2005</v>
      </c>
      <c r="U19" s="26">
        <v>2006</v>
      </c>
      <c r="V19" s="26">
        <v>2007</v>
      </c>
      <c r="W19" s="26">
        <v>2008</v>
      </c>
      <c r="X19" s="26">
        <v>2009</v>
      </c>
      <c r="Y19" s="26">
        <v>2010</v>
      </c>
    </row>
    <row r="20" spans="1:25">
      <c r="A20" s="4" t="s">
        <v>109</v>
      </c>
      <c r="B20">
        <v>2418</v>
      </c>
      <c r="C20">
        <v>658</v>
      </c>
      <c r="D20">
        <v>569</v>
      </c>
      <c r="E20">
        <v>537</v>
      </c>
      <c r="F20">
        <v>323</v>
      </c>
      <c r="G20">
        <v>175</v>
      </c>
      <c r="H20">
        <v>146</v>
      </c>
      <c r="I20">
        <v>112</v>
      </c>
      <c r="J20">
        <v>105</v>
      </c>
      <c r="K20">
        <v>63</v>
      </c>
      <c r="L20">
        <v>51</v>
      </c>
      <c r="N20" s="4" t="s">
        <v>109</v>
      </c>
      <c r="O20">
        <f>B20/(B20+B38)</f>
        <v>0.330012283335608</v>
      </c>
      <c r="P20">
        <f t="shared" ref="P20:Y34" si="2">C20/(C20+C38)</f>
        <v>0.3418181818181818</v>
      </c>
      <c r="Q20">
        <f t="shared" si="2"/>
        <v>0.34758704948075747</v>
      </c>
      <c r="R20">
        <f t="shared" si="2"/>
        <v>0.3568106312292359</v>
      </c>
      <c r="S20">
        <f t="shared" si="2"/>
        <v>0.33162217659137577</v>
      </c>
      <c r="T20">
        <f t="shared" si="2"/>
        <v>0.19774011299435029</v>
      </c>
      <c r="U20">
        <f t="shared" si="2"/>
        <v>0.30672268907563027</v>
      </c>
      <c r="V20">
        <f t="shared" si="2"/>
        <v>0.32748538011695905</v>
      </c>
      <c r="W20">
        <f t="shared" si="2"/>
        <v>0.37769784172661869</v>
      </c>
      <c r="X20">
        <f t="shared" si="2"/>
        <v>0.37278106508875741</v>
      </c>
      <c r="Y20">
        <f t="shared" si="2"/>
        <v>0.42148760330578511</v>
      </c>
    </row>
    <row r="21" spans="1:25">
      <c r="A21" s="4" t="s">
        <v>111</v>
      </c>
      <c r="B21">
        <v>418</v>
      </c>
      <c r="C21">
        <v>396</v>
      </c>
      <c r="D21">
        <v>394</v>
      </c>
      <c r="E21">
        <v>297</v>
      </c>
      <c r="F21">
        <v>208</v>
      </c>
      <c r="G21">
        <v>100</v>
      </c>
      <c r="H21">
        <v>77</v>
      </c>
      <c r="I21">
        <v>69</v>
      </c>
      <c r="J21">
        <v>70</v>
      </c>
      <c r="K21">
        <v>32</v>
      </c>
      <c r="L21">
        <v>31</v>
      </c>
      <c r="N21" s="4" t="s">
        <v>111</v>
      </c>
      <c r="O21">
        <f t="shared" ref="O21:O34" si="3">B21/(B21+B39)</f>
        <v>0.30825958702064898</v>
      </c>
      <c r="P21">
        <f t="shared" si="2"/>
        <v>0.29774436090225564</v>
      </c>
      <c r="Q21">
        <f t="shared" si="2"/>
        <v>0.33361558001693481</v>
      </c>
      <c r="R21">
        <f t="shared" si="2"/>
        <v>0.29089128305582762</v>
      </c>
      <c r="S21">
        <f t="shared" si="2"/>
        <v>0.29131652661064428</v>
      </c>
      <c r="T21">
        <f t="shared" si="2"/>
        <v>0.16155088852988692</v>
      </c>
      <c r="U21">
        <f t="shared" si="2"/>
        <v>0.25163398692810457</v>
      </c>
      <c r="V21">
        <f t="shared" si="2"/>
        <v>0.3</v>
      </c>
      <c r="W21">
        <f t="shared" si="2"/>
        <v>0.37234042553191488</v>
      </c>
      <c r="X21">
        <f t="shared" si="2"/>
        <v>0.30476190476190479</v>
      </c>
      <c r="Y21">
        <f t="shared" si="2"/>
        <v>0.35632183908045978</v>
      </c>
    </row>
    <row r="22" spans="1:25">
      <c r="A22" s="4" t="s">
        <v>110</v>
      </c>
      <c r="B22">
        <v>315</v>
      </c>
      <c r="C22">
        <v>233</v>
      </c>
      <c r="D22">
        <v>219</v>
      </c>
      <c r="E22">
        <v>176</v>
      </c>
      <c r="F22">
        <v>139</v>
      </c>
      <c r="G22">
        <v>75</v>
      </c>
      <c r="H22">
        <v>64</v>
      </c>
      <c r="I22">
        <v>67</v>
      </c>
      <c r="J22">
        <v>42</v>
      </c>
      <c r="K22">
        <v>41</v>
      </c>
      <c r="L22">
        <v>25</v>
      </c>
      <c r="N22" s="4" t="s">
        <v>110</v>
      </c>
      <c r="O22">
        <f t="shared" si="3"/>
        <v>0.27607361963190186</v>
      </c>
      <c r="P22">
        <f t="shared" si="2"/>
        <v>0.20619469026548673</v>
      </c>
      <c r="Q22">
        <f t="shared" si="2"/>
        <v>0.23052631578947369</v>
      </c>
      <c r="R22">
        <f t="shared" si="2"/>
        <v>0.19864559819413091</v>
      </c>
      <c r="S22">
        <f t="shared" si="2"/>
        <v>0.21718750000000001</v>
      </c>
      <c r="T22">
        <f t="shared" si="2"/>
        <v>0.1497005988023952</v>
      </c>
      <c r="U22">
        <f t="shared" si="2"/>
        <v>0.20512820512820512</v>
      </c>
      <c r="V22">
        <f t="shared" si="2"/>
        <v>0.23674911660777384</v>
      </c>
      <c r="W22">
        <f t="shared" si="2"/>
        <v>0.22826086956521738</v>
      </c>
      <c r="X22">
        <f t="shared" si="2"/>
        <v>0.24404761904761904</v>
      </c>
      <c r="Y22">
        <f t="shared" si="2"/>
        <v>0.19230769230769232</v>
      </c>
    </row>
    <row r="23" spans="1:25">
      <c r="A23" s="4" t="s">
        <v>108</v>
      </c>
      <c r="B23">
        <v>350</v>
      </c>
      <c r="C23">
        <v>436</v>
      </c>
      <c r="D23">
        <v>427</v>
      </c>
      <c r="E23">
        <v>443</v>
      </c>
      <c r="F23">
        <v>365</v>
      </c>
      <c r="G23">
        <v>353</v>
      </c>
      <c r="H23">
        <v>300</v>
      </c>
      <c r="I23">
        <v>265</v>
      </c>
      <c r="J23">
        <v>211</v>
      </c>
      <c r="K23">
        <v>225</v>
      </c>
      <c r="L23">
        <v>268</v>
      </c>
      <c r="N23" s="4" t="s">
        <v>108</v>
      </c>
      <c r="O23">
        <f t="shared" si="3"/>
        <v>0.20231213872832371</v>
      </c>
      <c r="P23">
        <f t="shared" si="2"/>
        <v>0.1821219715956558</v>
      </c>
      <c r="Q23">
        <f t="shared" si="2"/>
        <v>0.17428571428571429</v>
      </c>
      <c r="R23">
        <f t="shared" si="2"/>
        <v>0.19575784357048165</v>
      </c>
      <c r="S23">
        <f t="shared" si="2"/>
        <v>0.17397521448999045</v>
      </c>
      <c r="T23">
        <f t="shared" si="2"/>
        <v>0.15327833260963961</v>
      </c>
      <c r="U23">
        <f t="shared" si="2"/>
        <v>0.17094017094017094</v>
      </c>
      <c r="V23">
        <f t="shared" si="2"/>
        <v>0.14963297571993225</v>
      </c>
      <c r="W23">
        <f t="shared" si="2"/>
        <v>0.15457875457875458</v>
      </c>
      <c r="X23">
        <f t="shared" si="2"/>
        <v>0.15010006671114076</v>
      </c>
      <c r="Y23">
        <f t="shared" si="2"/>
        <v>0.16813048933500627</v>
      </c>
    </row>
    <row r="24" spans="1:25">
      <c r="A24" s="4" t="s">
        <v>103</v>
      </c>
      <c r="B24">
        <v>4805</v>
      </c>
      <c r="C24">
        <v>5422</v>
      </c>
      <c r="D24">
        <v>5535</v>
      </c>
      <c r="E24">
        <v>5477</v>
      </c>
      <c r="F24">
        <v>5819</v>
      </c>
      <c r="G24">
        <v>5021</v>
      </c>
      <c r="H24">
        <v>4596</v>
      </c>
      <c r="I24">
        <v>4078</v>
      </c>
      <c r="J24">
        <v>3513</v>
      </c>
      <c r="K24">
        <v>3282</v>
      </c>
      <c r="L24">
        <v>2871</v>
      </c>
      <c r="N24" s="4" t="s">
        <v>103</v>
      </c>
      <c r="O24">
        <f t="shared" si="3"/>
        <v>0.18195243865495306</v>
      </c>
      <c r="P24">
        <f t="shared" si="2"/>
        <v>0.1562536023054755</v>
      </c>
      <c r="Q24">
        <f t="shared" si="2"/>
        <v>0.15619267996726585</v>
      </c>
      <c r="R24">
        <f t="shared" si="2"/>
        <v>0.1741549810804795</v>
      </c>
      <c r="S24">
        <f t="shared" si="2"/>
        <v>0.17891403271430328</v>
      </c>
      <c r="T24">
        <f t="shared" si="2"/>
        <v>0.16524057131573752</v>
      </c>
      <c r="U24">
        <f t="shared" si="2"/>
        <v>0.16603446407282973</v>
      </c>
      <c r="V24">
        <f t="shared" si="2"/>
        <v>0.15899255331591874</v>
      </c>
      <c r="W24">
        <f t="shared" si="2"/>
        <v>0.17753183747725895</v>
      </c>
      <c r="X24">
        <f t="shared" si="2"/>
        <v>0.17260057849066526</v>
      </c>
      <c r="Y24">
        <f t="shared" si="2"/>
        <v>0.1747945205479452</v>
      </c>
    </row>
    <row r="25" spans="1:25">
      <c r="A25" s="4" t="s">
        <v>101</v>
      </c>
      <c r="B25">
        <v>14829</v>
      </c>
      <c r="C25">
        <v>15927</v>
      </c>
      <c r="D25">
        <v>15849</v>
      </c>
      <c r="E25">
        <v>15165</v>
      </c>
      <c r="F25">
        <v>15161</v>
      </c>
      <c r="G25">
        <v>13417</v>
      </c>
      <c r="H25">
        <v>12334</v>
      </c>
      <c r="I25">
        <v>10978</v>
      </c>
      <c r="J25">
        <v>9580</v>
      </c>
      <c r="K25">
        <v>8543</v>
      </c>
      <c r="L25">
        <v>8497</v>
      </c>
      <c r="N25" s="4" t="s">
        <v>101</v>
      </c>
      <c r="O25">
        <f t="shared" si="3"/>
        <v>0.17242421775984559</v>
      </c>
      <c r="P25">
        <f t="shared" si="2"/>
        <v>0.15302210735662886</v>
      </c>
      <c r="Q25">
        <f t="shared" si="2"/>
        <v>0.15152007648183557</v>
      </c>
      <c r="R25">
        <f t="shared" si="2"/>
        <v>0.16704669376425102</v>
      </c>
      <c r="S25">
        <f t="shared" si="2"/>
        <v>0.17461761724868699</v>
      </c>
      <c r="T25">
        <f t="shared" si="2"/>
        <v>0.16961215614886732</v>
      </c>
      <c r="U25">
        <f t="shared" si="2"/>
        <v>0.17320357809888923</v>
      </c>
      <c r="V25">
        <f t="shared" si="2"/>
        <v>0.17822585882200143</v>
      </c>
      <c r="W25">
        <f t="shared" si="2"/>
        <v>0.19589399640111238</v>
      </c>
      <c r="X25">
        <f t="shared" si="2"/>
        <v>0.1934731406830329</v>
      </c>
      <c r="Y25">
        <f t="shared" si="2"/>
        <v>0.19903026328117679</v>
      </c>
    </row>
    <row r="26" spans="1:25">
      <c r="A26" s="4" t="s">
        <v>99</v>
      </c>
      <c r="B26">
        <v>19524</v>
      </c>
      <c r="C26">
        <v>21063</v>
      </c>
      <c r="D26">
        <v>21734</v>
      </c>
      <c r="E26">
        <v>20249</v>
      </c>
      <c r="F26">
        <v>23663</v>
      </c>
      <c r="G26">
        <v>21240</v>
      </c>
      <c r="H26">
        <v>15365</v>
      </c>
      <c r="I26">
        <v>13572</v>
      </c>
      <c r="J26">
        <v>12041</v>
      </c>
      <c r="K26">
        <v>10970</v>
      </c>
      <c r="L26">
        <v>10366</v>
      </c>
      <c r="N26" s="4" t="s">
        <v>99</v>
      </c>
      <c r="O26">
        <f t="shared" si="3"/>
        <v>0.17322331647591163</v>
      </c>
      <c r="P26">
        <f t="shared" si="2"/>
        <v>0.15297740527428152</v>
      </c>
      <c r="Q26">
        <f t="shared" si="2"/>
        <v>0.15581156937106153</v>
      </c>
      <c r="R26">
        <f t="shared" si="2"/>
        <v>0.16930035784756362</v>
      </c>
      <c r="S26">
        <f t="shared" si="2"/>
        <v>0.19527471983363318</v>
      </c>
      <c r="T26">
        <f t="shared" si="2"/>
        <v>0.18809110552229819</v>
      </c>
      <c r="U26">
        <f t="shared" si="2"/>
        <v>0.17635378647016964</v>
      </c>
      <c r="V26">
        <f t="shared" si="2"/>
        <v>0.18395727723711675</v>
      </c>
      <c r="W26">
        <f t="shared" si="2"/>
        <v>0.19878821897906623</v>
      </c>
      <c r="X26">
        <f t="shared" si="2"/>
        <v>0.20259289355100835</v>
      </c>
      <c r="Y26">
        <f t="shared" si="2"/>
        <v>0.20864279532234367</v>
      </c>
    </row>
    <row r="27" spans="1:25">
      <c r="A27" s="4" t="s">
        <v>98</v>
      </c>
      <c r="B27">
        <v>17279</v>
      </c>
      <c r="C27">
        <v>20341</v>
      </c>
      <c r="D27">
        <v>21428</v>
      </c>
      <c r="E27">
        <v>20515</v>
      </c>
      <c r="F27">
        <v>20666</v>
      </c>
      <c r="G27">
        <v>19249</v>
      </c>
      <c r="H27">
        <v>18105</v>
      </c>
      <c r="I27">
        <v>15766</v>
      </c>
      <c r="J27">
        <v>13260</v>
      </c>
      <c r="K27">
        <v>11974</v>
      </c>
      <c r="L27">
        <v>11057</v>
      </c>
      <c r="N27" s="4" t="s">
        <v>98</v>
      </c>
      <c r="O27">
        <f t="shared" si="3"/>
        <v>0.17817994328435163</v>
      </c>
      <c r="P27">
        <f t="shared" si="2"/>
        <v>0.16128674167637988</v>
      </c>
      <c r="Q27">
        <f t="shared" si="2"/>
        <v>0.16070558059653359</v>
      </c>
      <c r="R27">
        <f t="shared" si="2"/>
        <v>0.16888109585432515</v>
      </c>
      <c r="S27">
        <f t="shared" si="2"/>
        <v>0.17568050053555945</v>
      </c>
      <c r="T27">
        <f t="shared" si="2"/>
        <v>0.17069256007803493</v>
      </c>
      <c r="U27">
        <f t="shared" si="2"/>
        <v>0.17106332319204823</v>
      </c>
      <c r="V27">
        <f t="shared" si="2"/>
        <v>0.17721177515258466</v>
      </c>
      <c r="W27">
        <f t="shared" si="2"/>
        <v>0.19194024665624457</v>
      </c>
      <c r="X27">
        <f t="shared" si="2"/>
        <v>0.20238316572297813</v>
      </c>
      <c r="Y27">
        <f t="shared" si="2"/>
        <v>0.21064563448972204</v>
      </c>
    </row>
    <row r="28" spans="1:25">
      <c r="A28" s="4" t="s">
        <v>97</v>
      </c>
      <c r="B28">
        <v>13982</v>
      </c>
      <c r="C28">
        <v>16908</v>
      </c>
      <c r="D28">
        <v>18464</v>
      </c>
      <c r="E28">
        <v>17135</v>
      </c>
      <c r="F28">
        <v>17366</v>
      </c>
      <c r="G28">
        <v>16476</v>
      </c>
      <c r="H28">
        <v>15545</v>
      </c>
      <c r="I28">
        <v>15045</v>
      </c>
      <c r="J28">
        <v>14145</v>
      </c>
      <c r="K28">
        <v>12646</v>
      </c>
      <c r="L28">
        <v>11859</v>
      </c>
      <c r="N28" s="4" t="s">
        <v>97</v>
      </c>
      <c r="O28">
        <f t="shared" si="3"/>
        <v>0.17567754337911018</v>
      </c>
      <c r="P28">
        <f t="shared" si="2"/>
        <v>0.1547898051852937</v>
      </c>
      <c r="Q28">
        <f t="shared" si="2"/>
        <v>0.15989192746670361</v>
      </c>
      <c r="R28">
        <f t="shared" si="2"/>
        <v>0.16854043101498029</v>
      </c>
      <c r="S28">
        <f t="shared" si="2"/>
        <v>0.17729815820639522</v>
      </c>
      <c r="T28">
        <f t="shared" si="2"/>
        <v>0.17212164265641486</v>
      </c>
      <c r="U28">
        <f t="shared" si="2"/>
        <v>0.16837624427282474</v>
      </c>
      <c r="V28">
        <f t="shared" si="2"/>
        <v>0.17831322445303055</v>
      </c>
      <c r="W28">
        <f t="shared" si="2"/>
        <v>0.19815087203193948</v>
      </c>
      <c r="X28">
        <f t="shared" si="2"/>
        <v>0.19892092555015495</v>
      </c>
      <c r="Y28">
        <f t="shared" si="2"/>
        <v>0.20634395879732739</v>
      </c>
    </row>
    <row r="29" spans="1:25">
      <c r="A29" s="4" t="s">
        <v>100</v>
      </c>
      <c r="B29">
        <v>8331</v>
      </c>
      <c r="C29">
        <v>8939</v>
      </c>
      <c r="D29">
        <v>9111</v>
      </c>
      <c r="E29">
        <v>9075</v>
      </c>
      <c r="F29">
        <v>10524</v>
      </c>
      <c r="G29">
        <v>10964</v>
      </c>
      <c r="H29">
        <v>11256</v>
      </c>
      <c r="I29">
        <v>11056</v>
      </c>
      <c r="J29">
        <v>10191</v>
      </c>
      <c r="K29">
        <v>9505</v>
      </c>
      <c r="L29">
        <v>9295</v>
      </c>
      <c r="N29" s="4" t="s">
        <v>100</v>
      </c>
      <c r="O29">
        <f t="shared" si="3"/>
        <v>0.1731332737588063</v>
      </c>
      <c r="P29">
        <f t="shared" si="2"/>
        <v>0.1537971852310657</v>
      </c>
      <c r="Q29">
        <f t="shared" si="2"/>
        <v>0.15828150515965395</v>
      </c>
      <c r="R29">
        <f t="shared" si="2"/>
        <v>0.16688734414652984</v>
      </c>
      <c r="S29">
        <f t="shared" si="2"/>
        <v>0.176136839110278</v>
      </c>
      <c r="T29">
        <f t="shared" si="2"/>
        <v>0.16624715693707354</v>
      </c>
      <c r="U29">
        <f t="shared" si="2"/>
        <v>0.16756483163128591</v>
      </c>
      <c r="V29">
        <f t="shared" si="2"/>
        <v>0.17165836011613644</v>
      </c>
      <c r="W29">
        <f t="shared" si="2"/>
        <v>0.19046462079019175</v>
      </c>
      <c r="X29">
        <f t="shared" si="2"/>
        <v>0.19876205014533363</v>
      </c>
      <c r="Y29">
        <f t="shared" si="2"/>
        <v>0.20547793792554603</v>
      </c>
    </row>
    <row r="30" spans="1:25">
      <c r="A30" s="4" t="s">
        <v>102</v>
      </c>
      <c r="B30">
        <v>5359</v>
      </c>
      <c r="C30">
        <v>6138</v>
      </c>
      <c r="D30">
        <v>6760</v>
      </c>
      <c r="E30">
        <v>6666</v>
      </c>
      <c r="F30">
        <v>6554</v>
      </c>
      <c r="G30">
        <v>5947</v>
      </c>
      <c r="H30">
        <v>5662</v>
      </c>
      <c r="I30">
        <v>4864</v>
      </c>
      <c r="J30">
        <v>4732</v>
      </c>
      <c r="K30">
        <v>4884</v>
      </c>
      <c r="L30">
        <v>5377</v>
      </c>
      <c r="N30" s="4" t="s">
        <v>102</v>
      </c>
      <c r="O30">
        <f t="shared" si="3"/>
        <v>0.18488873555287216</v>
      </c>
      <c r="P30">
        <f t="shared" si="2"/>
        <v>0.15791504798168207</v>
      </c>
      <c r="Q30">
        <f t="shared" si="2"/>
        <v>0.16029973204334733</v>
      </c>
      <c r="R30">
        <f t="shared" si="2"/>
        <v>0.17366158655724892</v>
      </c>
      <c r="S30">
        <f t="shared" si="2"/>
        <v>0.1735423396706032</v>
      </c>
      <c r="T30">
        <f t="shared" si="2"/>
        <v>0.16478248822388472</v>
      </c>
      <c r="U30">
        <f t="shared" si="2"/>
        <v>0.16643640318645464</v>
      </c>
      <c r="V30">
        <f t="shared" si="2"/>
        <v>0.16826956341244032</v>
      </c>
      <c r="W30">
        <f t="shared" si="2"/>
        <v>0.19004779308405961</v>
      </c>
      <c r="X30">
        <f t="shared" si="2"/>
        <v>0.1906546434008666</v>
      </c>
      <c r="Y30">
        <f t="shared" si="2"/>
        <v>0.20038011477975703</v>
      </c>
    </row>
    <row r="31" spans="1:25">
      <c r="A31" s="4" t="s">
        <v>104</v>
      </c>
      <c r="B31">
        <v>2091</v>
      </c>
      <c r="C31">
        <v>2573</v>
      </c>
      <c r="D31">
        <v>2822</v>
      </c>
      <c r="E31">
        <v>2819</v>
      </c>
      <c r="F31">
        <v>2998</v>
      </c>
      <c r="G31">
        <v>3019</v>
      </c>
      <c r="H31">
        <v>3205</v>
      </c>
      <c r="I31">
        <v>3055</v>
      </c>
      <c r="J31">
        <v>3052</v>
      </c>
      <c r="K31">
        <v>3006</v>
      </c>
      <c r="L31">
        <v>2819</v>
      </c>
      <c r="N31" s="4" t="s">
        <v>104</v>
      </c>
      <c r="O31">
        <f t="shared" si="3"/>
        <v>0.20232220609579099</v>
      </c>
      <c r="P31">
        <f t="shared" si="2"/>
        <v>0.18027044069221607</v>
      </c>
      <c r="Q31">
        <f t="shared" si="2"/>
        <v>0.17982539985981011</v>
      </c>
      <c r="R31">
        <f t="shared" si="2"/>
        <v>0.18230615016490978</v>
      </c>
      <c r="S31">
        <f t="shared" si="2"/>
        <v>0.17577392120075047</v>
      </c>
      <c r="T31">
        <f t="shared" si="2"/>
        <v>0.16269670187540419</v>
      </c>
      <c r="U31">
        <f t="shared" si="2"/>
        <v>0.1640141241492247</v>
      </c>
      <c r="V31">
        <f t="shared" si="2"/>
        <v>0.1631073144687667</v>
      </c>
      <c r="W31">
        <f t="shared" si="2"/>
        <v>0.18357894736842106</v>
      </c>
      <c r="X31">
        <f t="shared" si="2"/>
        <v>0.19028929543584225</v>
      </c>
      <c r="Y31">
        <f t="shared" si="2"/>
        <v>0.19676135967055211</v>
      </c>
    </row>
    <row r="32" spans="1:25">
      <c r="A32" s="4" t="s">
        <v>105</v>
      </c>
      <c r="B32">
        <v>1200</v>
      </c>
      <c r="C32">
        <v>1392</v>
      </c>
      <c r="D32">
        <v>1345</v>
      </c>
      <c r="E32">
        <v>1319</v>
      </c>
      <c r="F32">
        <v>1178</v>
      </c>
      <c r="G32">
        <v>1123</v>
      </c>
      <c r="H32">
        <v>1291</v>
      </c>
      <c r="I32">
        <v>1339</v>
      </c>
      <c r="J32">
        <v>1269</v>
      </c>
      <c r="K32">
        <v>1420</v>
      </c>
      <c r="L32">
        <v>1436</v>
      </c>
      <c r="N32" s="4" t="s">
        <v>105</v>
      </c>
      <c r="O32">
        <f t="shared" si="3"/>
        <v>0.27051397655545534</v>
      </c>
      <c r="P32">
        <f t="shared" si="2"/>
        <v>0.23746161719549641</v>
      </c>
      <c r="Q32">
        <f t="shared" si="2"/>
        <v>0.23022937350222528</v>
      </c>
      <c r="R32">
        <f t="shared" si="2"/>
        <v>0.23087694731314545</v>
      </c>
      <c r="S32">
        <f t="shared" si="2"/>
        <v>0.19738605898123324</v>
      </c>
      <c r="T32">
        <f t="shared" si="2"/>
        <v>0.17048732351601639</v>
      </c>
      <c r="U32">
        <f t="shared" si="2"/>
        <v>0.18058469716044201</v>
      </c>
      <c r="V32">
        <f t="shared" si="2"/>
        <v>0.17958690987124465</v>
      </c>
      <c r="W32">
        <f t="shared" si="2"/>
        <v>0.1900554141081324</v>
      </c>
      <c r="X32">
        <f t="shared" si="2"/>
        <v>0.20256776034236804</v>
      </c>
      <c r="Y32">
        <f t="shared" si="2"/>
        <v>0.19722565581650872</v>
      </c>
    </row>
    <row r="33" spans="1:25">
      <c r="A33" s="4" t="s">
        <v>106</v>
      </c>
      <c r="B33">
        <v>895</v>
      </c>
      <c r="C33">
        <v>909</v>
      </c>
      <c r="D33">
        <v>886</v>
      </c>
      <c r="E33">
        <v>893</v>
      </c>
      <c r="F33">
        <v>610</v>
      </c>
      <c r="G33">
        <v>497</v>
      </c>
      <c r="H33">
        <v>527</v>
      </c>
      <c r="I33">
        <v>501</v>
      </c>
      <c r="J33">
        <v>505</v>
      </c>
      <c r="K33">
        <v>519</v>
      </c>
      <c r="L33">
        <v>550</v>
      </c>
      <c r="N33" s="4" t="s">
        <v>106</v>
      </c>
      <c r="O33">
        <f t="shared" si="3"/>
        <v>0.34676481983727236</v>
      </c>
      <c r="P33">
        <f t="shared" si="2"/>
        <v>0.30381016042780751</v>
      </c>
      <c r="Q33">
        <f t="shared" si="2"/>
        <v>0.29318332230311051</v>
      </c>
      <c r="R33">
        <f t="shared" si="2"/>
        <v>0.29956390472995637</v>
      </c>
      <c r="S33">
        <f t="shared" si="2"/>
        <v>0.2580372250423012</v>
      </c>
      <c r="T33">
        <f t="shared" si="2"/>
        <v>0.19895916733386709</v>
      </c>
      <c r="U33">
        <f t="shared" si="2"/>
        <v>0.21258572004840662</v>
      </c>
      <c r="V33">
        <f t="shared" si="2"/>
        <v>0.19396051103368175</v>
      </c>
      <c r="W33">
        <f t="shared" si="2"/>
        <v>0.2075626798191533</v>
      </c>
      <c r="X33">
        <f t="shared" si="2"/>
        <v>0.21261777959852521</v>
      </c>
      <c r="Y33">
        <f t="shared" si="2"/>
        <v>0.20833333333333334</v>
      </c>
    </row>
    <row r="34" spans="1:25">
      <c r="A34" s="4" t="s">
        <v>107</v>
      </c>
      <c r="B34">
        <v>2055</v>
      </c>
      <c r="C34">
        <v>4594</v>
      </c>
      <c r="D34">
        <v>3839</v>
      </c>
      <c r="E34">
        <v>3605</v>
      </c>
      <c r="F34">
        <v>1504</v>
      </c>
      <c r="G34">
        <v>1082</v>
      </c>
      <c r="H34">
        <v>982</v>
      </c>
      <c r="I34">
        <v>882</v>
      </c>
      <c r="J34">
        <v>768</v>
      </c>
      <c r="K34">
        <v>649</v>
      </c>
      <c r="L34">
        <v>723</v>
      </c>
      <c r="N34" s="4" t="s">
        <v>107</v>
      </c>
      <c r="O34">
        <f t="shared" si="3"/>
        <v>0.42136559360262454</v>
      </c>
      <c r="P34">
        <f t="shared" si="2"/>
        <v>0.33540191282762649</v>
      </c>
      <c r="Q34">
        <f t="shared" si="2"/>
        <v>0.30451336559054493</v>
      </c>
      <c r="R34">
        <f t="shared" si="2"/>
        <v>0.32859356485279373</v>
      </c>
      <c r="S34">
        <f t="shared" si="2"/>
        <v>0.3339253996447602</v>
      </c>
      <c r="T34">
        <f t="shared" si="2"/>
        <v>0.28830269118038904</v>
      </c>
      <c r="U34">
        <f t="shared" si="2"/>
        <v>0.30649188514357056</v>
      </c>
      <c r="V34">
        <f t="shared" si="2"/>
        <v>0.2921497184498178</v>
      </c>
      <c r="W34">
        <f t="shared" si="2"/>
        <v>0.30536779324055668</v>
      </c>
      <c r="X34">
        <f t="shared" si="2"/>
        <v>0.29499999999999998</v>
      </c>
      <c r="Y34">
        <f t="shared" si="2"/>
        <v>0.31613467424573677</v>
      </c>
    </row>
    <row r="35" spans="1:25" ht="16">
      <c r="A35" s="4" t="s">
        <v>112</v>
      </c>
      <c r="B35">
        <f>SUM(B20:B34)</f>
        <v>93851</v>
      </c>
      <c r="C35">
        <f>SUM(C20:C34)</f>
        <v>105929</v>
      </c>
      <c r="D35">
        <v>109382</v>
      </c>
      <c r="E35">
        <v>104371</v>
      </c>
      <c r="F35">
        <v>107078</v>
      </c>
      <c r="G35">
        <v>98738</v>
      </c>
      <c r="H35">
        <v>89455</v>
      </c>
      <c r="I35">
        <v>81649</v>
      </c>
      <c r="J35">
        <v>73484</v>
      </c>
      <c r="K35">
        <v>67759</v>
      </c>
      <c r="L35">
        <v>65225</v>
      </c>
      <c r="N35" s="2" t="s">
        <v>173</v>
      </c>
      <c r="O35">
        <v>0.18310136682703376</v>
      </c>
      <c r="P35">
        <v>0.16236597870987024</v>
      </c>
      <c r="Q35">
        <v>0.16290146026167054</v>
      </c>
      <c r="R35">
        <v>0.17437590427469235</v>
      </c>
      <c r="S35">
        <v>0.1821220156444269</v>
      </c>
      <c r="T35">
        <v>0.17363610944536964</v>
      </c>
      <c r="U35">
        <v>0.17183256049820014</v>
      </c>
      <c r="V35">
        <v>0.17669463374097311</v>
      </c>
      <c r="W35">
        <v>0.19419507773458455</v>
      </c>
      <c r="X35">
        <v>0.19761493682994832</v>
      </c>
      <c r="Y35">
        <v>0.20427497651111806</v>
      </c>
    </row>
    <row r="37" spans="1:25" ht="16">
      <c r="A37" s="2" t="s">
        <v>113</v>
      </c>
      <c r="B37" s="16">
        <v>2000</v>
      </c>
      <c r="C37" s="19">
        <v>2001</v>
      </c>
      <c r="D37" s="16">
        <v>2002</v>
      </c>
      <c r="E37" s="19">
        <v>2003</v>
      </c>
      <c r="F37" s="16">
        <v>2004</v>
      </c>
      <c r="G37" s="19">
        <v>2005</v>
      </c>
      <c r="H37" s="16">
        <v>2006</v>
      </c>
      <c r="I37" s="19">
        <v>2007</v>
      </c>
      <c r="J37" s="16">
        <v>2008</v>
      </c>
      <c r="K37" s="19">
        <v>2009</v>
      </c>
      <c r="L37" s="16">
        <v>2010</v>
      </c>
    </row>
    <row r="38" spans="1:25">
      <c r="A38" s="4" t="s">
        <v>109</v>
      </c>
      <c r="B38">
        <v>4909</v>
      </c>
      <c r="C38">
        <v>1267</v>
      </c>
      <c r="D38">
        <v>1068</v>
      </c>
      <c r="E38">
        <v>968</v>
      </c>
      <c r="F38">
        <v>651</v>
      </c>
      <c r="G38">
        <v>710</v>
      </c>
      <c r="H38">
        <v>330</v>
      </c>
      <c r="I38">
        <v>230</v>
      </c>
      <c r="J38">
        <v>173</v>
      </c>
      <c r="K38">
        <v>106</v>
      </c>
      <c r="L38">
        <v>70</v>
      </c>
    </row>
    <row r="39" spans="1:25">
      <c r="A39" s="4" t="s">
        <v>111</v>
      </c>
      <c r="B39">
        <v>938</v>
      </c>
      <c r="C39">
        <v>934</v>
      </c>
      <c r="D39">
        <v>787</v>
      </c>
      <c r="E39">
        <v>724</v>
      </c>
      <c r="F39">
        <v>506</v>
      </c>
      <c r="G39">
        <v>519</v>
      </c>
      <c r="H39">
        <v>229</v>
      </c>
      <c r="I39">
        <v>161</v>
      </c>
      <c r="J39">
        <v>118</v>
      </c>
      <c r="K39">
        <v>73</v>
      </c>
      <c r="L39">
        <v>56</v>
      </c>
    </row>
    <row r="40" spans="1:25">
      <c r="A40" s="4" t="s">
        <v>110</v>
      </c>
      <c r="B40">
        <v>826</v>
      </c>
      <c r="C40">
        <v>897</v>
      </c>
      <c r="D40">
        <v>731</v>
      </c>
      <c r="E40">
        <v>710</v>
      </c>
      <c r="F40">
        <v>501</v>
      </c>
      <c r="G40">
        <v>426</v>
      </c>
      <c r="H40">
        <v>248</v>
      </c>
      <c r="I40">
        <v>216</v>
      </c>
      <c r="J40">
        <v>142</v>
      </c>
      <c r="K40">
        <v>127</v>
      </c>
      <c r="L40">
        <v>105</v>
      </c>
    </row>
    <row r="41" spans="1:25">
      <c r="A41" s="4" t="s">
        <v>108</v>
      </c>
      <c r="B41">
        <v>1380</v>
      </c>
      <c r="C41">
        <v>1958</v>
      </c>
      <c r="D41">
        <v>2023</v>
      </c>
      <c r="E41">
        <v>1820</v>
      </c>
      <c r="F41">
        <v>1733</v>
      </c>
      <c r="G41">
        <v>1950</v>
      </c>
      <c r="H41">
        <v>1455</v>
      </c>
      <c r="I41">
        <v>1506</v>
      </c>
      <c r="J41">
        <v>1154</v>
      </c>
      <c r="K41">
        <v>1274</v>
      </c>
      <c r="L41">
        <v>1326</v>
      </c>
    </row>
    <row r="42" spans="1:25" s="13" customFormat="1">
      <c r="A42" s="25" t="s">
        <v>103</v>
      </c>
      <c r="B42" s="22">
        <v>21603</v>
      </c>
      <c r="C42" s="13">
        <v>29278</v>
      </c>
      <c r="D42" s="22">
        <v>29902</v>
      </c>
      <c r="E42" s="22">
        <v>25972</v>
      </c>
      <c r="F42" s="22">
        <v>26705</v>
      </c>
      <c r="G42" s="22">
        <v>25365</v>
      </c>
      <c r="H42" s="22">
        <v>23085</v>
      </c>
      <c r="I42" s="22">
        <v>21571</v>
      </c>
      <c r="J42" s="22">
        <v>16275</v>
      </c>
      <c r="K42" s="22">
        <v>15733</v>
      </c>
      <c r="L42" s="22">
        <v>13554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5">
      <c r="A43" s="4" t="s">
        <v>101</v>
      </c>
      <c r="B43">
        <v>71174</v>
      </c>
      <c r="C43">
        <v>88156</v>
      </c>
      <c r="D43">
        <v>88751</v>
      </c>
      <c r="E43">
        <v>75618</v>
      </c>
      <c r="F43">
        <v>71663</v>
      </c>
      <c r="G43">
        <v>65687</v>
      </c>
      <c r="H43">
        <v>58877</v>
      </c>
      <c r="I43">
        <v>50618</v>
      </c>
      <c r="J43">
        <v>39324</v>
      </c>
      <c r="K43">
        <v>35613</v>
      </c>
      <c r="L43">
        <v>34195</v>
      </c>
    </row>
    <row r="44" spans="1:25">
      <c r="A44" s="4" t="s">
        <v>99</v>
      </c>
      <c r="B44">
        <v>93186</v>
      </c>
      <c r="C44">
        <v>116624</v>
      </c>
      <c r="D44">
        <v>117755</v>
      </c>
      <c r="E44">
        <v>99355</v>
      </c>
      <c r="F44">
        <v>97515</v>
      </c>
      <c r="G44">
        <v>91684</v>
      </c>
      <c r="H44">
        <v>71761</v>
      </c>
      <c r="I44">
        <v>60206</v>
      </c>
      <c r="J44">
        <v>48531</v>
      </c>
      <c r="K44">
        <v>43178</v>
      </c>
      <c r="L44">
        <v>39317</v>
      </c>
    </row>
    <row r="45" spans="1:25">
      <c r="A45" s="4" t="s">
        <v>98</v>
      </c>
      <c r="B45">
        <v>79696</v>
      </c>
      <c r="C45">
        <v>105776</v>
      </c>
      <c r="D45">
        <v>111909</v>
      </c>
      <c r="E45">
        <v>100961</v>
      </c>
      <c r="F45">
        <v>96968</v>
      </c>
      <c r="G45">
        <v>93521</v>
      </c>
      <c r="H45">
        <v>87733</v>
      </c>
      <c r="I45">
        <v>73201</v>
      </c>
      <c r="J45">
        <v>55824</v>
      </c>
      <c r="K45">
        <v>47191</v>
      </c>
      <c r="L45">
        <v>41434</v>
      </c>
    </row>
    <row r="46" spans="1:25">
      <c r="A46" s="4" t="s">
        <v>97</v>
      </c>
      <c r="B46">
        <v>65607</v>
      </c>
      <c r="C46">
        <v>92324</v>
      </c>
      <c r="D46">
        <v>97014</v>
      </c>
      <c r="E46">
        <v>84532</v>
      </c>
      <c r="F46">
        <v>80582</v>
      </c>
      <c r="G46">
        <v>79247</v>
      </c>
      <c r="H46">
        <v>76778</v>
      </c>
      <c r="I46">
        <v>69329</v>
      </c>
      <c r="J46">
        <v>57240</v>
      </c>
      <c r="K46">
        <v>50927</v>
      </c>
      <c r="L46">
        <v>45613</v>
      </c>
    </row>
    <row r="47" spans="1:25">
      <c r="A47" s="4" t="s">
        <v>100</v>
      </c>
      <c r="B47">
        <v>39788</v>
      </c>
      <c r="C47">
        <v>49183</v>
      </c>
      <c r="D47">
        <v>48451</v>
      </c>
      <c r="E47">
        <v>45303</v>
      </c>
      <c r="F47">
        <v>49225</v>
      </c>
      <c r="G47">
        <v>54986</v>
      </c>
      <c r="H47">
        <v>55918</v>
      </c>
      <c r="I47">
        <v>53351</v>
      </c>
      <c r="J47">
        <v>43315</v>
      </c>
      <c r="K47">
        <v>38316</v>
      </c>
      <c r="L47">
        <v>35941</v>
      </c>
    </row>
    <row r="48" spans="1:25">
      <c r="A48" s="4" t="s">
        <v>102</v>
      </c>
      <c r="B48">
        <v>23626</v>
      </c>
      <c r="C48">
        <v>32731</v>
      </c>
      <c r="D48">
        <v>35411</v>
      </c>
      <c r="E48">
        <v>31719</v>
      </c>
      <c r="F48">
        <v>31212</v>
      </c>
      <c r="G48">
        <v>30143</v>
      </c>
      <c r="H48">
        <v>28357</v>
      </c>
      <c r="I48">
        <v>24042</v>
      </c>
      <c r="J48">
        <v>20167</v>
      </c>
      <c r="K48">
        <v>20733</v>
      </c>
      <c r="L48">
        <v>21457</v>
      </c>
    </row>
    <row r="49" spans="1:12">
      <c r="A49" s="4" t="s">
        <v>104</v>
      </c>
      <c r="B49">
        <v>8244</v>
      </c>
      <c r="C49">
        <v>11700</v>
      </c>
      <c r="D49">
        <v>12871</v>
      </c>
      <c r="E49">
        <v>12644</v>
      </c>
      <c r="F49">
        <v>14058</v>
      </c>
      <c r="G49">
        <v>15537</v>
      </c>
      <c r="H49">
        <v>16336</v>
      </c>
      <c r="I49">
        <v>15675</v>
      </c>
      <c r="J49">
        <v>13573</v>
      </c>
      <c r="K49">
        <v>12791</v>
      </c>
      <c r="L49">
        <v>11508</v>
      </c>
    </row>
    <row r="50" spans="1:12">
      <c r="A50" s="4" t="s">
        <v>105</v>
      </c>
      <c r="B50">
        <v>3236</v>
      </c>
      <c r="C50">
        <v>4470</v>
      </c>
      <c r="D50">
        <v>4497</v>
      </c>
      <c r="E50">
        <v>4394</v>
      </c>
      <c r="F50">
        <v>4790</v>
      </c>
      <c r="G50">
        <v>5464</v>
      </c>
      <c r="H50">
        <v>5858</v>
      </c>
      <c r="I50">
        <v>6117</v>
      </c>
      <c r="J50">
        <v>5408</v>
      </c>
      <c r="K50">
        <v>5590</v>
      </c>
      <c r="L50">
        <v>5845</v>
      </c>
    </row>
    <row r="51" spans="1:12">
      <c r="A51" s="4" t="s">
        <v>106</v>
      </c>
      <c r="B51">
        <v>1686</v>
      </c>
      <c r="C51">
        <v>2083</v>
      </c>
      <c r="D51">
        <v>2136</v>
      </c>
      <c r="E51">
        <v>2088</v>
      </c>
      <c r="F51">
        <v>1754</v>
      </c>
      <c r="G51">
        <v>2001</v>
      </c>
      <c r="H51">
        <v>1952</v>
      </c>
      <c r="I51">
        <v>2082</v>
      </c>
      <c r="J51">
        <v>1928</v>
      </c>
      <c r="K51">
        <v>1922</v>
      </c>
      <c r="L51">
        <v>2090</v>
      </c>
    </row>
    <row r="52" spans="1:12">
      <c r="A52" s="4" t="s">
        <v>107</v>
      </c>
      <c r="B52">
        <v>2822</v>
      </c>
      <c r="C52">
        <v>9103</v>
      </c>
      <c r="D52">
        <v>8768</v>
      </c>
      <c r="E52">
        <v>7366</v>
      </c>
      <c r="F52">
        <v>3000</v>
      </c>
      <c r="G52">
        <v>2671</v>
      </c>
      <c r="H52">
        <v>2222</v>
      </c>
      <c r="I52">
        <v>2137</v>
      </c>
      <c r="J52">
        <v>1747</v>
      </c>
      <c r="K52">
        <v>1551</v>
      </c>
      <c r="L52">
        <v>1564</v>
      </c>
    </row>
    <row r="53" spans="1:12">
      <c r="A53" s="4" t="s">
        <v>112</v>
      </c>
      <c r="B53">
        <f>SUM(B38:B52)</f>
        <v>418721</v>
      </c>
      <c r="C53">
        <f t="shared" ref="C53:L53" si="4">SUM(C38:C52)</f>
        <v>546484</v>
      </c>
      <c r="D53">
        <f t="shared" si="4"/>
        <v>562074</v>
      </c>
      <c r="E53">
        <f t="shared" si="4"/>
        <v>494174</v>
      </c>
      <c r="F53">
        <f t="shared" si="4"/>
        <v>480863</v>
      </c>
      <c r="G53">
        <f t="shared" si="4"/>
        <v>469911</v>
      </c>
      <c r="H53">
        <f t="shared" si="4"/>
        <v>431139</v>
      </c>
      <c r="I53">
        <f t="shared" si="4"/>
        <v>380442</v>
      </c>
      <c r="J53">
        <f t="shared" si="4"/>
        <v>304919</v>
      </c>
      <c r="K53">
        <f t="shared" si="4"/>
        <v>275125</v>
      </c>
      <c r="L53">
        <f t="shared" si="4"/>
        <v>254075</v>
      </c>
    </row>
    <row r="55" spans="1:12" ht="16">
      <c r="A55" s="2" t="s">
        <v>173</v>
      </c>
      <c r="B55">
        <v>0.83079107445892919</v>
      </c>
      <c r="C55">
        <v>0.8642185453008866</v>
      </c>
      <c r="D55">
        <v>0.86848126528674741</v>
      </c>
      <c r="E55">
        <v>0.89668872386357001</v>
      </c>
      <c r="F55">
        <v>1.1352645064869114</v>
      </c>
      <c r="G55">
        <v>1.2629515784423904</v>
      </c>
      <c r="H55">
        <v>1.3743931189790406</v>
      </c>
      <c r="I55">
        <v>1.4122197127829614</v>
      </c>
      <c r="J55">
        <v>1.4268374534320749</v>
      </c>
      <c r="K55">
        <v>1.4385674908013812</v>
      </c>
      <c r="L55">
        <v>1.4545305460525417</v>
      </c>
    </row>
    <row r="56" spans="1:12" ht="16">
      <c r="A56" s="2" t="s">
        <v>173</v>
      </c>
      <c r="B56">
        <v>0.18310136682703376</v>
      </c>
      <c r="C56">
        <v>0.16236597870987024</v>
      </c>
      <c r="D56">
        <v>0.16290146026167054</v>
      </c>
      <c r="E56">
        <v>0.17437590427469235</v>
      </c>
      <c r="F56">
        <v>0.1821220156444269</v>
      </c>
      <c r="G56">
        <v>0.17363610944536964</v>
      </c>
      <c r="H56">
        <v>0.17183256049820014</v>
      </c>
      <c r="I56">
        <v>0.17669463374097311</v>
      </c>
      <c r="J56">
        <v>0.19419507773458455</v>
      </c>
      <c r="K56">
        <v>0.19761493682994832</v>
      </c>
      <c r="L56">
        <v>0.20427497651111806</v>
      </c>
    </row>
    <row r="64" spans="1:12">
      <c r="A64" s="4" t="s">
        <v>110</v>
      </c>
      <c r="B64">
        <v>1086</v>
      </c>
      <c r="D64" s="18" t="s">
        <v>149</v>
      </c>
      <c r="E64" s="16" t="s">
        <v>138</v>
      </c>
    </row>
    <row r="65" spans="1:5">
      <c r="A65" s="4" t="s">
        <v>111</v>
      </c>
      <c r="B65">
        <v>1302</v>
      </c>
      <c r="D65" s="4" t="s">
        <v>97</v>
      </c>
      <c r="E65">
        <v>11859</v>
      </c>
    </row>
    <row r="66" spans="1:5">
      <c r="A66" s="4" t="s">
        <v>108</v>
      </c>
      <c r="B66">
        <v>1503</v>
      </c>
      <c r="D66" s="4" t="s">
        <v>98</v>
      </c>
      <c r="E66">
        <v>11057</v>
      </c>
    </row>
    <row r="67" spans="1:5">
      <c r="A67" s="4" t="s">
        <v>106</v>
      </c>
      <c r="B67">
        <v>2463</v>
      </c>
      <c r="D67" s="4" t="s">
        <v>99</v>
      </c>
      <c r="E67">
        <v>10366</v>
      </c>
    </row>
    <row r="68" spans="1:5">
      <c r="A68" s="4" t="s">
        <v>105</v>
      </c>
      <c r="B68">
        <v>4671</v>
      </c>
      <c r="D68" s="4" t="s">
        <v>100</v>
      </c>
      <c r="E68">
        <v>9295</v>
      </c>
    </row>
    <row r="69" spans="1:5">
      <c r="A69" s="4" t="s">
        <v>107</v>
      </c>
      <c r="B69">
        <v>4725</v>
      </c>
      <c r="D69" s="4" t="s">
        <v>101</v>
      </c>
      <c r="E69">
        <v>8497</v>
      </c>
    </row>
    <row r="70" spans="1:5">
      <c r="A70" s="4" t="s">
        <v>109</v>
      </c>
      <c r="B70">
        <v>7545</v>
      </c>
      <c r="D70" s="4" t="s">
        <v>102</v>
      </c>
      <c r="E70">
        <v>5377</v>
      </c>
    </row>
    <row r="71" spans="1:5">
      <c r="A71" s="4" t="s">
        <v>104</v>
      </c>
      <c r="B71">
        <v>11626</v>
      </c>
      <c r="D71" s="4" t="s">
        <v>103</v>
      </c>
      <c r="E71">
        <v>2871</v>
      </c>
    </row>
    <row r="72" spans="1:5">
      <c r="A72" s="4" t="s">
        <v>103</v>
      </c>
      <c r="B72">
        <v>25559</v>
      </c>
      <c r="D72" s="4" t="s">
        <v>104</v>
      </c>
      <c r="E72">
        <v>2819</v>
      </c>
    </row>
    <row r="73" spans="1:5">
      <c r="A73" s="4" t="s">
        <v>102</v>
      </c>
      <c r="B73">
        <v>36655</v>
      </c>
      <c r="D73" s="4" t="s">
        <v>105</v>
      </c>
      <c r="E73">
        <v>1436</v>
      </c>
    </row>
    <row r="74" spans="1:5">
      <c r="A74" s="4" t="s">
        <v>100</v>
      </c>
      <c r="B74">
        <v>63733</v>
      </c>
      <c r="D74" s="4" t="s">
        <v>107</v>
      </c>
      <c r="E74">
        <v>723</v>
      </c>
    </row>
    <row r="75" spans="1:5">
      <c r="A75" s="4" t="s">
        <v>101</v>
      </c>
      <c r="B75">
        <v>99891</v>
      </c>
      <c r="D75" s="4" t="s">
        <v>106</v>
      </c>
      <c r="E75">
        <v>550</v>
      </c>
    </row>
    <row r="76" spans="1:5">
      <c r="A76" s="4" t="s">
        <v>97</v>
      </c>
      <c r="B76">
        <v>101755</v>
      </c>
      <c r="D76" s="4" t="s">
        <v>108</v>
      </c>
      <c r="E76">
        <v>268</v>
      </c>
    </row>
    <row r="77" spans="1:5">
      <c r="A77" s="4" t="s">
        <v>98</v>
      </c>
      <c r="B77">
        <v>118171</v>
      </c>
      <c r="D77" s="4" t="s">
        <v>109</v>
      </c>
      <c r="E77">
        <v>51</v>
      </c>
    </row>
    <row r="78" spans="1:5">
      <c r="A78" s="4" t="s">
        <v>99</v>
      </c>
      <c r="B78">
        <v>136286</v>
      </c>
      <c r="D78" s="4" t="s">
        <v>111</v>
      </c>
      <c r="E78">
        <v>31</v>
      </c>
    </row>
    <row r="79" spans="1:5">
      <c r="D79" s="4" t="s">
        <v>110</v>
      </c>
      <c r="E79">
        <v>25</v>
      </c>
    </row>
    <row r="82" spans="1:12">
      <c r="A82" s="18" t="s">
        <v>65</v>
      </c>
      <c r="B82" s="16">
        <v>2000</v>
      </c>
      <c r="C82" s="19">
        <v>2001</v>
      </c>
      <c r="D82" s="16">
        <v>2002</v>
      </c>
      <c r="E82" s="19">
        <v>2003</v>
      </c>
      <c r="F82" s="16">
        <v>2004</v>
      </c>
      <c r="G82" s="19">
        <v>2005</v>
      </c>
      <c r="H82" s="16">
        <v>2006</v>
      </c>
      <c r="I82" s="19">
        <v>2007</v>
      </c>
      <c r="J82" s="16">
        <v>2008</v>
      </c>
      <c r="K82" s="19">
        <v>2009</v>
      </c>
      <c r="L82" s="16">
        <v>2010</v>
      </c>
    </row>
    <row r="84" spans="1:12">
      <c r="A84" s="4" t="s">
        <v>97</v>
      </c>
      <c r="B84">
        <v>13982</v>
      </c>
      <c r="C84">
        <v>16908</v>
      </c>
      <c r="D84">
        <v>18464</v>
      </c>
      <c r="E84">
        <v>17135</v>
      </c>
      <c r="F84">
        <v>17366</v>
      </c>
      <c r="G84">
        <v>16476</v>
      </c>
      <c r="H84">
        <v>15545</v>
      </c>
      <c r="I84">
        <v>15045</v>
      </c>
      <c r="J84">
        <v>14145</v>
      </c>
      <c r="K84">
        <v>12646</v>
      </c>
      <c r="L84">
        <v>11859</v>
      </c>
    </row>
    <row r="85" spans="1:12">
      <c r="A85" s="4" t="s">
        <v>98</v>
      </c>
      <c r="B85">
        <v>17279</v>
      </c>
      <c r="C85">
        <v>20341</v>
      </c>
      <c r="D85">
        <v>21428</v>
      </c>
      <c r="E85">
        <v>20515</v>
      </c>
      <c r="F85">
        <v>20666</v>
      </c>
      <c r="G85">
        <v>19249</v>
      </c>
      <c r="H85">
        <v>18105</v>
      </c>
      <c r="I85">
        <v>15766</v>
      </c>
      <c r="J85">
        <v>13260</v>
      </c>
      <c r="K85">
        <v>11974</v>
      </c>
      <c r="L85">
        <v>11057</v>
      </c>
    </row>
    <row r="86" spans="1:12">
      <c r="A86" s="4" t="s">
        <v>99</v>
      </c>
      <c r="B86">
        <v>19524</v>
      </c>
      <c r="C86">
        <v>21063</v>
      </c>
      <c r="D86">
        <v>21734</v>
      </c>
      <c r="E86">
        <v>20249</v>
      </c>
      <c r="F86">
        <v>23663</v>
      </c>
      <c r="G86">
        <v>21240</v>
      </c>
      <c r="H86">
        <v>15365</v>
      </c>
      <c r="I86">
        <v>13572</v>
      </c>
      <c r="J86">
        <v>12041</v>
      </c>
      <c r="K86">
        <v>10970</v>
      </c>
      <c r="L86">
        <v>10366</v>
      </c>
    </row>
    <row r="87" spans="1:12">
      <c r="A87" s="4" t="s">
        <v>100</v>
      </c>
      <c r="B87">
        <v>8331</v>
      </c>
      <c r="C87">
        <v>8939</v>
      </c>
      <c r="D87">
        <v>9111</v>
      </c>
      <c r="E87">
        <v>9075</v>
      </c>
      <c r="F87">
        <v>10524</v>
      </c>
      <c r="G87">
        <v>10964</v>
      </c>
      <c r="H87">
        <v>11256</v>
      </c>
      <c r="I87">
        <v>11056</v>
      </c>
      <c r="J87">
        <v>10191</v>
      </c>
      <c r="K87">
        <v>9505</v>
      </c>
      <c r="L87">
        <v>9295</v>
      </c>
    </row>
    <row r="88" spans="1:12">
      <c r="A88" s="4" t="s">
        <v>101</v>
      </c>
      <c r="B88">
        <v>14829</v>
      </c>
      <c r="C88">
        <v>15927</v>
      </c>
      <c r="D88">
        <v>15849</v>
      </c>
      <c r="E88">
        <v>15165</v>
      </c>
      <c r="F88">
        <v>15161</v>
      </c>
      <c r="G88">
        <v>13417</v>
      </c>
      <c r="H88">
        <v>12334</v>
      </c>
      <c r="I88">
        <v>10978</v>
      </c>
      <c r="J88">
        <v>9580</v>
      </c>
      <c r="K88">
        <v>8543</v>
      </c>
      <c r="L88">
        <v>8497</v>
      </c>
    </row>
    <row r="89" spans="1:12">
      <c r="A89" s="4" t="s">
        <v>102</v>
      </c>
      <c r="B89">
        <v>5359</v>
      </c>
      <c r="C89">
        <v>6138</v>
      </c>
      <c r="D89">
        <v>6760</v>
      </c>
      <c r="E89">
        <v>6666</v>
      </c>
      <c r="F89">
        <v>6554</v>
      </c>
      <c r="G89">
        <v>5947</v>
      </c>
      <c r="H89">
        <v>5662</v>
      </c>
      <c r="I89">
        <v>4864</v>
      </c>
      <c r="J89">
        <v>4732</v>
      </c>
      <c r="K89">
        <v>4884</v>
      </c>
      <c r="L89">
        <v>5377</v>
      </c>
    </row>
    <row r="90" spans="1:12">
      <c r="A90" s="4" t="s">
        <v>103</v>
      </c>
      <c r="B90">
        <v>4805</v>
      </c>
      <c r="C90">
        <v>5422</v>
      </c>
      <c r="D90">
        <v>5535</v>
      </c>
      <c r="E90">
        <v>5477</v>
      </c>
      <c r="F90">
        <v>5819</v>
      </c>
      <c r="G90">
        <v>5021</v>
      </c>
      <c r="H90">
        <v>4596</v>
      </c>
      <c r="I90">
        <v>4078</v>
      </c>
      <c r="J90">
        <v>3513</v>
      </c>
      <c r="K90">
        <v>3282</v>
      </c>
      <c r="L90">
        <v>2871</v>
      </c>
    </row>
    <row r="91" spans="1:12">
      <c r="A91" s="4" t="s">
        <v>104</v>
      </c>
      <c r="B91">
        <v>2091</v>
      </c>
      <c r="C91">
        <v>2573</v>
      </c>
      <c r="D91">
        <v>2822</v>
      </c>
      <c r="E91">
        <v>2819</v>
      </c>
      <c r="F91">
        <v>2998</v>
      </c>
      <c r="G91">
        <v>3019</v>
      </c>
      <c r="H91">
        <v>3205</v>
      </c>
      <c r="I91">
        <v>3055</v>
      </c>
      <c r="J91">
        <v>3052</v>
      </c>
      <c r="K91">
        <v>3006</v>
      </c>
      <c r="L91">
        <v>2819</v>
      </c>
    </row>
    <row r="92" spans="1:12">
      <c r="A92" s="4" t="s">
        <v>105</v>
      </c>
      <c r="B92">
        <v>1200</v>
      </c>
      <c r="C92">
        <v>1392</v>
      </c>
      <c r="D92">
        <v>1345</v>
      </c>
      <c r="E92">
        <v>1319</v>
      </c>
      <c r="F92">
        <v>1178</v>
      </c>
      <c r="G92">
        <v>1123</v>
      </c>
      <c r="H92">
        <v>1291</v>
      </c>
      <c r="I92">
        <v>1339</v>
      </c>
      <c r="J92">
        <v>1269</v>
      </c>
      <c r="K92">
        <v>1420</v>
      </c>
      <c r="L92">
        <v>1436</v>
      </c>
    </row>
    <row r="93" spans="1:12">
      <c r="A93" s="4" t="s">
        <v>107</v>
      </c>
      <c r="B93">
        <v>2055</v>
      </c>
      <c r="C93">
        <v>4594</v>
      </c>
      <c r="D93">
        <v>3839</v>
      </c>
      <c r="E93">
        <v>3605</v>
      </c>
      <c r="F93">
        <v>1504</v>
      </c>
      <c r="G93">
        <v>1082</v>
      </c>
      <c r="H93">
        <v>982</v>
      </c>
      <c r="I93">
        <v>882</v>
      </c>
      <c r="J93">
        <v>768</v>
      </c>
      <c r="K93">
        <v>649</v>
      </c>
      <c r="L93">
        <v>723</v>
      </c>
    </row>
    <row r="94" spans="1:12">
      <c r="A94" s="4" t="s">
        <v>106</v>
      </c>
      <c r="B94">
        <v>895</v>
      </c>
      <c r="C94">
        <v>909</v>
      </c>
      <c r="D94">
        <v>886</v>
      </c>
      <c r="E94">
        <v>893</v>
      </c>
      <c r="F94">
        <v>610</v>
      </c>
      <c r="G94">
        <v>497</v>
      </c>
      <c r="H94">
        <v>527</v>
      </c>
      <c r="I94">
        <v>501</v>
      </c>
      <c r="J94">
        <v>505</v>
      </c>
      <c r="K94">
        <v>519</v>
      </c>
      <c r="L94">
        <v>550</v>
      </c>
    </row>
    <row r="95" spans="1:12">
      <c r="A95" s="4" t="s">
        <v>108</v>
      </c>
      <c r="B95">
        <v>350</v>
      </c>
      <c r="C95">
        <v>436</v>
      </c>
      <c r="D95">
        <v>427</v>
      </c>
      <c r="E95">
        <v>443</v>
      </c>
      <c r="F95">
        <v>365</v>
      </c>
      <c r="G95">
        <v>353</v>
      </c>
      <c r="H95">
        <v>300</v>
      </c>
      <c r="I95">
        <v>265</v>
      </c>
      <c r="J95">
        <v>211</v>
      </c>
      <c r="K95">
        <v>225</v>
      </c>
      <c r="L95">
        <v>268</v>
      </c>
    </row>
    <row r="96" spans="1:12">
      <c r="A96" s="4" t="s">
        <v>109</v>
      </c>
      <c r="B96">
        <v>2418</v>
      </c>
      <c r="C96">
        <v>658</v>
      </c>
      <c r="D96">
        <v>569</v>
      </c>
      <c r="E96">
        <v>537</v>
      </c>
      <c r="F96">
        <v>323</v>
      </c>
      <c r="G96">
        <v>175</v>
      </c>
      <c r="H96">
        <v>146</v>
      </c>
      <c r="I96">
        <v>112</v>
      </c>
      <c r="J96">
        <v>105</v>
      </c>
      <c r="K96">
        <v>63</v>
      </c>
      <c r="L96">
        <v>51</v>
      </c>
    </row>
    <row r="97" spans="1:12">
      <c r="A97" s="4" t="s">
        <v>111</v>
      </c>
      <c r="B97">
        <v>418</v>
      </c>
      <c r="C97">
        <v>396</v>
      </c>
      <c r="D97">
        <v>394</v>
      </c>
      <c r="E97">
        <v>297</v>
      </c>
      <c r="F97">
        <v>208</v>
      </c>
      <c r="G97">
        <v>100</v>
      </c>
      <c r="H97">
        <v>77</v>
      </c>
      <c r="I97">
        <v>69</v>
      </c>
      <c r="J97">
        <v>70</v>
      </c>
      <c r="K97">
        <v>32</v>
      </c>
      <c r="L97">
        <v>31</v>
      </c>
    </row>
    <row r="98" spans="1:12">
      <c r="A98" s="4" t="s">
        <v>110</v>
      </c>
      <c r="B98">
        <v>315</v>
      </c>
      <c r="C98">
        <v>233</v>
      </c>
      <c r="D98">
        <v>219</v>
      </c>
      <c r="E98">
        <v>176</v>
      </c>
      <c r="F98">
        <v>139</v>
      </c>
      <c r="G98">
        <v>75</v>
      </c>
      <c r="H98">
        <v>64</v>
      </c>
      <c r="I98">
        <v>67</v>
      </c>
      <c r="J98">
        <v>42</v>
      </c>
      <c r="K98">
        <v>41</v>
      </c>
      <c r="L98">
        <v>25</v>
      </c>
    </row>
  </sheetData>
  <sortState ref="A84:L98">
    <sortCondition descending="1" ref="L84"/>
  </sortState>
  <phoneticPr fontId="2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workbookViewId="0">
      <selection activeCell="AC2" sqref="AC2"/>
    </sheetView>
  </sheetViews>
  <sheetFormatPr baseColWidth="10" defaultColWidth="11.1640625" defaultRowHeight="15" x14ac:dyDescent="0"/>
  <sheetData>
    <row r="1" spans="1:34">
      <c r="A1" s="12" t="s">
        <v>29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AB1" s="5" t="s">
        <v>4</v>
      </c>
      <c r="AC1" s="5" t="s">
        <v>9</v>
      </c>
      <c r="AD1" s="5" t="s">
        <v>10</v>
      </c>
      <c r="AE1" s="5" t="s">
        <v>7</v>
      </c>
      <c r="AF1" s="5" t="s">
        <v>11</v>
      </c>
      <c r="AG1" s="5" t="s">
        <v>8</v>
      </c>
      <c r="AH1" s="5" t="s">
        <v>5</v>
      </c>
    </row>
    <row r="2" spans="1:34">
      <c r="A2" t="s">
        <v>28</v>
      </c>
      <c r="B2">
        <v>24580</v>
      </c>
      <c r="C2">
        <v>28274</v>
      </c>
      <c r="D2">
        <v>27575</v>
      </c>
      <c r="E2">
        <v>25673</v>
      </c>
      <c r="F2">
        <v>26741</v>
      </c>
      <c r="G2">
        <v>24451</v>
      </c>
      <c r="H2">
        <v>23285</v>
      </c>
      <c r="I2">
        <v>21106</v>
      </c>
      <c r="J2">
        <v>18913</v>
      </c>
      <c r="K2">
        <v>16683</v>
      </c>
      <c r="L2">
        <v>16281</v>
      </c>
      <c r="AB2" s="5">
        <v>1990</v>
      </c>
      <c r="AC2" s="5">
        <v>0.241119099</v>
      </c>
      <c r="AD2" s="5">
        <v>4.3569948999999997E-2</v>
      </c>
      <c r="AE2" s="5"/>
      <c r="AF2" s="5">
        <v>1.3616913E-2</v>
      </c>
      <c r="AG2" s="5">
        <v>1.7335285999999998E-2</v>
      </c>
      <c r="AH2" s="5">
        <v>1.5289390999999999E-2</v>
      </c>
    </row>
    <row r="3" spans="1:34">
      <c r="A3" t="s">
        <v>30</v>
      </c>
      <c r="B3">
        <v>22393</v>
      </c>
      <c r="C3">
        <v>24658</v>
      </c>
      <c r="D3">
        <v>26044</v>
      </c>
      <c r="E3">
        <v>25095</v>
      </c>
      <c r="F3">
        <v>26276</v>
      </c>
      <c r="G3">
        <v>24538</v>
      </c>
      <c r="H3">
        <v>22596</v>
      </c>
      <c r="I3">
        <v>19941</v>
      </c>
      <c r="J3">
        <v>17811</v>
      </c>
      <c r="K3">
        <v>16349</v>
      </c>
      <c r="L3">
        <v>15612</v>
      </c>
      <c r="AB3" s="5">
        <v>1991</v>
      </c>
      <c r="AC3" s="5">
        <v>0.24751173900000001</v>
      </c>
      <c r="AD3" s="5">
        <v>4.4608855000000003E-2</v>
      </c>
      <c r="AE3" s="5"/>
      <c r="AF3" s="5">
        <v>1.322594E-2</v>
      </c>
      <c r="AG3" s="5">
        <v>2.1863844E-2</v>
      </c>
      <c r="AH3" s="5">
        <v>1.4661326000000001E-2</v>
      </c>
    </row>
    <row r="4" spans="1:34">
      <c r="A4" t="s">
        <v>31</v>
      </c>
      <c r="B4">
        <v>17194</v>
      </c>
      <c r="C4">
        <v>20244</v>
      </c>
      <c r="D4">
        <v>21909</v>
      </c>
      <c r="E4">
        <v>21156</v>
      </c>
      <c r="F4">
        <v>22835</v>
      </c>
      <c r="G4">
        <v>21895</v>
      </c>
      <c r="H4">
        <v>19993</v>
      </c>
      <c r="I4">
        <v>18158</v>
      </c>
      <c r="J4">
        <v>16270</v>
      </c>
      <c r="K4">
        <v>14900</v>
      </c>
      <c r="L4">
        <v>14264</v>
      </c>
      <c r="AB4" s="5">
        <v>1992</v>
      </c>
      <c r="AC4" s="5">
        <v>0.28931539499999998</v>
      </c>
      <c r="AD4" s="5">
        <v>4.3839623000000001E-2</v>
      </c>
      <c r="AE4" s="5"/>
      <c r="AF4" s="5">
        <v>1.2625235E-2</v>
      </c>
      <c r="AG4" s="5">
        <v>2.0156305999999999E-2</v>
      </c>
      <c r="AH4" s="5">
        <v>1.3588065E-2</v>
      </c>
    </row>
    <row r="5" spans="1:34">
      <c r="A5" t="s">
        <v>32</v>
      </c>
      <c r="B5">
        <v>17663</v>
      </c>
      <c r="C5">
        <v>19246</v>
      </c>
      <c r="D5">
        <v>19459</v>
      </c>
      <c r="E5">
        <v>17492</v>
      </c>
      <c r="F5">
        <v>17250</v>
      </c>
      <c r="G5">
        <v>15250</v>
      </c>
      <c r="H5">
        <v>12282</v>
      </c>
      <c r="I5">
        <v>12208</v>
      </c>
      <c r="J5">
        <v>11524</v>
      </c>
      <c r="K5">
        <v>11008</v>
      </c>
      <c r="L5">
        <v>10653</v>
      </c>
      <c r="AB5" s="5">
        <v>1993</v>
      </c>
      <c r="AC5" s="5">
        <v>0.30865235499999999</v>
      </c>
      <c r="AD5" s="5">
        <v>4.5700552999999998E-2</v>
      </c>
      <c r="AE5" s="5"/>
      <c r="AF5" s="5">
        <v>1.2588914E-2</v>
      </c>
      <c r="AG5" s="5">
        <v>1.9298211999999999E-2</v>
      </c>
      <c r="AH5" s="5">
        <v>1.2471632999999999E-2</v>
      </c>
    </row>
    <row r="6" spans="1:34">
      <c r="A6" t="s">
        <v>33</v>
      </c>
      <c r="B6">
        <v>7245</v>
      </c>
      <c r="C6">
        <v>8410</v>
      </c>
      <c r="D6">
        <v>9308</v>
      </c>
      <c r="E6">
        <v>9452</v>
      </c>
      <c r="F6">
        <v>9410</v>
      </c>
      <c r="G6">
        <v>8831</v>
      </c>
      <c r="H6">
        <v>8418</v>
      </c>
      <c r="I6">
        <v>7938</v>
      </c>
      <c r="J6">
        <v>7002</v>
      </c>
      <c r="K6">
        <v>6782</v>
      </c>
      <c r="L6">
        <v>6572</v>
      </c>
      <c r="AB6" s="5">
        <v>1994</v>
      </c>
      <c r="AC6" s="5">
        <v>0.30840370099999997</v>
      </c>
      <c r="AD6" s="5">
        <v>4.5061125E-2</v>
      </c>
      <c r="AE6" s="5"/>
      <c r="AF6" s="5">
        <v>1.2313391E-2</v>
      </c>
      <c r="AG6" s="5">
        <v>1.8649675000000001E-2</v>
      </c>
      <c r="AH6" s="5">
        <v>1.1563441000000001E-2</v>
      </c>
    </row>
    <row r="7" spans="1:34">
      <c r="AB7" s="5">
        <v>1995</v>
      </c>
      <c r="AC7" s="5">
        <v>0.30976334700000002</v>
      </c>
      <c r="AD7" s="5">
        <v>4.4316834999999999E-2</v>
      </c>
      <c r="AE7" s="5"/>
      <c r="AF7" s="5">
        <v>1.192354E-2</v>
      </c>
      <c r="AG7" s="5">
        <v>1.8125174000000001E-2</v>
      </c>
      <c r="AH7" s="5">
        <v>1.1657293000000001E-2</v>
      </c>
    </row>
    <row r="8" spans="1:34">
      <c r="A8" s="3" t="s">
        <v>36</v>
      </c>
      <c r="B8" s="3">
        <f t="shared" ref="B8:L8" si="0">B3+B6</f>
        <v>29638</v>
      </c>
      <c r="C8" s="3">
        <f t="shared" si="0"/>
        <v>33068</v>
      </c>
      <c r="D8" s="3">
        <f t="shared" si="0"/>
        <v>35352</v>
      </c>
      <c r="E8" s="3">
        <f t="shared" si="0"/>
        <v>34547</v>
      </c>
      <c r="F8" s="3">
        <f t="shared" si="0"/>
        <v>35686</v>
      </c>
      <c r="G8" s="3">
        <f t="shared" si="0"/>
        <v>33369</v>
      </c>
      <c r="H8" s="3">
        <f t="shared" si="0"/>
        <v>31014</v>
      </c>
      <c r="I8" s="3">
        <f t="shared" si="0"/>
        <v>27879</v>
      </c>
      <c r="J8" s="3">
        <f t="shared" si="0"/>
        <v>24813</v>
      </c>
      <c r="K8" s="3">
        <f t="shared" si="0"/>
        <v>23131</v>
      </c>
      <c r="L8" s="3">
        <f t="shared" si="0"/>
        <v>22184</v>
      </c>
      <c r="AB8" s="5">
        <v>1996</v>
      </c>
      <c r="AC8" s="5">
        <v>0.29687386599999999</v>
      </c>
      <c r="AD8" s="5">
        <v>4.5343074999999997E-2</v>
      </c>
      <c r="AE8" s="5"/>
      <c r="AF8" s="5">
        <v>1.1932033999999999E-2</v>
      </c>
      <c r="AG8" s="5">
        <v>1.7449135000000001E-2</v>
      </c>
      <c r="AH8" s="5">
        <v>1.1222777E-2</v>
      </c>
    </row>
    <row r="9" spans="1:34">
      <c r="A9" s="3" t="s">
        <v>37</v>
      </c>
      <c r="B9" s="3">
        <f t="shared" ref="B9:L9" si="1">B4+B5</f>
        <v>34857</v>
      </c>
      <c r="C9" s="3">
        <f t="shared" si="1"/>
        <v>39490</v>
      </c>
      <c r="D9" s="3">
        <f t="shared" si="1"/>
        <v>41368</v>
      </c>
      <c r="E9" s="3">
        <f t="shared" si="1"/>
        <v>38648</v>
      </c>
      <c r="F9" s="3">
        <f t="shared" si="1"/>
        <v>40085</v>
      </c>
      <c r="G9" s="3">
        <f t="shared" si="1"/>
        <v>37145</v>
      </c>
      <c r="H9" s="3">
        <f t="shared" si="1"/>
        <v>32275</v>
      </c>
      <c r="I9" s="3">
        <f t="shared" si="1"/>
        <v>30366</v>
      </c>
      <c r="J9" s="3">
        <f t="shared" si="1"/>
        <v>27794</v>
      </c>
      <c r="K9" s="3">
        <f t="shared" si="1"/>
        <v>25908</v>
      </c>
      <c r="L9" s="3">
        <f t="shared" si="1"/>
        <v>24917</v>
      </c>
      <c r="AB9" s="5">
        <v>1997</v>
      </c>
      <c r="AC9" s="5">
        <v>0.27978817299999997</v>
      </c>
      <c r="AD9" s="5">
        <v>4.4991468E-2</v>
      </c>
      <c r="AE9" s="5"/>
      <c r="AF9" s="5">
        <v>1.2394578999999999E-2</v>
      </c>
      <c r="AG9" s="5">
        <v>1.6774487000000001E-2</v>
      </c>
      <c r="AH9" s="5">
        <v>1.0985992E-2</v>
      </c>
    </row>
    <row r="10" spans="1:34">
      <c r="A10" s="3" t="s">
        <v>34</v>
      </c>
      <c r="B10" s="3">
        <f t="shared" ref="B10:L10" si="2">B2</f>
        <v>24580</v>
      </c>
      <c r="C10" s="3">
        <f t="shared" si="2"/>
        <v>28274</v>
      </c>
      <c r="D10" s="3">
        <f t="shared" si="2"/>
        <v>27575</v>
      </c>
      <c r="E10" s="3">
        <f t="shared" si="2"/>
        <v>25673</v>
      </c>
      <c r="F10" s="3">
        <f t="shared" si="2"/>
        <v>26741</v>
      </c>
      <c r="G10" s="3">
        <f t="shared" si="2"/>
        <v>24451</v>
      </c>
      <c r="H10" s="3">
        <f t="shared" si="2"/>
        <v>23285</v>
      </c>
      <c r="I10" s="3">
        <f t="shared" si="2"/>
        <v>21106</v>
      </c>
      <c r="J10" s="3">
        <f t="shared" si="2"/>
        <v>18913</v>
      </c>
      <c r="K10" s="3">
        <f t="shared" si="2"/>
        <v>16683</v>
      </c>
      <c r="L10" s="3">
        <f t="shared" si="2"/>
        <v>16281</v>
      </c>
      <c r="AB10" s="5">
        <v>1998</v>
      </c>
      <c r="AC10" s="5">
        <v>0.25954160399999998</v>
      </c>
      <c r="AD10" s="5">
        <v>4.7674208000000003E-2</v>
      </c>
      <c r="AE10" s="5"/>
      <c r="AF10" s="5">
        <v>1.2834556E-2</v>
      </c>
      <c r="AG10" s="5">
        <v>1.5426311999999999E-2</v>
      </c>
      <c r="AH10" s="5">
        <v>1.0512535999999999E-2</v>
      </c>
    </row>
    <row r="11" spans="1:34">
      <c r="AB11" s="5">
        <v>1999</v>
      </c>
      <c r="AC11" s="5">
        <v>0.22599287400000001</v>
      </c>
      <c r="AD11" s="5">
        <v>4.5722974E-2</v>
      </c>
      <c r="AE11" s="5"/>
      <c r="AF11" s="5">
        <v>1.2726532E-2</v>
      </c>
      <c r="AG11" s="5">
        <v>1.4694677E-2</v>
      </c>
      <c r="AH11" s="5">
        <v>1.0682753999999999E-2</v>
      </c>
    </row>
    <row r="12" spans="1:34">
      <c r="AB12" s="5">
        <v>2000</v>
      </c>
      <c r="AC12" s="5">
        <v>0.18310136699999999</v>
      </c>
      <c r="AD12" s="5">
        <v>4.5022384999999998E-2</v>
      </c>
      <c r="AE12" s="5"/>
      <c r="AF12" s="5">
        <v>1.2983274E-2</v>
      </c>
      <c r="AG12" s="5">
        <v>1.4666413999999999E-2</v>
      </c>
      <c r="AH12" s="5">
        <v>1.0639526E-2</v>
      </c>
    </row>
    <row r="13" spans="1:34">
      <c r="AB13" s="5">
        <v>2001</v>
      </c>
      <c r="AC13" s="5">
        <v>0.16236597899999999</v>
      </c>
      <c r="AD13" s="5">
        <v>4.7753070000000002E-2</v>
      </c>
      <c r="AE13" s="5">
        <v>1.8654931E-2</v>
      </c>
      <c r="AF13" s="5">
        <v>1.3722866E-2</v>
      </c>
      <c r="AG13" s="5">
        <v>1.3905275999999999E-2</v>
      </c>
      <c r="AH13" s="5">
        <v>1.100654E-2</v>
      </c>
    </row>
    <row r="14" spans="1:34">
      <c r="A14" t="s">
        <v>5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H14" t="s">
        <v>36</v>
      </c>
      <c r="I14" t="s">
        <v>37</v>
      </c>
      <c r="J14" t="s">
        <v>34</v>
      </c>
      <c r="AB14" s="5">
        <v>2002</v>
      </c>
      <c r="AC14" s="5">
        <v>0.16290146</v>
      </c>
      <c r="AD14" s="5">
        <v>4.9916942999999998E-2</v>
      </c>
      <c r="AE14" s="5">
        <v>1.8107717999999998E-2</v>
      </c>
      <c r="AF14" s="5">
        <v>1.4485830999999999E-2</v>
      </c>
      <c r="AG14" s="5">
        <v>1.4158156999999999E-2</v>
      </c>
      <c r="AH14" s="5">
        <v>1.1344735999999999E-2</v>
      </c>
    </row>
    <row r="15" spans="1:34">
      <c r="A15">
        <v>1990</v>
      </c>
      <c r="B15">
        <v>1694</v>
      </c>
      <c r="C15">
        <v>256</v>
      </c>
      <c r="D15">
        <v>659</v>
      </c>
      <c r="E15">
        <v>2608</v>
      </c>
      <c r="F15">
        <v>5217</v>
      </c>
      <c r="H15">
        <f>E15</f>
        <v>2608</v>
      </c>
      <c r="I15">
        <f>C15+D15</f>
        <v>915</v>
      </c>
      <c r="J15">
        <f t="shared" ref="J15:J35" si="3">B15</f>
        <v>1694</v>
      </c>
      <c r="AB15" s="5">
        <v>2003</v>
      </c>
      <c r="AC15" s="5">
        <v>0.174375904</v>
      </c>
      <c r="AD15" s="5">
        <v>4.7106690999999999E-2</v>
      </c>
      <c r="AE15" s="5">
        <v>1.8077996999999998E-2</v>
      </c>
      <c r="AF15" s="5">
        <v>1.4628762999999999E-2</v>
      </c>
      <c r="AG15" s="5">
        <v>1.410674E-2</v>
      </c>
      <c r="AH15" s="5">
        <v>1.2075399000000001E-2</v>
      </c>
    </row>
    <row r="16" spans="1:34">
      <c r="A16">
        <v>1991</v>
      </c>
      <c r="B16">
        <v>1496</v>
      </c>
      <c r="C16">
        <v>242</v>
      </c>
      <c r="D16">
        <v>548</v>
      </c>
      <c r="E16">
        <v>2282</v>
      </c>
      <c r="F16">
        <v>4568</v>
      </c>
      <c r="H16">
        <f t="shared" ref="H16:H35" si="4">E16</f>
        <v>2282</v>
      </c>
      <c r="I16">
        <f t="shared" ref="I16:I35" si="5">C16+D16</f>
        <v>790</v>
      </c>
      <c r="J16">
        <f t="shared" si="3"/>
        <v>1496</v>
      </c>
      <c r="AB16" s="5">
        <v>2004</v>
      </c>
      <c r="AC16" s="5">
        <v>0.182122016</v>
      </c>
      <c r="AD16" s="5">
        <v>4.5911249000000001E-2</v>
      </c>
      <c r="AE16" s="5">
        <v>1.7526532000000001E-2</v>
      </c>
      <c r="AF16" s="5">
        <v>1.5129905000000001E-2</v>
      </c>
      <c r="AG16" s="5">
        <v>1.3099595E-2</v>
      </c>
      <c r="AH16" s="5">
        <v>1.1453625E-2</v>
      </c>
    </row>
    <row r="17" spans="1:34">
      <c r="A17">
        <v>1992</v>
      </c>
      <c r="B17">
        <v>1347</v>
      </c>
      <c r="C17">
        <v>204</v>
      </c>
      <c r="D17">
        <v>469</v>
      </c>
      <c r="E17">
        <v>2209</v>
      </c>
      <c r="F17">
        <v>4229</v>
      </c>
      <c r="H17">
        <f t="shared" si="4"/>
        <v>2209</v>
      </c>
      <c r="I17">
        <f t="shared" si="5"/>
        <v>673</v>
      </c>
      <c r="J17">
        <f t="shared" si="3"/>
        <v>1347</v>
      </c>
      <c r="AB17" s="5">
        <v>2005</v>
      </c>
      <c r="AC17" s="5">
        <v>0.17363610900000001</v>
      </c>
      <c r="AD17" s="5">
        <v>4.6898425000000001E-2</v>
      </c>
      <c r="AE17" s="5">
        <v>1.707796E-2</v>
      </c>
      <c r="AF17" s="5">
        <v>1.5865167999999999E-2</v>
      </c>
      <c r="AG17" s="5">
        <v>1.22173E-2</v>
      </c>
      <c r="AH17" s="5">
        <v>1.1803054E-2</v>
      </c>
    </row>
    <row r="18" spans="1:34">
      <c r="A18">
        <v>1993</v>
      </c>
      <c r="B18">
        <v>1241</v>
      </c>
      <c r="C18">
        <v>186</v>
      </c>
      <c r="D18">
        <v>427</v>
      </c>
      <c r="E18">
        <v>1960</v>
      </c>
      <c r="F18">
        <v>3814</v>
      </c>
      <c r="H18">
        <f t="shared" si="4"/>
        <v>1960</v>
      </c>
      <c r="I18">
        <f t="shared" si="5"/>
        <v>613</v>
      </c>
      <c r="J18">
        <f t="shared" si="3"/>
        <v>1241</v>
      </c>
      <c r="AB18" s="5">
        <v>2006</v>
      </c>
      <c r="AC18" s="5">
        <v>0.17183256</v>
      </c>
      <c r="AD18" s="5">
        <v>4.4077727999999997E-2</v>
      </c>
      <c r="AE18" s="5">
        <v>1.6741677999999999E-2</v>
      </c>
      <c r="AF18" s="5">
        <v>1.6317129999999999E-2</v>
      </c>
      <c r="AG18" s="5">
        <v>1.1910778E-2</v>
      </c>
      <c r="AH18" s="5">
        <v>1.2286383E-2</v>
      </c>
    </row>
    <row r="19" spans="1:34">
      <c r="A19">
        <v>1994</v>
      </c>
      <c r="B19">
        <v>1124</v>
      </c>
      <c r="C19">
        <v>172</v>
      </c>
      <c r="D19">
        <v>444</v>
      </c>
      <c r="E19">
        <v>1910</v>
      </c>
      <c r="F19">
        <v>3650</v>
      </c>
      <c r="H19">
        <f t="shared" si="4"/>
        <v>1910</v>
      </c>
      <c r="I19">
        <f t="shared" si="5"/>
        <v>616</v>
      </c>
      <c r="J19">
        <f t="shared" si="3"/>
        <v>1124</v>
      </c>
      <c r="AB19" s="5">
        <v>2007</v>
      </c>
      <c r="AC19" s="5">
        <v>0.17669463399999999</v>
      </c>
      <c r="AD19" s="5">
        <v>4.2848796000000001E-2</v>
      </c>
      <c r="AE19" s="5">
        <v>1.5502541E-2</v>
      </c>
      <c r="AF19" s="5">
        <v>1.6296362000000002E-2</v>
      </c>
      <c r="AG19" s="5">
        <v>1.1341344999999999E-2</v>
      </c>
      <c r="AH19" s="5">
        <v>1.1881619E-2</v>
      </c>
    </row>
    <row r="20" spans="1:34">
      <c r="A20">
        <v>1995</v>
      </c>
      <c r="B20">
        <v>1038</v>
      </c>
      <c r="C20">
        <v>213</v>
      </c>
      <c r="D20">
        <v>445</v>
      </c>
      <c r="E20">
        <v>1925</v>
      </c>
      <c r="F20">
        <v>3621</v>
      </c>
      <c r="H20">
        <f t="shared" si="4"/>
        <v>1925</v>
      </c>
      <c r="I20">
        <f t="shared" si="5"/>
        <v>658</v>
      </c>
      <c r="J20">
        <f t="shared" si="3"/>
        <v>1038</v>
      </c>
      <c r="AB20" s="5">
        <v>2008</v>
      </c>
      <c r="AC20" s="5">
        <v>0.19419507799999999</v>
      </c>
      <c r="AD20" s="5">
        <v>4.3589979000000001E-2</v>
      </c>
      <c r="AE20" s="5">
        <v>1.4977651999999999E-2</v>
      </c>
      <c r="AF20" s="5">
        <v>1.5703100000000001E-2</v>
      </c>
      <c r="AG20" s="5">
        <v>1.0826456999999999E-2</v>
      </c>
      <c r="AH20" s="5">
        <v>1.1009031000000001E-2</v>
      </c>
    </row>
    <row r="21" spans="1:34">
      <c r="A21">
        <v>1996</v>
      </c>
      <c r="B21">
        <v>997</v>
      </c>
      <c r="C21">
        <v>203</v>
      </c>
      <c r="D21">
        <v>440</v>
      </c>
      <c r="E21">
        <v>1958</v>
      </c>
      <c r="F21">
        <v>3598</v>
      </c>
      <c r="H21">
        <f t="shared" si="4"/>
        <v>1958</v>
      </c>
      <c r="I21">
        <f t="shared" si="5"/>
        <v>643</v>
      </c>
      <c r="J21">
        <f t="shared" si="3"/>
        <v>997</v>
      </c>
      <c r="AB21" s="5">
        <v>2009</v>
      </c>
      <c r="AC21" s="5">
        <v>0.19761493699999999</v>
      </c>
      <c r="AD21" s="5">
        <v>4.4881153999999999E-2</v>
      </c>
      <c r="AE21" s="5">
        <v>1.3602319E-2</v>
      </c>
      <c r="AF21" s="5">
        <v>1.5051365000000001E-2</v>
      </c>
      <c r="AG21" s="5">
        <v>1.0332908E-2</v>
      </c>
      <c r="AH21" s="5">
        <v>9.9990099999999991E-3</v>
      </c>
    </row>
    <row r="22" spans="1:34">
      <c r="A22">
        <v>1997</v>
      </c>
      <c r="B22">
        <v>973</v>
      </c>
      <c r="C22">
        <v>183</v>
      </c>
      <c r="D22">
        <v>509</v>
      </c>
      <c r="E22">
        <v>1934</v>
      </c>
      <c r="F22">
        <v>3599</v>
      </c>
      <c r="H22">
        <f t="shared" si="4"/>
        <v>1934</v>
      </c>
      <c r="I22">
        <f t="shared" si="5"/>
        <v>692</v>
      </c>
      <c r="J22">
        <f t="shared" si="3"/>
        <v>973</v>
      </c>
      <c r="AB22" s="5">
        <v>2010</v>
      </c>
      <c r="AC22" s="5">
        <v>0.204274977</v>
      </c>
      <c r="AD22" s="5">
        <v>4.5131312999999999E-2</v>
      </c>
      <c r="AE22" s="5">
        <v>1.3330074000000001E-2</v>
      </c>
      <c r="AF22" s="5">
        <v>1.4474292999999999E-2</v>
      </c>
      <c r="AG22" s="5">
        <v>9.7327239999999999E-3</v>
      </c>
      <c r="AH22" s="5">
        <v>8.8580320000000001E-3</v>
      </c>
    </row>
    <row r="23" spans="1:34">
      <c r="A23">
        <v>1998</v>
      </c>
      <c r="B23">
        <v>906</v>
      </c>
      <c r="C23">
        <v>158</v>
      </c>
      <c r="D23">
        <v>498</v>
      </c>
      <c r="E23">
        <v>1859</v>
      </c>
      <c r="F23">
        <v>3421</v>
      </c>
      <c r="H23">
        <f t="shared" si="4"/>
        <v>1859</v>
      </c>
      <c r="I23">
        <f t="shared" si="5"/>
        <v>656</v>
      </c>
      <c r="J23">
        <f t="shared" si="3"/>
        <v>906</v>
      </c>
      <c r="AB23" s="5">
        <v>2011</v>
      </c>
      <c r="AC23" s="5"/>
      <c r="AD23" s="5">
        <v>4.6506443000000001E-2</v>
      </c>
      <c r="AE23" s="5">
        <v>1.3045872999999999E-2</v>
      </c>
      <c r="AF23" s="5"/>
      <c r="AG23" s="5">
        <v>1.0114184999999999E-2</v>
      </c>
      <c r="AH23" s="5"/>
    </row>
    <row r="24" spans="1:34">
      <c r="A24">
        <v>1999</v>
      </c>
      <c r="B24">
        <v>870</v>
      </c>
      <c r="C24">
        <v>172</v>
      </c>
      <c r="D24">
        <v>547</v>
      </c>
      <c r="E24">
        <v>1834</v>
      </c>
      <c r="F24">
        <v>3423</v>
      </c>
      <c r="H24">
        <f t="shared" si="4"/>
        <v>1834</v>
      </c>
      <c r="I24">
        <f t="shared" si="5"/>
        <v>719</v>
      </c>
      <c r="J24">
        <f t="shared" si="3"/>
        <v>870</v>
      </c>
    </row>
    <row r="25" spans="1:34">
      <c r="A25">
        <v>2000</v>
      </c>
      <c r="B25">
        <v>857</v>
      </c>
      <c r="C25">
        <v>127</v>
      </c>
      <c r="D25">
        <v>605</v>
      </c>
      <c r="E25">
        <v>1820</v>
      </c>
      <c r="F25">
        <v>3409</v>
      </c>
      <c r="H25">
        <f t="shared" si="4"/>
        <v>1820</v>
      </c>
      <c r="I25">
        <f t="shared" si="5"/>
        <v>732</v>
      </c>
      <c r="J25">
        <f t="shared" si="3"/>
        <v>857</v>
      </c>
      <c r="AB25" t="s">
        <v>38</v>
      </c>
      <c r="AC25">
        <f>AVERAGE(AC2:AC22)</f>
        <v>0.22619415114285715</v>
      </c>
      <c r="AD25">
        <f t="shared" ref="AD25:AG25" si="6">AVERAGE(AD2:AD23)</f>
        <v>4.5476038227272725E-2</v>
      </c>
      <c r="AE25">
        <f>AVERAGE(AE13:AE23)</f>
        <v>1.6058661363636362E-2</v>
      </c>
      <c r="AF25">
        <f>AVERAGE(AF2:AF22)</f>
        <v>1.3849509095238093E-2</v>
      </c>
      <c r="AG25">
        <f t="shared" si="6"/>
        <v>1.4826590318181817E-2</v>
      </c>
      <c r="AH25">
        <f>AVERAGE(AH2:AH22)</f>
        <v>1.1666293476190479E-2</v>
      </c>
    </row>
    <row r="26" spans="1:34">
      <c r="A26">
        <v>2001</v>
      </c>
      <c r="B26">
        <v>826</v>
      </c>
      <c r="C26">
        <v>138</v>
      </c>
      <c r="D26">
        <v>583</v>
      </c>
      <c r="E26">
        <v>1903</v>
      </c>
      <c r="F26">
        <v>3450</v>
      </c>
      <c r="H26">
        <f t="shared" si="4"/>
        <v>1903</v>
      </c>
      <c r="I26">
        <f t="shared" si="5"/>
        <v>721</v>
      </c>
      <c r="J26">
        <f t="shared" si="3"/>
        <v>826</v>
      </c>
    </row>
    <row r="27" spans="1:34">
      <c r="A27">
        <v>2002</v>
      </c>
      <c r="B27">
        <v>775</v>
      </c>
      <c r="C27">
        <v>130</v>
      </c>
      <c r="D27">
        <v>609</v>
      </c>
      <c r="E27">
        <v>1917</v>
      </c>
      <c r="F27">
        <v>3431</v>
      </c>
      <c r="H27">
        <f t="shared" si="4"/>
        <v>1917</v>
      </c>
      <c r="I27">
        <f t="shared" si="5"/>
        <v>739</v>
      </c>
      <c r="J27">
        <f t="shared" si="3"/>
        <v>775</v>
      </c>
    </row>
    <row r="28" spans="1:34">
      <c r="A28">
        <v>2003</v>
      </c>
      <c r="B28">
        <v>774</v>
      </c>
      <c r="C28">
        <v>114</v>
      </c>
      <c r="D28">
        <v>693</v>
      </c>
      <c r="E28">
        <v>1927</v>
      </c>
      <c r="F28">
        <v>3508</v>
      </c>
      <c r="H28">
        <f t="shared" si="4"/>
        <v>1927</v>
      </c>
      <c r="I28">
        <f t="shared" si="5"/>
        <v>807</v>
      </c>
      <c r="J28">
        <f t="shared" si="3"/>
        <v>774</v>
      </c>
    </row>
    <row r="29" spans="1:34">
      <c r="A29">
        <v>2004</v>
      </c>
      <c r="B29">
        <v>671</v>
      </c>
      <c r="C29">
        <v>134</v>
      </c>
      <c r="D29">
        <v>585</v>
      </c>
      <c r="E29">
        <v>1831</v>
      </c>
      <c r="F29">
        <v>3221</v>
      </c>
      <c r="H29">
        <f t="shared" si="4"/>
        <v>1831</v>
      </c>
      <c r="I29">
        <f t="shared" si="5"/>
        <v>719</v>
      </c>
      <c r="J29">
        <f t="shared" si="3"/>
        <v>671</v>
      </c>
    </row>
    <row r="30" spans="1:34">
      <c r="A30">
        <v>2005</v>
      </c>
      <c r="B30">
        <v>671</v>
      </c>
      <c r="C30">
        <v>148</v>
      </c>
      <c r="D30">
        <v>569</v>
      </c>
      <c r="E30">
        <v>1813</v>
      </c>
      <c r="F30">
        <v>3201</v>
      </c>
      <c r="H30">
        <f t="shared" si="4"/>
        <v>1813</v>
      </c>
      <c r="I30">
        <f t="shared" si="5"/>
        <v>717</v>
      </c>
      <c r="J30">
        <f t="shared" si="3"/>
        <v>671</v>
      </c>
    </row>
    <row r="31" spans="1:34">
      <c r="A31">
        <v>2006</v>
      </c>
      <c r="B31">
        <v>675</v>
      </c>
      <c r="C31">
        <v>146</v>
      </c>
      <c r="D31">
        <v>599</v>
      </c>
      <c r="E31">
        <v>1752</v>
      </c>
      <c r="F31">
        <v>3172</v>
      </c>
      <c r="H31">
        <f t="shared" si="4"/>
        <v>1752</v>
      </c>
      <c r="I31">
        <f t="shared" si="5"/>
        <v>745</v>
      </c>
      <c r="J31">
        <f t="shared" si="3"/>
        <v>675</v>
      </c>
    </row>
    <row r="32" spans="1:34">
      <c r="A32">
        <v>2007</v>
      </c>
      <c r="B32">
        <v>646</v>
      </c>
      <c r="C32">
        <v>136</v>
      </c>
      <c r="D32">
        <v>588</v>
      </c>
      <c r="E32">
        <v>1576</v>
      </c>
      <c r="F32">
        <v>2946</v>
      </c>
      <c r="H32">
        <f t="shared" si="4"/>
        <v>1576</v>
      </c>
      <c r="I32">
        <f t="shared" si="5"/>
        <v>724</v>
      </c>
      <c r="J32">
        <f t="shared" si="3"/>
        <v>646</v>
      </c>
    </row>
    <row r="33" spans="1:28">
      <c r="A33">
        <v>2008</v>
      </c>
      <c r="B33">
        <v>572</v>
      </c>
      <c r="C33">
        <v>115</v>
      </c>
      <c r="D33">
        <v>493</v>
      </c>
      <c r="E33">
        <v>1358</v>
      </c>
      <c r="F33">
        <v>2538</v>
      </c>
      <c r="H33">
        <f t="shared" si="4"/>
        <v>1358</v>
      </c>
      <c r="I33">
        <f t="shared" si="5"/>
        <v>608</v>
      </c>
      <c r="J33">
        <f t="shared" si="3"/>
        <v>572</v>
      </c>
    </row>
    <row r="34" spans="1:28">
      <c r="A34">
        <v>2009</v>
      </c>
      <c r="B34">
        <v>500</v>
      </c>
      <c r="C34">
        <v>104</v>
      </c>
      <c r="D34">
        <v>472</v>
      </c>
      <c r="E34">
        <v>1146</v>
      </c>
      <c r="F34">
        <v>2222</v>
      </c>
      <c r="H34">
        <f t="shared" si="4"/>
        <v>1146</v>
      </c>
      <c r="I34">
        <f t="shared" si="5"/>
        <v>576</v>
      </c>
      <c r="J34">
        <f t="shared" si="3"/>
        <v>500</v>
      </c>
    </row>
    <row r="35" spans="1:28">
      <c r="A35">
        <v>2010</v>
      </c>
      <c r="B35">
        <v>405</v>
      </c>
      <c r="C35">
        <v>111</v>
      </c>
      <c r="D35">
        <v>403</v>
      </c>
      <c r="E35">
        <v>931</v>
      </c>
      <c r="F35">
        <v>1850</v>
      </c>
      <c r="H35">
        <f t="shared" si="4"/>
        <v>931</v>
      </c>
      <c r="I35">
        <f t="shared" si="5"/>
        <v>514</v>
      </c>
      <c r="J35">
        <f t="shared" si="3"/>
        <v>405</v>
      </c>
    </row>
    <row r="39" spans="1:28">
      <c r="A39" t="s">
        <v>10</v>
      </c>
      <c r="B39">
        <v>1985</v>
      </c>
      <c r="C39">
        <v>1986</v>
      </c>
      <c r="D39">
        <v>1987</v>
      </c>
      <c r="E39">
        <v>1988</v>
      </c>
      <c r="F39">
        <v>1989</v>
      </c>
      <c r="G39">
        <v>1990</v>
      </c>
      <c r="H39">
        <v>1991</v>
      </c>
      <c r="I39">
        <v>1992</v>
      </c>
      <c r="J39">
        <v>1993</v>
      </c>
      <c r="K39">
        <v>1994</v>
      </c>
      <c r="L39">
        <v>1995</v>
      </c>
      <c r="M39">
        <v>1996</v>
      </c>
      <c r="N39">
        <v>1997</v>
      </c>
      <c r="O39">
        <v>1998</v>
      </c>
      <c r="P39">
        <v>1999</v>
      </c>
      <c r="Q39">
        <v>2000</v>
      </c>
      <c r="R39">
        <v>2001</v>
      </c>
      <c r="S39">
        <v>2002</v>
      </c>
      <c r="T39">
        <v>2003</v>
      </c>
      <c r="U39">
        <v>2004</v>
      </c>
      <c r="V39">
        <v>2005</v>
      </c>
      <c r="W39">
        <v>2006</v>
      </c>
      <c r="X39">
        <v>2007</v>
      </c>
      <c r="Y39">
        <v>2008</v>
      </c>
      <c r="Z39">
        <v>2009</v>
      </c>
      <c r="AA39">
        <v>2010</v>
      </c>
      <c r="AB39">
        <v>2011</v>
      </c>
    </row>
    <row r="40" spans="1:28">
      <c r="A40" s="6" t="s">
        <v>17</v>
      </c>
      <c r="B40" s="7">
        <v>1557</v>
      </c>
      <c r="C40" s="7">
        <v>1639</v>
      </c>
      <c r="D40" s="7">
        <v>1479</v>
      </c>
      <c r="E40" s="7">
        <v>1592</v>
      </c>
      <c r="F40" s="7">
        <v>1472</v>
      </c>
      <c r="G40" s="7">
        <v>1407</v>
      </c>
      <c r="H40" s="7">
        <v>1327</v>
      </c>
      <c r="I40" s="7">
        <v>1165</v>
      </c>
      <c r="J40" s="7">
        <v>1131</v>
      </c>
      <c r="K40" s="7">
        <v>1126</v>
      </c>
      <c r="L40" s="7">
        <v>1027</v>
      </c>
      <c r="M40" s="7">
        <v>987</v>
      </c>
      <c r="N40" s="7">
        <v>929</v>
      </c>
      <c r="O40" s="7">
        <v>988</v>
      </c>
      <c r="P40" s="7">
        <v>882</v>
      </c>
      <c r="Q40" s="7">
        <v>793</v>
      </c>
      <c r="R40" s="7">
        <v>778</v>
      </c>
      <c r="S40" s="7">
        <v>819</v>
      </c>
      <c r="T40" s="7">
        <v>592</v>
      </c>
      <c r="U40" s="7">
        <v>550</v>
      </c>
      <c r="V40" s="7">
        <v>635</v>
      </c>
      <c r="W40" s="7">
        <v>535</v>
      </c>
      <c r="X40" s="7">
        <v>561</v>
      </c>
      <c r="Y40" s="7">
        <v>548</v>
      </c>
      <c r="Z40" s="7">
        <v>496</v>
      </c>
      <c r="AA40" s="7">
        <v>485</v>
      </c>
      <c r="AB40" s="7">
        <v>519</v>
      </c>
    </row>
    <row r="41" spans="1:28">
      <c r="A41" s="6" t="s">
        <v>18</v>
      </c>
      <c r="B41" s="7">
        <v>426</v>
      </c>
      <c r="C41" s="7">
        <v>438</v>
      </c>
      <c r="D41" s="7">
        <v>419</v>
      </c>
      <c r="E41" s="7">
        <v>401</v>
      </c>
      <c r="F41" s="7">
        <v>407</v>
      </c>
      <c r="G41" s="7">
        <v>401</v>
      </c>
      <c r="H41" s="7">
        <v>364</v>
      </c>
      <c r="I41" s="7">
        <v>348</v>
      </c>
      <c r="J41" s="7">
        <v>329</v>
      </c>
      <c r="K41" s="7">
        <v>321</v>
      </c>
      <c r="L41" s="7">
        <v>374</v>
      </c>
      <c r="M41" s="7">
        <v>300</v>
      </c>
      <c r="N41" s="7">
        <v>329</v>
      </c>
      <c r="O41" s="7">
        <v>301</v>
      </c>
      <c r="P41" s="7">
        <v>307</v>
      </c>
      <c r="Q41" s="7">
        <v>255</v>
      </c>
      <c r="R41" s="7">
        <v>242</v>
      </c>
      <c r="S41" s="7">
        <v>211</v>
      </c>
      <c r="T41" s="7">
        <v>190</v>
      </c>
      <c r="U41" s="7">
        <v>167</v>
      </c>
      <c r="V41" s="7">
        <v>180</v>
      </c>
      <c r="W41" s="7">
        <v>181</v>
      </c>
      <c r="X41" s="7">
        <v>142</v>
      </c>
      <c r="Y41" s="7">
        <v>148</v>
      </c>
      <c r="Z41" s="7">
        <v>162</v>
      </c>
      <c r="AA41" s="7">
        <v>147</v>
      </c>
      <c r="AB41" s="7">
        <v>141</v>
      </c>
    </row>
    <row r="42" spans="1:28">
      <c r="A42" s="6" t="s">
        <v>19</v>
      </c>
      <c r="B42" s="7">
        <v>1607</v>
      </c>
      <c r="C42" s="7">
        <v>1504</v>
      </c>
      <c r="D42" s="7">
        <v>1468</v>
      </c>
      <c r="E42" s="7">
        <v>1579</v>
      </c>
      <c r="F42" s="7">
        <v>1618</v>
      </c>
      <c r="G42" s="7">
        <v>1603</v>
      </c>
      <c r="H42" s="7">
        <v>1484</v>
      </c>
      <c r="I42" s="7">
        <v>1449</v>
      </c>
      <c r="J42" s="7">
        <v>1351</v>
      </c>
      <c r="K42" s="7">
        <v>1288</v>
      </c>
      <c r="L42" s="7">
        <v>1251</v>
      </c>
      <c r="M42" s="7">
        <v>1219</v>
      </c>
      <c r="N42" s="7">
        <v>1302</v>
      </c>
      <c r="O42" s="7">
        <v>1319</v>
      </c>
      <c r="P42" s="7">
        <v>1367</v>
      </c>
      <c r="Q42" s="7">
        <v>1317</v>
      </c>
      <c r="R42" s="7">
        <v>1437</v>
      </c>
      <c r="S42" s="7">
        <v>1339</v>
      </c>
      <c r="T42" s="7">
        <v>1185</v>
      </c>
      <c r="U42" s="7">
        <v>1135</v>
      </c>
      <c r="V42" s="7">
        <v>1237</v>
      </c>
      <c r="W42" s="7">
        <v>1086</v>
      </c>
      <c r="X42" s="7">
        <v>1155</v>
      </c>
      <c r="Y42" s="7">
        <v>1086</v>
      </c>
      <c r="Z42" s="7">
        <v>1187</v>
      </c>
      <c r="AA42" s="7">
        <v>952</v>
      </c>
      <c r="AB42" s="8">
        <v>980</v>
      </c>
    </row>
    <row r="43" spans="1:28">
      <c r="A43" s="6" t="s">
        <v>20</v>
      </c>
      <c r="B43" s="7">
        <v>6419</v>
      </c>
      <c r="C43" s="7">
        <v>6867</v>
      </c>
      <c r="D43" s="7">
        <v>6000</v>
      </c>
      <c r="E43" s="7">
        <v>6437</v>
      </c>
      <c r="F43" s="7">
        <v>6513</v>
      </c>
      <c r="G43" s="7">
        <v>6295</v>
      </c>
      <c r="H43" s="7">
        <v>5992</v>
      </c>
      <c r="I43" s="7">
        <v>5725</v>
      </c>
      <c r="J43" s="7">
        <v>5835</v>
      </c>
      <c r="K43" s="7">
        <v>5423</v>
      </c>
      <c r="L43" s="7">
        <v>5389</v>
      </c>
      <c r="M43" s="7">
        <v>5240</v>
      </c>
      <c r="N43" s="7">
        <v>5069</v>
      </c>
      <c r="O43" s="7">
        <v>5491</v>
      </c>
      <c r="P43" s="7">
        <v>5161</v>
      </c>
      <c r="Q43" s="7">
        <v>5006</v>
      </c>
      <c r="R43" s="7">
        <v>4998</v>
      </c>
      <c r="S43" s="7">
        <v>4602</v>
      </c>
      <c r="T43" s="7">
        <v>3481</v>
      </c>
      <c r="U43" s="7">
        <v>3186</v>
      </c>
      <c r="V43" s="7">
        <v>3065</v>
      </c>
      <c r="W43" s="7">
        <v>2626</v>
      </c>
      <c r="X43" s="7">
        <v>2464</v>
      </c>
      <c r="Y43" s="7">
        <v>2205</v>
      </c>
      <c r="Z43" s="7">
        <v>2160</v>
      </c>
      <c r="AA43" s="7">
        <v>2117</v>
      </c>
      <c r="AB43" s="7">
        <v>2062</v>
      </c>
    </row>
    <row r="44" spans="1:28">
      <c r="A44" s="6" t="s">
        <v>21</v>
      </c>
      <c r="B44" s="7">
        <v>438</v>
      </c>
      <c r="C44" s="7">
        <v>513</v>
      </c>
      <c r="D44" s="7">
        <v>489</v>
      </c>
      <c r="E44" s="7">
        <v>539</v>
      </c>
      <c r="F44" s="7">
        <v>518</v>
      </c>
      <c r="G44" s="7">
        <v>583</v>
      </c>
      <c r="H44" s="7">
        <v>450</v>
      </c>
      <c r="I44" s="7">
        <v>396</v>
      </c>
      <c r="J44" s="7">
        <v>406</v>
      </c>
      <c r="K44" s="7">
        <v>375</v>
      </c>
      <c r="L44" s="7">
        <v>371</v>
      </c>
      <c r="M44" s="7">
        <v>334</v>
      </c>
      <c r="N44" s="7">
        <v>360</v>
      </c>
      <c r="O44" s="7">
        <v>338</v>
      </c>
      <c r="P44" s="7">
        <v>312</v>
      </c>
      <c r="Q44" s="7">
        <v>272</v>
      </c>
      <c r="R44" s="7">
        <v>265</v>
      </c>
      <c r="S44" s="7">
        <v>271</v>
      </c>
      <c r="T44" s="7">
        <v>283</v>
      </c>
      <c r="U44" s="7">
        <v>194</v>
      </c>
      <c r="V44" s="7">
        <v>201</v>
      </c>
      <c r="W44" s="7">
        <v>281</v>
      </c>
      <c r="X44" s="7">
        <v>298</v>
      </c>
      <c r="Y44" s="7">
        <v>288</v>
      </c>
      <c r="Z44" s="7">
        <v>268</v>
      </c>
      <c r="AA44" s="7">
        <v>291</v>
      </c>
      <c r="AB44" s="9">
        <v>261</v>
      </c>
    </row>
    <row r="46" spans="1:28">
      <c r="A46" s="6" t="s">
        <v>36</v>
      </c>
      <c r="B46" s="1">
        <f t="shared" ref="B46:AB46" si="7">B43+B44</f>
        <v>6857</v>
      </c>
      <c r="C46" s="1">
        <f t="shared" si="7"/>
        <v>7380</v>
      </c>
      <c r="D46" s="1">
        <f t="shared" si="7"/>
        <v>6489</v>
      </c>
      <c r="E46" s="1">
        <f t="shared" si="7"/>
        <v>6976</v>
      </c>
      <c r="F46" s="1">
        <f t="shared" si="7"/>
        <v>7031</v>
      </c>
      <c r="G46" s="1">
        <f t="shared" si="7"/>
        <v>6878</v>
      </c>
      <c r="H46" s="1">
        <f t="shared" si="7"/>
        <v>6442</v>
      </c>
      <c r="I46" s="1">
        <f t="shared" si="7"/>
        <v>6121</v>
      </c>
      <c r="J46" s="1">
        <f t="shared" si="7"/>
        <v>6241</v>
      </c>
      <c r="K46" s="1">
        <f t="shared" si="7"/>
        <v>5798</v>
      </c>
      <c r="L46" s="1">
        <f t="shared" si="7"/>
        <v>5760</v>
      </c>
      <c r="M46" s="1">
        <f t="shared" si="7"/>
        <v>5574</v>
      </c>
      <c r="N46" s="1">
        <f t="shared" si="7"/>
        <v>5429</v>
      </c>
      <c r="O46" s="1">
        <f t="shared" si="7"/>
        <v>5829</v>
      </c>
      <c r="P46" s="1">
        <f t="shared" si="7"/>
        <v>5473</v>
      </c>
      <c r="Q46" s="1">
        <f t="shared" si="7"/>
        <v>5278</v>
      </c>
      <c r="R46" s="1">
        <f t="shared" si="7"/>
        <v>5263</v>
      </c>
      <c r="S46" s="1">
        <f t="shared" si="7"/>
        <v>4873</v>
      </c>
      <c r="T46" s="1">
        <f t="shared" si="7"/>
        <v>3764</v>
      </c>
      <c r="U46" s="1">
        <f t="shared" si="7"/>
        <v>3380</v>
      </c>
      <c r="V46" s="1">
        <f t="shared" si="7"/>
        <v>3266</v>
      </c>
      <c r="W46" s="1">
        <f t="shared" si="7"/>
        <v>2907</v>
      </c>
      <c r="X46" s="1">
        <f t="shared" si="7"/>
        <v>2762</v>
      </c>
      <c r="Y46" s="1">
        <f t="shared" si="7"/>
        <v>2493</v>
      </c>
      <c r="Z46" s="1">
        <f t="shared" si="7"/>
        <v>2428</v>
      </c>
      <c r="AA46" s="1">
        <f t="shared" si="7"/>
        <v>2408</v>
      </c>
      <c r="AB46" s="1">
        <f t="shared" si="7"/>
        <v>2323</v>
      </c>
    </row>
    <row r="47" spans="1:28">
      <c r="A47" s="6" t="s">
        <v>37</v>
      </c>
      <c r="B47" s="1">
        <f t="shared" ref="B47:AB47" si="8">B41+B42</f>
        <v>2033</v>
      </c>
      <c r="C47" s="1">
        <f t="shared" si="8"/>
        <v>1942</v>
      </c>
      <c r="D47" s="1">
        <f t="shared" si="8"/>
        <v>1887</v>
      </c>
      <c r="E47" s="1">
        <f t="shared" si="8"/>
        <v>1980</v>
      </c>
      <c r="F47" s="1">
        <f t="shared" si="8"/>
        <v>2025</v>
      </c>
      <c r="G47" s="1">
        <f t="shared" si="8"/>
        <v>2004</v>
      </c>
      <c r="H47" s="1">
        <f t="shared" si="8"/>
        <v>1848</v>
      </c>
      <c r="I47" s="1">
        <f t="shared" si="8"/>
        <v>1797</v>
      </c>
      <c r="J47" s="1">
        <f t="shared" si="8"/>
        <v>1680</v>
      </c>
      <c r="K47" s="1">
        <f t="shared" si="8"/>
        <v>1609</v>
      </c>
      <c r="L47" s="1">
        <f t="shared" si="8"/>
        <v>1625</v>
      </c>
      <c r="M47" s="1">
        <f t="shared" si="8"/>
        <v>1519</v>
      </c>
      <c r="N47" s="1">
        <f t="shared" si="8"/>
        <v>1631</v>
      </c>
      <c r="O47" s="1">
        <f t="shared" si="8"/>
        <v>1620</v>
      </c>
      <c r="P47" s="1">
        <f t="shared" si="8"/>
        <v>1674</v>
      </c>
      <c r="Q47" s="1">
        <f t="shared" si="8"/>
        <v>1572</v>
      </c>
      <c r="R47" s="1">
        <f t="shared" si="8"/>
        <v>1679</v>
      </c>
      <c r="S47" s="1">
        <f t="shared" si="8"/>
        <v>1550</v>
      </c>
      <c r="T47" s="1">
        <f t="shared" si="8"/>
        <v>1375</v>
      </c>
      <c r="U47" s="1">
        <f t="shared" si="8"/>
        <v>1302</v>
      </c>
      <c r="V47" s="1">
        <f t="shared" si="8"/>
        <v>1417</v>
      </c>
      <c r="W47" s="1">
        <f t="shared" si="8"/>
        <v>1267</v>
      </c>
      <c r="X47" s="1">
        <f t="shared" si="8"/>
        <v>1297</v>
      </c>
      <c r="Y47" s="1">
        <f t="shared" si="8"/>
        <v>1234</v>
      </c>
      <c r="Z47" s="1">
        <f t="shared" si="8"/>
        <v>1349</v>
      </c>
      <c r="AA47" s="1">
        <f t="shared" si="8"/>
        <v>1099</v>
      </c>
      <c r="AB47" s="1">
        <f t="shared" si="8"/>
        <v>1121</v>
      </c>
    </row>
    <row r="48" spans="1:28">
      <c r="A48" s="6" t="s">
        <v>34</v>
      </c>
      <c r="B48" s="1">
        <f t="shared" ref="B48:AB48" si="9">B40</f>
        <v>1557</v>
      </c>
      <c r="C48" s="1">
        <f t="shared" si="9"/>
        <v>1639</v>
      </c>
      <c r="D48" s="1">
        <f t="shared" si="9"/>
        <v>1479</v>
      </c>
      <c r="E48" s="1">
        <f t="shared" si="9"/>
        <v>1592</v>
      </c>
      <c r="F48" s="1">
        <f t="shared" si="9"/>
        <v>1472</v>
      </c>
      <c r="G48" s="1">
        <f t="shared" si="9"/>
        <v>1407</v>
      </c>
      <c r="H48" s="1">
        <f t="shared" si="9"/>
        <v>1327</v>
      </c>
      <c r="I48" s="1">
        <f t="shared" si="9"/>
        <v>1165</v>
      </c>
      <c r="J48" s="1">
        <f t="shared" si="9"/>
        <v>1131</v>
      </c>
      <c r="K48" s="1">
        <f t="shared" si="9"/>
        <v>1126</v>
      </c>
      <c r="L48" s="1">
        <f t="shared" si="9"/>
        <v>1027</v>
      </c>
      <c r="M48" s="1">
        <f t="shared" si="9"/>
        <v>987</v>
      </c>
      <c r="N48" s="1">
        <f t="shared" si="9"/>
        <v>929</v>
      </c>
      <c r="O48" s="1">
        <f t="shared" si="9"/>
        <v>988</v>
      </c>
      <c r="P48" s="1">
        <f t="shared" si="9"/>
        <v>882</v>
      </c>
      <c r="Q48" s="1">
        <f t="shared" si="9"/>
        <v>793</v>
      </c>
      <c r="R48" s="1">
        <f t="shared" si="9"/>
        <v>778</v>
      </c>
      <c r="S48" s="1">
        <f t="shared" si="9"/>
        <v>819</v>
      </c>
      <c r="T48" s="1">
        <f t="shared" si="9"/>
        <v>592</v>
      </c>
      <c r="U48" s="1">
        <f t="shared" si="9"/>
        <v>550</v>
      </c>
      <c r="V48" s="1">
        <f t="shared" si="9"/>
        <v>635</v>
      </c>
      <c r="W48" s="1">
        <f t="shared" si="9"/>
        <v>535</v>
      </c>
      <c r="X48" s="1">
        <f t="shared" si="9"/>
        <v>561</v>
      </c>
      <c r="Y48" s="1">
        <f t="shared" si="9"/>
        <v>548</v>
      </c>
      <c r="Z48" s="1">
        <f t="shared" si="9"/>
        <v>496</v>
      </c>
      <c r="AA48" s="1">
        <f t="shared" si="9"/>
        <v>485</v>
      </c>
      <c r="AB48" s="1">
        <f t="shared" si="9"/>
        <v>519</v>
      </c>
    </row>
    <row r="52" spans="1:18">
      <c r="A52" t="s">
        <v>8</v>
      </c>
      <c r="B52">
        <v>2008</v>
      </c>
      <c r="C52">
        <v>2009</v>
      </c>
      <c r="D52">
        <v>2010</v>
      </c>
      <c r="E52">
        <v>2011</v>
      </c>
      <c r="G52">
        <v>2008</v>
      </c>
      <c r="H52">
        <v>2009</v>
      </c>
      <c r="I52">
        <v>2010</v>
      </c>
      <c r="J52">
        <v>2011</v>
      </c>
    </row>
    <row r="53" spans="1:18" ht="16">
      <c r="A53" s="10" t="s">
        <v>22</v>
      </c>
      <c r="B53" s="10">
        <v>456</v>
      </c>
      <c r="C53" s="10">
        <v>462</v>
      </c>
      <c r="D53" s="10">
        <v>381</v>
      </c>
      <c r="E53" s="10">
        <v>399</v>
      </c>
      <c r="F53" t="s">
        <v>36</v>
      </c>
      <c r="G53" s="1">
        <f>B56+B57+B58</f>
        <v>2561</v>
      </c>
      <c r="H53" s="1">
        <f>C56+C57+C58</f>
        <v>2286</v>
      </c>
      <c r="I53" s="1">
        <f>D56+D57+D58</f>
        <v>2034</v>
      </c>
      <c r="J53" s="1">
        <f>E56+E57+E58</f>
        <v>2170</v>
      </c>
    </row>
    <row r="54" spans="1:18" ht="16">
      <c r="A54" s="10" t="s">
        <v>23</v>
      </c>
      <c r="B54" s="10">
        <v>110</v>
      </c>
      <c r="C54" s="10">
        <v>99</v>
      </c>
      <c r="D54" s="10">
        <v>74</v>
      </c>
      <c r="E54" s="10">
        <v>70</v>
      </c>
      <c r="F54" t="s">
        <v>37</v>
      </c>
      <c r="G54">
        <f>B53+B54+B55</f>
        <v>1222</v>
      </c>
      <c r="H54">
        <f>C53+C54+C55</f>
        <v>1211</v>
      </c>
      <c r="I54">
        <f>D53+D54+D55</f>
        <v>1090</v>
      </c>
      <c r="J54">
        <f>E53+E54+E55</f>
        <v>1177</v>
      </c>
    </row>
    <row r="55" spans="1:18" ht="16">
      <c r="A55" s="10" t="s">
        <v>24</v>
      </c>
      <c r="B55" s="10">
        <v>656</v>
      </c>
      <c r="C55" s="10">
        <v>650</v>
      </c>
      <c r="D55" s="10">
        <v>635</v>
      </c>
      <c r="E55" s="10">
        <v>708</v>
      </c>
      <c r="F55" t="s">
        <v>34</v>
      </c>
      <c r="G55">
        <f>B59</f>
        <v>653</v>
      </c>
      <c r="H55">
        <f>C59</f>
        <v>591</v>
      </c>
      <c r="I55">
        <f>D59</f>
        <v>476</v>
      </c>
      <c r="J55">
        <f>E59</f>
        <v>614</v>
      </c>
    </row>
    <row r="56" spans="1:18" ht="16">
      <c r="A56" s="10" t="s">
        <v>25</v>
      </c>
      <c r="B56" s="11">
        <v>2368</v>
      </c>
      <c r="C56" s="11">
        <v>2110</v>
      </c>
      <c r="D56" s="11">
        <v>1840</v>
      </c>
      <c r="E56" s="11">
        <v>1986</v>
      </c>
    </row>
    <row r="57" spans="1:18" ht="16">
      <c r="A57" s="10" t="s">
        <v>26</v>
      </c>
      <c r="B57" s="10">
        <v>10</v>
      </c>
      <c r="C57" s="10">
        <v>12</v>
      </c>
      <c r="D57" s="10">
        <v>32</v>
      </c>
      <c r="E57" s="10">
        <v>10</v>
      </c>
    </row>
    <row r="58" spans="1:18" ht="16">
      <c r="A58" s="10" t="s">
        <v>27</v>
      </c>
      <c r="B58" s="10">
        <v>183</v>
      </c>
      <c r="C58" s="10">
        <v>164</v>
      </c>
      <c r="D58" s="10">
        <v>162</v>
      </c>
      <c r="E58" s="10">
        <v>174</v>
      </c>
    </row>
    <row r="59" spans="1:18" ht="16">
      <c r="A59" s="10" t="s">
        <v>28</v>
      </c>
      <c r="B59" s="10">
        <v>653</v>
      </c>
      <c r="C59" s="10">
        <v>591</v>
      </c>
      <c r="D59" s="10">
        <v>476</v>
      </c>
      <c r="E59" s="10">
        <v>614</v>
      </c>
    </row>
    <row r="63" spans="1:18">
      <c r="A63" t="s">
        <v>11</v>
      </c>
      <c r="B63">
        <v>1994</v>
      </c>
      <c r="C63">
        <v>1995</v>
      </c>
      <c r="D63">
        <v>1996</v>
      </c>
      <c r="E63">
        <v>1997</v>
      </c>
      <c r="F63">
        <v>1998</v>
      </c>
      <c r="G63">
        <v>1999</v>
      </c>
      <c r="H63">
        <v>2000</v>
      </c>
      <c r="I63">
        <v>2001</v>
      </c>
      <c r="J63">
        <v>2002</v>
      </c>
      <c r="K63">
        <v>2003</v>
      </c>
      <c r="L63">
        <v>2004</v>
      </c>
      <c r="M63">
        <v>2005</v>
      </c>
      <c r="N63">
        <v>2006</v>
      </c>
      <c r="O63">
        <v>2007</v>
      </c>
      <c r="P63">
        <v>2008</v>
      </c>
      <c r="Q63">
        <v>2009</v>
      </c>
      <c r="R63">
        <v>2010</v>
      </c>
    </row>
    <row r="64" spans="1:18">
      <c r="A64" t="s">
        <v>36</v>
      </c>
      <c r="B64" s="1">
        <v>31998</v>
      </c>
      <c r="C64" s="1">
        <v>33064</v>
      </c>
      <c r="D64" s="1">
        <v>33534</v>
      </c>
      <c r="E64" s="1">
        <v>33609</v>
      </c>
      <c r="F64" s="1">
        <v>33088</v>
      </c>
      <c r="G64" s="1">
        <v>33392</v>
      </c>
      <c r="H64" s="1">
        <v>33451</v>
      </c>
      <c r="I64" s="1">
        <v>33243</v>
      </c>
      <c r="J64" s="1">
        <v>34105</v>
      </c>
      <c r="K64" s="1">
        <v>33627</v>
      </c>
      <c r="L64" s="1">
        <v>33276</v>
      </c>
      <c r="M64" s="1">
        <v>33070</v>
      </c>
      <c r="N64" s="1">
        <v>32119</v>
      </c>
      <c r="O64" s="1">
        <v>30527</v>
      </c>
      <c r="P64" s="1">
        <v>26791</v>
      </c>
      <c r="Q64" s="1">
        <v>24526</v>
      </c>
      <c r="R64" s="1">
        <v>23303</v>
      </c>
    </row>
    <row r="65" spans="1:18">
      <c r="A65" t="s">
        <v>37</v>
      </c>
      <c r="B65" s="1">
        <f t="shared" ref="B65:R65" si="10">B68+B69+B70</f>
        <v>3229</v>
      </c>
      <c r="C65" s="1">
        <f t="shared" si="10"/>
        <v>3169</v>
      </c>
      <c r="D65" s="1">
        <f t="shared" si="10"/>
        <v>3080</v>
      </c>
      <c r="E65" s="1">
        <f t="shared" si="10"/>
        <v>3083</v>
      </c>
      <c r="F65" s="1">
        <f t="shared" si="10"/>
        <v>3185</v>
      </c>
      <c r="G65" s="1">
        <f t="shared" si="10"/>
        <v>3386</v>
      </c>
      <c r="H65" s="1">
        <f t="shared" si="10"/>
        <v>3731</v>
      </c>
      <c r="I65" s="1">
        <f t="shared" si="10"/>
        <v>4052</v>
      </c>
      <c r="J65" s="1">
        <f t="shared" si="10"/>
        <v>4049</v>
      </c>
      <c r="K65" s="1">
        <f t="shared" si="10"/>
        <v>4483</v>
      </c>
      <c r="L65" s="1">
        <f t="shared" si="10"/>
        <v>4885</v>
      </c>
      <c r="M65" s="1">
        <f t="shared" si="10"/>
        <v>5548</v>
      </c>
      <c r="N65" s="1">
        <f t="shared" si="10"/>
        <v>5794</v>
      </c>
      <c r="O65" s="1">
        <f t="shared" si="10"/>
        <v>6033</v>
      </c>
      <c r="P65" s="1">
        <f t="shared" si="10"/>
        <v>6218</v>
      </c>
      <c r="Q65" s="1">
        <f t="shared" si="10"/>
        <v>5248</v>
      </c>
      <c r="R65" s="1">
        <f t="shared" si="10"/>
        <v>5302</v>
      </c>
    </row>
    <row r="66" spans="1:18">
      <c r="A66" t="s">
        <v>34</v>
      </c>
      <c r="B66" s="1">
        <v>5489</v>
      </c>
      <c r="C66" s="1">
        <v>5584</v>
      </c>
      <c r="D66" s="1">
        <v>5449</v>
      </c>
      <c r="E66" s="1">
        <v>5321</v>
      </c>
      <c r="F66" s="1">
        <v>5228</v>
      </c>
      <c r="G66" s="1">
        <v>4939</v>
      </c>
      <c r="H66" s="1">
        <v>4763</v>
      </c>
      <c r="I66" s="1">
        <v>4901</v>
      </c>
      <c r="J66" s="1">
        <v>4851</v>
      </c>
      <c r="K66" s="1">
        <v>4774</v>
      </c>
      <c r="L66" s="1">
        <v>4675</v>
      </c>
      <c r="M66" s="1">
        <v>4892</v>
      </c>
      <c r="N66" s="1">
        <v>4795</v>
      </c>
      <c r="O66" s="1">
        <v>4699</v>
      </c>
      <c r="P66" s="1">
        <v>4414</v>
      </c>
      <c r="Q66" s="1">
        <v>4109</v>
      </c>
      <c r="R66" s="1">
        <v>4280</v>
      </c>
    </row>
    <row r="68" spans="1:18">
      <c r="A68" t="s">
        <v>39</v>
      </c>
      <c r="B68" s="1">
        <v>2320</v>
      </c>
      <c r="C68" s="1">
        <v>2227</v>
      </c>
      <c r="D68" s="1">
        <v>2161</v>
      </c>
      <c r="E68" s="1">
        <v>2116</v>
      </c>
      <c r="F68" s="1">
        <v>2294</v>
      </c>
      <c r="G68" s="1">
        <v>2483</v>
      </c>
      <c r="H68" s="1">
        <v>2897</v>
      </c>
      <c r="I68" s="1">
        <v>3197</v>
      </c>
      <c r="J68" s="1">
        <v>3270</v>
      </c>
      <c r="K68" s="1">
        <v>3714</v>
      </c>
      <c r="L68" s="1">
        <v>4028</v>
      </c>
      <c r="M68" s="1">
        <v>4576</v>
      </c>
      <c r="N68" s="1">
        <v>4837</v>
      </c>
      <c r="O68" s="1">
        <v>5174</v>
      </c>
      <c r="P68" s="1">
        <v>5312</v>
      </c>
      <c r="Q68" s="1">
        <v>4469</v>
      </c>
      <c r="R68" s="1">
        <v>4502</v>
      </c>
    </row>
    <row r="69" spans="1:18">
      <c r="A69" t="s">
        <v>22</v>
      </c>
      <c r="B69">
        <v>802</v>
      </c>
      <c r="C69">
        <v>833</v>
      </c>
      <c r="D69">
        <v>765</v>
      </c>
      <c r="E69">
        <v>814</v>
      </c>
      <c r="F69">
        <v>760</v>
      </c>
      <c r="G69">
        <v>754</v>
      </c>
      <c r="H69">
        <v>693</v>
      </c>
      <c r="I69">
        <v>732</v>
      </c>
      <c r="J69">
        <v>665</v>
      </c>
      <c r="K69">
        <v>629</v>
      </c>
      <c r="L69">
        <v>727</v>
      </c>
      <c r="M69">
        <v>786</v>
      </c>
      <c r="N69">
        <v>772</v>
      </c>
      <c r="O69">
        <v>701</v>
      </c>
      <c r="P69">
        <v>718</v>
      </c>
      <c r="Q69">
        <v>628</v>
      </c>
      <c r="R69">
        <v>618</v>
      </c>
    </row>
    <row r="70" spans="1:18">
      <c r="A70" t="s">
        <v>35</v>
      </c>
      <c r="B70">
        <v>107</v>
      </c>
      <c r="C70">
        <v>109</v>
      </c>
      <c r="D70">
        <v>154</v>
      </c>
      <c r="E70">
        <v>153</v>
      </c>
      <c r="F70">
        <v>131</v>
      </c>
      <c r="G70">
        <v>149</v>
      </c>
      <c r="H70">
        <v>141</v>
      </c>
      <c r="I70">
        <v>123</v>
      </c>
      <c r="J70">
        <v>114</v>
      </c>
      <c r="K70">
        <v>140</v>
      </c>
      <c r="L70">
        <v>130</v>
      </c>
      <c r="M70">
        <v>186</v>
      </c>
      <c r="N70">
        <v>185</v>
      </c>
      <c r="O70">
        <v>158</v>
      </c>
      <c r="P70">
        <v>188</v>
      </c>
      <c r="Q70">
        <v>151</v>
      </c>
      <c r="R70">
        <v>182</v>
      </c>
    </row>
    <row r="76" spans="1:18">
      <c r="A76" t="s">
        <v>7</v>
      </c>
      <c r="B76">
        <v>2001</v>
      </c>
      <c r="C76">
        <v>2002</v>
      </c>
      <c r="D76">
        <v>2003</v>
      </c>
      <c r="E76">
        <v>2004</v>
      </c>
      <c r="F76">
        <v>2005</v>
      </c>
      <c r="G76">
        <v>2006</v>
      </c>
      <c r="H76">
        <v>2007</v>
      </c>
      <c r="I76">
        <v>2008</v>
      </c>
      <c r="J76">
        <v>2009</v>
      </c>
      <c r="K76">
        <v>2010</v>
      </c>
      <c r="L76">
        <v>2011</v>
      </c>
    </row>
    <row r="77" spans="1:18">
      <c r="A77" t="s">
        <v>40</v>
      </c>
      <c r="B77">
        <v>0</v>
      </c>
      <c r="C77">
        <v>0</v>
      </c>
      <c r="D77">
        <v>49</v>
      </c>
      <c r="E77">
        <v>445</v>
      </c>
      <c r="F77">
        <v>532</v>
      </c>
      <c r="G77">
        <v>623</v>
      </c>
      <c r="H77">
        <v>636</v>
      </c>
      <c r="I77">
        <v>682</v>
      </c>
      <c r="J77">
        <v>733</v>
      </c>
      <c r="K77">
        <v>744</v>
      </c>
      <c r="L77">
        <v>718</v>
      </c>
      <c r="O77">
        <v>32786</v>
      </c>
    </row>
    <row r="78" spans="1:18">
      <c r="A78" t="s">
        <v>41</v>
      </c>
      <c r="B78">
        <v>339446</v>
      </c>
      <c r="C78">
        <v>348837</v>
      </c>
      <c r="D78">
        <v>323664</v>
      </c>
      <c r="E78">
        <v>310195</v>
      </c>
      <c r="F78">
        <v>305873</v>
      </c>
      <c r="G78">
        <v>299590</v>
      </c>
      <c r="H78">
        <v>287467</v>
      </c>
      <c r="I78">
        <v>272150</v>
      </c>
      <c r="J78">
        <v>268300</v>
      </c>
      <c r="K78">
        <v>267481</v>
      </c>
      <c r="L78">
        <v>255471</v>
      </c>
    </row>
    <row r="79" spans="1:18">
      <c r="A79" t="s">
        <v>42</v>
      </c>
      <c r="B79">
        <v>5276</v>
      </c>
      <c r="C79">
        <v>4659</v>
      </c>
      <c r="D79">
        <v>4376</v>
      </c>
      <c r="E79">
        <v>4165</v>
      </c>
      <c r="F79">
        <v>3582</v>
      </c>
      <c r="G79">
        <v>4208</v>
      </c>
      <c r="H79">
        <v>3287</v>
      </c>
      <c r="I79">
        <v>3212</v>
      </c>
      <c r="J79">
        <v>2882</v>
      </c>
      <c r="K79">
        <v>3093</v>
      </c>
      <c r="L79">
        <v>2823</v>
      </c>
    </row>
    <row r="80" spans="1:18">
      <c r="A80" t="s">
        <v>43</v>
      </c>
      <c r="B80">
        <v>554</v>
      </c>
      <c r="C80">
        <v>508</v>
      </c>
      <c r="D80">
        <v>436</v>
      </c>
      <c r="E80">
        <v>451</v>
      </c>
      <c r="F80">
        <v>380</v>
      </c>
      <c r="G80">
        <v>378</v>
      </c>
      <c r="H80">
        <v>325</v>
      </c>
      <c r="I80">
        <v>304</v>
      </c>
      <c r="J80">
        <v>268</v>
      </c>
      <c r="K80">
        <v>236</v>
      </c>
      <c r="L80">
        <v>215</v>
      </c>
    </row>
    <row r="81" spans="1:12">
      <c r="A81" t="s">
        <v>44</v>
      </c>
      <c r="B81">
        <v>32184</v>
      </c>
      <c r="C81">
        <v>34485</v>
      </c>
      <c r="D81">
        <v>32877</v>
      </c>
      <c r="E81">
        <v>31802</v>
      </c>
      <c r="F81">
        <v>31997</v>
      </c>
      <c r="G81">
        <v>31614</v>
      </c>
      <c r="H81">
        <v>31055</v>
      </c>
      <c r="I81">
        <v>29211</v>
      </c>
      <c r="J81">
        <v>26619</v>
      </c>
      <c r="K81">
        <v>26578</v>
      </c>
      <c r="L81">
        <v>25498</v>
      </c>
    </row>
    <row r="82" spans="1:12">
      <c r="A82" t="s">
        <v>45</v>
      </c>
      <c r="B82">
        <v>12498</v>
      </c>
      <c r="C82">
        <v>12698</v>
      </c>
      <c r="D82">
        <v>12804</v>
      </c>
      <c r="E82">
        <v>13231</v>
      </c>
      <c r="F82">
        <v>14127</v>
      </c>
      <c r="G82">
        <v>14977</v>
      </c>
      <c r="H82">
        <v>15713</v>
      </c>
      <c r="I82">
        <v>15636</v>
      </c>
      <c r="J82">
        <v>15874</v>
      </c>
      <c r="K82">
        <v>15565</v>
      </c>
      <c r="L82">
        <v>17440</v>
      </c>
    </row>
    <row r="83" spans="1:12">
      <c r="A83" t="s">
        <v>46</v>
      </c>
      <c r="B83">
        <v>59921</v>
      </c>
      <c r="C83">
        <v>53280</v>
      </c>
      <c r="D83">
        <v>53881</v>
      </c>
      <c r="E83">
        <v>47065</v>
      </c>
      <c r="F83">
        <v>40529</v>
      </c>
      <c r="G83">
        <v>36841</v>
      </c>
      <c r="H83">
        <v>33205</v>
      </c>
      <c r="I83">
        <v>28665</v>
      </c>
      <c r="J83">
        <v>26652</v>
      </c>
      <c r="K83">
        <v>22208</v>
      </c>
      <c r="L83">
        <v>21012</v>
      </c>
    </row>
    <row r="84" spans="1:12">
      <c r="A84" t="s">
        <v>24</v>
      </c>
      <c r="B84">
        <v>40268</v>
      </c>
      <c r="C84">
        <v>42806</v>
      </c>
      <c r="D84">
        <v>44727</v>
      </c>
      <c r="E84">
        <v>48253</v>
      </c>
      <c r="F84">
        <v>50896</v>
      </c>
      <c r="G84">
        <v>54955</v>
      </c>
      <c r="H84">
        <v>58606</v>
      </c>
      <c r="I84">
        <v>55320</v>
      </c>
      <c r="J84">
        <v>55028</v>
      </c>
      <c r="K84">
        <v>52159</v>
      </c>
      <c r="L84">
        <v>54181</v>
      </c>
    </row>
    <row r="85" spans="1:12">
      <c r="A85" t="s">
        <v>47</v>
      </c>
      <c r="B85">
        <v>1288</v>
      </c>
      <c r="C85">
        <v>1330</v>
      </c>
      <c r="D85">
        <v>1115</v>
      </c>
      <c r="E85">
        <v>1119</v>
      </c>
      <c r="F85">
        <v>1093</v>
      </c>
      <c r="G85">
        <v>911</v>
      </c>
      <c r="H85">
        <v>778</v>
      </c>
      <c r="I85">
        <v>702</v>
      </c>
      <c r="J85">
        <v>707</v>
      </c>
      <c r="K85">
        <v>768</v>
      </c>
      <c r="L85">
        <v>608</v>
      </c>
    </row>
    <row r="86" spans="1:12">
      <c r="A86" t="s">
        <v>48</v>
      </c>
      <c r="B86">
        <v>4896</v>
      </c>
      <c r="C86">
        <v>5734</v>
      </c>
      <c r="D86">
        <v>7096</v>
      </c>
      <c r="E86">
        <v>7285</v>
      </c>
      <c r="F86">
        <v>7260</v>
      </c>
      <c r="G86">
        <v>6565</v>
      </c>
      <c r="H86">
        <v>6389</v>
      </c>
      <c r="I86">
        <v>5278</v>
      </c>
      <c r="J86">
        <v>5111</v>
      </c>
      <c r="K86">
        <v>5852</v>
      </c>
      <c r="L86">
        <v>8688</v>
      </c>
    </row>
    <row r="88" spans="1:12">
      <c r="A88" t="s">
        <v>36</v>
      </c>
      <c r="B88">
        <f>B77+B78+B79+B80+B81</f>
        <v>377460</v>
      </c>
      <c r="C88">
        <f t="shared" ref="C88:L88" si="11">C77+C78+C79+C80+C81</f>
        <v>388489</v>
      </c>
      <c r="D88">
        <f t="shared" si="11"/>
        <v>361402</v>
      </c>
      <c r="E88">
        <f t="shared" si="11"/>
        <v>347058</v>
      </c>
      <c r="F88">
        <f t="shared" si="11"/>
        <v>342364</v>
      </c>
      <c r="G88">
        <f t="shared" si="11"/>
        <v>336413</v>
      </c>
      <c r="H88">
        <f t="shared" si="11"/>
        <v>322770</v>
      </c>
      <c r="I88">
        <f t="shared" si="11"/>
        <v>305559</v>
      </c>
      <c r="J88">
        <f t="shared" si="11"/>
        <v>298802</v>
      </c>
      <c r="K88">
        <f t="shared" si="11"/>
        <v>298132</v>
      </c>
      <c r="L88">
        <f t="shared" si="11"/>
        <v>284725</v>
      </c>
    </row>
    <row r="89" spans="1:12">
      <c r="A89" t="s">
        <v>37</v>
      </c>
      <c r="B89">
        <f>B82+B83+B84+B85+B86</f>
        <v>118871</v>
      </c>
      <c r="C89">
        <f t="shared" ref="C89:L89" si="12">C82+C83+C84+C85+C86</f>
        <v>115848</v>
      </c>
      <c r="D89">
        <f t="shared" si="12"/>
        <v>119623</v>
      </c>
      <c r="E89">
        <f t="shared" si="12"/>
        <v>116953</v>
      </c>
      <c r="F89">
        <f t="shared" si="12"/>
        <v>113905</v>
      </c>
      <c r="G89">
        <f t="shared" si="12"/>
        <v>114249</v>
      </c>
      <c r="H89">
        <f t="shared" si="12"/>
        <v>114691</v>
      </c>
      <c r="I89">
        <f t="shared" si="12"/>
        <v>105601</v>
      </c>
      <c r="J89">
        <f t="shared" si="12"/>
        <v>103372</v>
      </c>
      <c r="K89">
        <f t="shared" si="12"/>
        <v>96552</v>
      </c>
      <c r="L89">
        <f t="shared" si="12"/>
        <v>101929</v>
      </c>
    </row>
    <row r="91" spans="1:12">
      <c r="A91" t="s">
        <v>50</v>
      </c>
      <c r="B91">
        <v>2050</v>
      </c>
      <c r="C91">
        <v>1851</v>
      </c>
      <c r="D91">
        <v>1990</v>
      </c>
      <c r="E91">
        <v>1690</v>
      </c>
      <c r="F91">
        <v>1681</v>
      </c>
      <c r="G91">
        <v>1650</v>
      </c>
      <c r="H91">
        <v>1445</v>
      </c>
      <c r="I91">
        <v>1295</v>
      </c>
      <c r="J91">
        <v>1261</v>
      </c>
      <c r="K91">
        <v>1207</v>
      </c>
      <c r="L91">
        <v>1168</v>
      </c>
    </row>
    <row r="92" spans="1:12">
      <c r="A92" t="s">
        <v>51</v>
      </c>
      <c r="B92">
        <v>4114</v>
      </c>
      <c r="C92">
        <v>4060</v>
      </c>
      <c r="D92">
        <v>3766</v>
      </c>
      <c r="E92">
        <v>3693</v>
      </c>
      <c r="F92">
        <v>3408</v>
      </c>
      <c r="G92">
        <v>3296</v>
      </c>
      <c r="H92">
        <v>3115</v>
      </c>
      <c r="I92">
        <v>2834</v>
      </c>
      <c r="J92">
        <v>2365</v>
      </c>
      <c r="K92">
        <v>2314</v>
      </c>
      <c r="L92">
        <v>2131</v>
      </c>
    </row>
    <row r="93" spans="1:12">
      <c r="A93" t="s">
        <v>52</v>
      </c>
      <c r="B93">
        <v>932</v>
      </c>
      <c r="C93">
        <v>1069</v>
      </c>
      <c r="D93">
        <v>807</v>
      </c>
      <c r="E93">
        <v>739</v>
      </c>
      <c r="F93">
        <v>729</v>
      </c>
      <c r="G93">
        <v>723</v>
      </c>
      <c r="H93">
        <v>571</v>
      </c>
      <c r="I93">
        <v>596</v>
      </c>
      <c r="J93">
        <v>611</v>
      </c>
      <c r="K93">
        <v>569</v>
      </c>
      <c r="L93">
        <v>561</v>
      </c>
    </row>
    <row r="95" spans="1:12">
      <c r="A95" t="s">
        <v>53</v>
      </c>
      <c r="B95">
        <f t="shared" ref="B95:L95" si="13">B93</f>
        <v>932</v>
      </c>
      <c r="C95">
        <f t="shared" si="13"/>
        <v>1069</v>
      </c>
      <c r="D95">
        <f t="shared" si="13"/>
        <v>807</v>
      </c>
      <c r="E95">
        <f t="shared" si="13"/>
        <v>739</v>
      </c>
      <c r="F95">
        <f t="shared" si="13"/>
        <v>729</v>
      </c>
      <c r="G95">
        <f t="shared" si="13"/>
        <v>723</v>
      </c>
      <c r="H95">
        <f t="shared" si="13"/>
        <v>571</v>
      </c>
      <c r="I95">
        <f t="shared" si="13"/>
        <v>596</v>
      </c>
      <c r="J95">
        <f t="shared" si="13"/>
        <v>611</v>
      </c>
      <c r="K95">
        <f t="shared" si="13"/>
        <v>569</v>
      </c>
      <c r="L95">
        <f t="shared" si="13"/>
        <v>561</v>
      </c>
    </row>
    <row r="96" spans="1:12">
      <c r="A96" t="s">
        <v>49</v>
      </c>
      <c r="B96">
        <f t="shared" ref="B96:L96" si="14">B92+B91</f>
        <v>6164</v>
      </c>
      <c r="C96">
        <f t="shared" si="14"/>
        <v>5911</v>
      </c>
      <c r="D96">
        <f t="shared" si="14"/>
        <v>5756</v>
      </c>
      <c r="E96">
        <f t="shared" si="14"/>
        <v>5383</v>
      </c>
      <c r="F96">
        <f t="shared" si="14"/>
        <v>5089</v>
      </c>
      <c r="G96">
        <f t="shared" si="14"/>
        <v>4946</v>
      </c>
      <c r="H96">
        <f t="shared" si="14"/>
        <v>4560</v>
      </c>
      <c r="I96">
        <f t="shared" si="14"/>
        <v>4129</v>
      </c>
      <c r="J96">
        <f t="shared" si="14"/>
        <v>3626</v>
      </c>
      <c r="K96">
        <f t="shared" si="14"/>
        <v>3521</v>
      </c>
      <c r="L96">
        <f t="shared" si="14"/>
        <v>3299</v>
      </c>
    </row>
  </sheetData>
  <phoneticPr fontId="2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opLeftCell="A102" workbookViewId="0">
      <selection activeCell="Q114" sqref="Q114:T118"/>
    </sheetView>
  </sheetViews>
  <sheetFormatPr baseColWidth="10" defaultColWidth="11.1640625" defaultRowHeight="15" x14ac:dyDescent="0"/>
  <sheetData>
    <row r="1" spans="1:12">
      <c r="A1" s="16" t="s">
        <v>2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</row>
    <row r="2" spans="1:12">
      <c r="A2" t="s">
        <v>78</v>
      </c>
      <c r="B2">
        <v>2162</v>
      </c>
      <c r="C2">
        <v>3147</v>
      </c>
      <c r="D2">
        <v>3927</v>
      </c>
      <c r="E2">
        <v>5269</v>
      </c>
      <c r="F2">
        <v>6235</v>
      </c>
      <c r="G2">
        <v>6407</v>
      </c>
      <c r="H2">
        <v>6647</v>
      </c>
      <c r="I2">
        <v>6030</v>
      </c>
      <c r="J2">
        <v>6042</v>
      </c>
      <c r="K2">
        <v>6028</v>
      </c>
      <c r="L2">
        <v>6300</v>
      </c>
    </row>
    <row r="3" spans="1:12">
      <c r="A3" t="s">
        <v>81</v>
      </c>
      <c r="B3">
        <v>8677</v>
      </c>
      <c r="C3">
        <v>9391</v>
      </c>
      <c r="D3">
        <v>9932</v>
      </c>
      <c r="E3">
        <v>9673</v>
      </c>
      <c r="F3">
        <v>10362</v>
      </c>
      <c r="G3">
        <v>9335</v>
      </c>
      <c r="H3">
        <v>8668</v>
      </c>
      <c r="I3">
        <v>7611</v>
      </c>
      <c r="J3">
        <v>6877</v>
      </c>
      <c r="K3">
        <v>6110</v>
      </c>
      <c r="L3">
        <v>6012</v>
      </c>
    </row>
    <row r="4" spans="1:12">
      <c r="A4" t="s">
        <v>79</v>
      </c>
      <c r="B4">
        <v>28103</v>
      </c>
      <c r="C4">
        <v>30687</v>
      </c>
      <c r="D4">
        <v>31906</v>
      </c>
      <c r="E4">
        <v>30912</v>
      </c>
      <c r="F4">
        <v>30792</v>
      </c>
      <c r="G4">
        <v>27749</v>
      </c>
      <c r="H4">
        <v>24251</v>
      </c>
      <c r="I4">
        <v>21899</v>
      </c>
      <c r="J4">
        <v>18943</v>
      </c>
      <c r="K4">
        <v>17605</v>
      </c>
      <c r="L4">
        <v>16454</v>
      </c>
    </row>
    <row r="5" spans="1:12">
      <c r="A5" t="s">
        <v>80</v>
      </c>
      <c r="B5">
        <v>21381</v>
      </c>
      <c r="C5">
        <v>23289</v>
      </c>
      <c r="D5">
        <v>23364</v>
      </c>
      <c r="E5">
        <v>22156</v>
      </c>
      <c r="F5">
        <v>21721</v>
      </c>
      <c r="G5">
        <v>19699</v>
      </c>
      <c r="H5">
        <v>16379</v>
      </c>
      <c r="I5">
        <v>14372</v>
      </c>
      <c r="J5">
        <v>12544</v>
      </c>
      <c r="K5">
        <v>10817</v>
      </c>
      <c r="L5">
        <v>9965</v>
      </c>
    </row>
    <row r="6" spans="1:12">
      <c r="A6" t="s">
        <v>82</v>
      </c>
      <c r="B6">
        <v>7918</v>
      </c>
      <c r="C6">
        <v>8687</v>
      </c>
      <c r="D6">
        <v>8783</v>
      </c>
      <c r="E6">
        <v>7263</v>
      </c>
      <c r="F6">
        <v>7481</v>
      </c>
      <c r="G6">
        <v>6967</v>
      </c>
      <c r="H6">
        <v>6566</v>
      </c>
      <c r="I6">
        <v>6098</v>
      </c>
      <c r="J6">
        <v>5563</v>
      </c>
      <c r="K6">
        <v>4872</v>
      </c>
      <c r="L6">
        <v>4581</v>
      </c>
    </row>
    <row r="7" spans="1:12">
      <c r="A7" t="s">
        <v>83</v>
      </c>
      <c r="B7">
        <v>5471</v>
      </c>
      <c r="C7">
        <v>6326</v>
      </c>
      <c r="D7">
        <v>6103</v>
      </c>
      <c r="E7">
        <v>5317</v>
      </c>
      <c r="F7">
        <v>6495</v>
      </c>
      <c r="G7">
        <v>6532</v>
      </c>
      <c r="H7">
        <v>4965</v>
      </c>
      <c r="I7">
        <v>4261</v>
      </c>
      <c r="J7">
        <v>3724</v>
      </c>
      <c r="K7">
        <v>3439</v>
      </c>
      <c r="L7">
        <v>3222</v>
      </c>
    </row>
    <row r="8" spans="1:12">
      <c r="A8" t="s">
        <v>84</v>
      </c>
      <c r="B8">
        <v>883</v>
      </c>
      <c r="C8">
        <v>1100</v>
      </c>
      <c r="D8">
        <v>1258</v>
      </c>
      <c r="E8">
        <v>1612</v>
      </c>
      <c r="F8">
        <v>2106</v>
      </c>
      <c r="G8">
        <v>1900</v>
      </c>
      <c r="H8">
        <v>3882</v>
      </c>
      <c r="I8">
        <v>3427</v>
      </c>
      <c r="J8">
        <v>3169</v>
      </c>
      <c r="K8">
        <v>3057</v>
      </c>
      <c r="L8">
        <v>3010</v>
      </c>
    </row>
    <row r="9" spans="1:12">
      <c r="A9" t="s">
        <v>85</v>
      </c>
      <c r="B9">
        <v>15520</v>
      </c>
      <c r="C9">
        <v>19169</v>
      </c>
      <c r="D9">
        <v>19842</v>
      </c>
      <c r="E9">
        <v>18571</v>
      </c>
      <c r="F9">
        <v>17679</v>
      </c>
      <c r="G9">
        <v>16335</v>
      </c>
      <c r="H9">
        <v>13892</v>
      </c>
      <c r="I9">
        <v>14004</v>
      </c>
      <c r="J9">
        <v>12820</v>
      </c>
      <c r="K9">
        <v>12052</v>
      </c>
      <c r="L9">
        <v>11825</v>
      </c>
    </row>
    <row r="10" spans="1:12">
      <c r="A10" t="s">
        <v>35</v>
      </c>
      <c r="B10">
        <v>3738</v>
      </c>
      <c r="C10">
        <v>4134</v>
      </c>
      <c r="D10">
        <v>4266</v>
      </c>
      <c r="E10">
        <v>3599</v>
      </c>
      <c r="F10">
        <v>4208</v>
      </c>
      <c r="G10">
        <v>3814</v>
      </c>
      <c r="H10">
        <v>4205</v>
      </c>
      <c r="I10">
        <v>3947</v>
      </c>
      <c r="J10">
        <v>3802</v>
      </c>
      <c r="K10">
        <v>3779</v>
      </c>
      <c r="L10">
        <v>3856</v>
      </c>
    </row>
    <row r="12" spans="1:12">
      <c r="A12" s="19" t="s">
        <v>6</v>
      </c>
      <c r="B12" s="16">
        <v>2000</v>
      </c>
      <c r="C12" s="16">
        <v>2001</v>
      </c>
      <c r="D12" s="16">
        <v>2002</v>
      </c>
      <c r="E12" s="16">
        <v>2003</v>
      </c>
      <c r="F12" s="16">
        <v>2004</v>
      </c>
      <c r="G12" s="16">
        <v>2005</v>
      </c>
      <c r="H12" s="16">
        <v>2006</v>
      </c>
      <c r="I12" s="16">
        <v>2007</v>
      </c>
      <c r="J12" s="16">
        <v>2008</v>
      </c>
      <c r="K12" s="16">
        <v>2009</v>
      </c>
      <c r="L12" s="16">
        <v>2010</v>
      </c>
    </row>
    <row r="13" spans="1:12">
      <c r="A13" t="s">
        <v>78</v>
      </c>
      <c r="B13">
        <v>16916</v>
      </c>
      <c r="C13">
        <v>24565</v>
      </c>
      <c r="D13">
        <v>29611</v>
      </c>
      <c r="E13">
        <v>36257</v>
      </c>
      <c r="F13">
        <v>24466</v>
      </c>
      <c r="G13">
        <v>18168</v>
      </c>
      <c r="H13">
        <v>14432</v>
      </c>
      <c r="I13">
        <v>12364</v>
      </c>
      <c r="J13">
        <v>10848</v>
      </c>
      <c r="K13">
        <v>9147</v>
      </c>
      <c r="L13">
        <v>9700</v>
      </c>
    </row>
    <row r="14" spans="1:12">
      <c r="A14" t="s">
        <v>81</v>
      </c>
      <c r="B14">
        <v>47886</v>
      </c>
      <c r="C14">
        <v>54066</v>
      </c>
      <c r="D14">
        <v>58295</v>
      </c>
      <c r="E14">
        <v>50224</v>
      </c>
      <c r="F14">
        <v>41404</v>
      </c>
      <c r="G14">
        <v>34009</v>
      </c>
      <c r="H14">
        <v>28977</v>
      </c>
      <c r="I14">
        <v>24799</v>
      </c>
      <c r="J14">
        <v>20353</v>
      </c>
      <c r="K14">
        <v>18374</v>
      </c>
      <c r="L14">
        <v>17525</v>
      </c>
    </row>
    <row r="15" spans="1:12">
      <c r="A15" t="s">
        <v>79</v>
      </c>
      <c r="B15">
        <v>140946</v>
      </c>
      <c r="C15">
        <v>165288</v>
      </c>
      <c r="D15">
        <v>167075</v>
      </c>
      <c r="E15">
        <v>142096</v>
      </c>
      <c r="F15">
        <v>109128</v>
      </c>
      <c r="G15">
        <v>93065</v>
      </c>
      <c r="H15">
        <v>76703</v>
      </c>
      <c r="I15">
        <v>65060</v>
      </c>
      <c r="J15">
        <v>51701</v>
      </c>
      <c r="K15">
        <v>47220</v>
      </c>
      <c r="L15">
        <v>41702</v>
      </c>
    </row>
    <row r="16" spans="1:12">
      <c r="A16" t="s">
        <v>80</v>
      </c>
      <c r="B16">
        <v>104516</v>
      </c>
      <c r="C16">
        <v>120377</v>
      </c>
      <c r="D16">
        <v>118058</v>
      </c>
      <c r="E16">
        <v>99911</v>
      </c>
      <c r="F16">
        <v>79342</v>
      </c>
      <c r="G16">
        <v>70684</v>
      </c>
      <c r="H16">
        <v>55491</v>
      </c>
      <c r="I16">
        <v>46869</v>
      </c>
      <c r="J16">
        <v>37415</v>
      </c>
      <c r="K16">
        <v>32709</v>
      </c>
      <c r="L16">
        <v>28883</v>
      </c>
    </row>
    <row r="17" spans="1:12">
      <c r="A17" t="s">
        <v>82</v>
      </c>
      <c r="B17">
        <v>37788</v>
      </c>
      <c r="C17">
        <v>43825</v>
      </c>
      <c r="D17">
        <v>44610</v>
      </c>
      <c r="E17">
        <v>33293</v>
      </c>
      <c r="F17">
        <v>28455</v>
      </c>
      <c r="G17">
        <v>27154</v>
      </c>
      <c r="H17">
        <v>25643</v>
      </c>
      <c r="I17">
        <v>23532</v>
      </c>
      <c r="J17">
        <v>19074</v>
      </c>
      <c r="K17">
        <v>16848</v>
      </c>
      <c r="L17">
        <v>15140</v>
      </c>
    </row>
    <row r="18" spans="1:12">
      <c r="A18" t="s">
        <v>83</v>
      </c>
      <c r="B18">
        <v>26189</v>
      </c>
      <c r="C18">
        <v>37878</v>
      </c>
      <c r="D18">
        <v>34405</v>
      </c>
      <c r="E18">
        <v>27991</v>
      </c>
      <c r="F18">
        <v>27154</v>
      </c>
      <c r="G18">
        <v>29760</v>
      </c>
      <c r="H18">
        <v>22424</v>
      </c>
      <c r="I18">
        <v>18201</v>
      </c>
      <c r="J18">
        <v>14407</v>
      </c>
      <c r="K18">
        <v>13298</v>
      </c>
      <c r="L18">
        <v>12003</v>
      </c>
    </row>
    <row r="19" spans="1:12">
      <c r="A19" t="s">
        <v>84</v>
      </c>
      <c r="B19">
        <v>13082</v>
      </c>
      <c r="C19">
        <v>16425</v>
      </c>
      <c r="D19">
        <v>18633</v>
      </c>
      <c r="E19">
        <v>23357</v>
      </c>
      <c r="F19">
        <v>17757</v>
      </c>
      <c r="G19">
        <v>11730</v>
      </c>
      <c r="H19">
        <v>22500</v>
      </c>
      <c r="I19">
        <v>17825</v>
      </c>
      <c r="J19">
        <v>14935</v>
      </c>
      <c r="K19">
        <v>13879</v>
      </c>
      <c r="L19">
        <v>12379</v>
      </c>
    </row>
    <row r="20" spans="1:12">
      <c r="A20" t="s">
        <v>85</v>
      </c>
      <c r="B20">
        <v>200804</v>
      </c>
      <c r="C20">
        <v>257839</v>
      </c>
      <c r="D20">
        <v>266808</v>
      </c>
      <c r="E20">
        <v>227039</v>
      </c>
      <c r="F20">
        <v>161270</v>
      </c>
      <c r="G20">
        <v>137306</v>
      </c>
      <c r="H20">
        <v>109089</v>
      </c>
      <c r="I20">
        <v>96608</v>
      </c>
      <c r="J20">
        <v>77680</v>
      </c>
      <c r="K20">
        <v>69954</v>
      </c>
      <c r="L20">
        <v>65971</v>
      </c>
    </row>
    <row r="21" spans="1:12">
      <c r="A21" t="s">
        <v>35</v>
      </c>
      <c r="B21">
        <v>28845</v>
      </c>
      <c r="C21">
        <v>34656</v>
      </c>
      <c r="D21">
        <v>35642</v>
      </c>
      <c r="E21">
        <v>27338</v>
      </c>
      <c r="F21">
        <v>28913</v>
      </c>
      <c r="G21">
        <v>28378</v>
      </c>
      <c r="H21">
        <v>23522</v>
      </c>
      <c r="I21">
        <v>21951</v>
      </c>
      <c r="J21">
        <v>18791</v>
      </c>
      <c r="K21">
        <v>16922</v>
      </c>
      <c r="L21">
        <v>16218</v>
      </c>
    </row>
    <row r="23" spans="1:12">
      <c r="A23" s="19" t="s">
        <v>0</v>
      </c>
      <c r="B23" s="19">
        <v>2000</v>
      </c>
      <c r="C23" s="19">
        <v>2001</v>
      </c>
      <c r="D23" s="19">
        <v>2002</v>
      </c>
      <c r="E23" s="19">
        <v>2003</v>
      </c>
      <c r="F23" s="19">
        <v>2004</v>
      </c>
      <c r="G23" s="19">
        <v>2005</v>
      </c>
      <c r="H23" s="19">
        <v>2006</v>
      </c>
      <c r="I23" s="19">
        <v>2007</v>
      </c>
      <c r="J23" s="19">
        <v>2008</v>
      </c>
      <c r="K23" s="19">
        <v>2009</v>
      </c>
      <c r="L23" s="19">
        <v>2010</v>
      </c>
    </row>
    <row r="24" spans="1:12">
      <c r="A24" t="s">
        <v>78</v>
      </c>
      <c r="B24">
        <v>6442</v>
      </c>
      <c r="C24">
        <v>9978</v>
      </c>
      <c r="D24">
        <v>12253</v>
      </c>
      <c r="E24">
        <v>14867</v>
      </c>
      <c r="F24">
        <v>15213</v>
      </c>
      <c r="G24">
        <v>15681</v>
      </c>
      <c r="H24">
        <v>17116</v>
      </c>
      <c r="I24">
        <v>14628</v>
      </c>
      <c r="J24">
        <v>13768</v>
      </c>
      <c r="K24">
        <v>12780</v>
      </c>
      <c r="L24">
        <v>13739</v>
      </c>
    </row>
    <row r="25" spans="1:12">
      <c r="A25" t="s">
        <v>81</v>
      </c>
      <c r="B25">
        <v>30470</v>
      </c>
      <c r="C25">
        <v>39114</v>
      </c>
      <c r="D25">
        <v>40807</v>
      </c>
      <c r="E25">
        <v>38080</v>
      </c>
      <c r="F25">
        <v>38465</v>
      </c>
      <c r="G25">
        <v>35384</v>
      </c>
      <c r="H25">
        <v>31991</v>
      </c>
      <c r="I25">
        <v>27930</v>
      </c>
      <c r="J25">
        <v>23064</v>
      </c>
      <c r="K25">
        <v>20756</v>
      </c>
      <c r="L25">
        <v>19576</v>
      </c>
    </row>
    <row r="26" spans="1:12">
      <c r="A26" t="s">
        <v>79</v>
      </c>
      <c r="B26">
        <v>107318</v>
      </c>
      <c r="C26">
        <v>133409</v>
      </c>
      <c r="D26">
        <v>136809</v>
      </c>
      <c r="E26">
        <v>122930</v>
      </c>
      <c r="F26">
        <v>109106</v>
      </c>
      <c r="G26">
        <v>99964</v>
      </c>
      <c r="H26">
        <v>88384</v>
      </c>
      <c r="I26">
        <v>76788</v>
      </c>
      <c r="J26">
        <v>59900</v>
      </c>
      <c r="K26">
        <v>55326</v>
      </c>
      <c r="L26">
        <v>48672</v>
      </c>
    </row>
    <row r="27" spans="1:12">
      <c r="A27" t="s">
        <v>80</v>
      </c>
      <c r="B27">
        <v>87467</v>
      </c>
      <c r="C27">
        <v>103353</v>
      </c>
      <c r="D27">
        <v>103422</v>
      </c>
      <c r="E27">
        <v>87335</v>
      </c>
      <c r="F27">
        <v>81785</v>
      </c>
      <c r="G27">
        <v>77959</v>
      </c>
      <c r="H27">
        <v>66180</v>
      </c>
      <c r="I27">
        <v>56793</v>
      </c>
      <c r="J27">
        <v>44276</v>
      </c>
      <c r="K27">
        <v>38983</v>
      </c>
      <c r="L27">
        <v>34287</v>
      </c>
    </row>
    <row r="28" spans="1:12">
      <c r="A28" t="s">
        <v>82</v>
      </c>
      <c r="B28">
        <v>34256</v>
      </c>
      <c r="C28">
        <v>41497</v>
      </c>
      <c r="D28">
        <v>40919</v>
      </c>
      <c r="E28">
        <v>31504</v>
      </c>
      <c r="F28">
        <v>31800</v>
      </c>
      <c r="G28">
        <v>31182</v>
      </c>
      <c r="H28">
        <v>31214</v>
      </c>
      <c r="I28">
        <v>29114</v>
      </c>
      <c r="J28">
        <v>23460</v>
      </c>
      <c r="K28">
        <v>20313</v>
      </c>
      <c r="L28">
        <v>18333</v>
      </c>
    </row>
    <row r="29" spans="1:12">
      <c r="A29" t="s">
        <v>83</v>
      </c>
      <c r="B29">
        <v>24409</v>
      </c>
      <c r="C29">
        <v>34814</v>
      </c>
      <c r="D29">
        <v>32038</v>
      </c>
      <c r="E29">
        <v>27978</v>
      </c>
      <c r="F29">
        <v>29793</v>
      </c>
      <c r="G29">
        <v>33301</v>
      </c>
      <c r="H29">
        <v>26903</v>
      </c>
      <c r="I29">
        <v>22369</v>
      </c>
      <c r="J29">
        <v>17099</v>
      </c>
      <c r="K29">
        <v>16007</v>
      </c>
      <c r="L29">
        <v>14400</v>
      </c>
    </row>
    <row r="30" spans="1:12">
      <c r="A30" t="s">
        <v>84</v>
      </c>
      <c r="B30">
        <v>4680</v>
      </c>
      <c r="C30">
        <v>7389</v>
      </c>
      <c r="D30">
        <v>7869</v>
      </c>
      <c r="E30">
        <v>9108</v>
      </c>
      <c r="F30">
        <v>12967</v>
      </c>
      <c r="G30">
        <v>12388</v>
      </c>
      <c r="H30">
        <v>24101</v>
      </c>
      <c r="I30">
        <v>19987</v>
      </c>
      <c r="J30">
        <v>16628</v>
      </c>
      <c r="K30">
        <v>15342</v>
      </c>
      <c r="L30">
        <v>13787</v>
      </c>
    </row>
    <row r="31" spans="1:12">
      <c r="A31" t="s">
        <v>85</v>
      </c>
      <c r="B31">
        <f>75693+19975+9158</f>
        <v>104826</v>
      </c>
      <c r="C31">
        <f>107676+30077+13086</f>
        <v>150839</v>
      </c>
      <c r="D31">
        <f>112808+33162+14895</f>
        <v>160865</v>
      </c>
      <c r="E31">
        <f>97124+29117+13069</f>
        <v>139310</v>
      </c>
      <c r="F31">
        <f>94978+26131+11899+1172</f>
        <v>134180</v>
      </c>
      <c r="G31">
        <f>95693+25786+12583+1898</f>
        <v>135960</v>
      </c>
      <c r="H31">
        <f>118175+1897+172+302</f>
        <v>120546</v>
      </c>
      <c r="I31">
        <f>107284+1708+170+265</f>
        <v>109427</v>
      </c>
      <c r="J31">
        <f>85256+1307+133+185</f>
        <v>86881</v>
      </c>
      <c r="K31">
        <f>76326+1162+119+143</f>
        <v>77750</v>
      </c>
      <c r="L31">
        <f>72777+976+93+167</f>
        <v>74013</v>
      </c>
    </row>
    <row r="32" spans="1:12">
      <c r="A32" t="s">
        <v>35</v>
      </c>
      <c r="B32">
        <f>18853</f>
        <v>18853</v>
      </c>
      <c r="C32">
        <v>26092</v>
      </c>
      <c r="D32">
        <v>27092</v>
      </c>
      <c r="E32">
        <v>23062</v>
      </c>
      <c r="F32">
        <v>27555</v>
      </c>
      <c r="G32">
        <v>28092</v>
      </c>
      <c r="H32">
        <v>24704</v>
      </c>
      <c r="I32">
        <v>23406</v>
      </c>
      <c r="J32">
        <v>19843</v>
      </c>
      <c r="K32">
        <v>17868</v>
      </c>
      <c r="L32">
        <v>17268</v>
      </c>
    </row>
    <row r="34" spans="1:12">
      <c r="A34" s="13" t="s">
        <v>3</v>
      </c>
      <c r="B34">
        <v>2000</v>
      </c>
      <c r="C34">
        <v>2001</v>
      </c>
      <c r="D34">
        <v>2002</v>
      </c>
      <c r="E34">
        <v>2003</v>
      </c>
      <c r="F34">
        <v>2004</v>
      </c>
      <c r="G34">
        <v>2005</v>
      </c>
      <c r="H34">
        <v>2006</v>
      </c>
      <c r="I34">
        <v>2007</v>
      </c>
      <c r="J34">
        <v>2008</v>
      </c>
      <c r="K34">
        <v>2009</v>
      </c>
      <c r="L34">
        <v>2010</v>
      </c>
    </row>
    <row r="35" spans="1:12" ht="16">
      <c r="A35" s="2" t="s">
        <v>157</v>
      </c>
      <c r="B35">
        <f>(B2+B24)/B13</f>
        <v>0.50863088200520212</v>
      </c>
      <c r="C35">
        <f t="shared" ref="C35:L35" si="0">(C2+C24)/C13</f>
        <v>0.53429676368817425</v>
      </c>
      <c r="D35">
        <f t="shared" si="0"/>
        <v>0.54641856067002126</v>
      </c>
      <c r="E35">
        <f t="shared" si="0"/>
        <v>0.55536861847367403</v>
      </c>
      <c r="F35">
        <f t="shared" si="0"/>
        <v>0.87664514019455575</v>
      </c>
      <c r="G35">
        <f t="shared" si="0"/>
        <v>1.2157639806252751</v>
      </c>
      <c r="H35">
        <f t="shared" si="0"/>
        <v>1.6465493348115299</v>
      </c>
      <c r="I35">
        <f t="shared" si="0"/>
        <v>1.6708185053380782</v>
      </c>
      <c r="J35">
        <f t="shared" si="0"/>
        <v>1.8261430678466077</v>
      </c>
      <c r="K35">
        <f t="shared" si="0"/>
        <v>2.0561932874166393</v>
      </c>
      <c r="L35">
        <f t="shared" si="0"/>
        <v>2.0658762886597937</v>
      </c>
    </row>
    <row r="36" spans="1:12" ht="16">
      <c r="A36" s="2" t="s">
        <v>158</v>
      </c>
      <c r="B36">
        <f t="shared" ref="B36:L43" si="1">(B3+B25)/B14</f>
        <v>0.81750407217140708</v>
      </c>
      <c r="C36">
        <f t="shared" si="1"/>
        <v>0.89714423112492137</v>
      </c>
      <c r="D36">
        <f t="shared" si="1"/>
        <v>0.87038339480229865</v>
      </c>
      <c r="E36">
        <f t="shared" si="1"/>
        <v>0.95080041414463201</v>
      </c>
      <c r="F36">
        <f t="shared" si="1"/>
        <v>1.1792821949570089</v>
      </c>
      <c r="G36">
        <f t="shared" si="1"/>
        <v>1.3149166397130172</v>
      </c>
      <c r="H36">
        <f t="shared" si="1"/>
        <v>1.4031473237395176</v>
      </c>
      <c r="I36">
        <f t="shared" si="1"/>
        <v>1.4331626275253035</v>
      </c>
      <c r="J36">
        <f t="shared" si="1"/>
        <v>1.4710853436839777</v>
      </c>
      <c r="K36">
        <f t="shared" si="1"/>
        <v>1.4621748122346794</v>
      </c>
      <c r="L36">
        <f t="shared" si="1"/>
        <v>1.4600855920114122</v>
      </c>
    </row>
    <row r="37" spans="1:12" ht="16">
      <c r="A37" s="2" t="s">
        <v>159</v>
      </c>
      <c r="B37">
        <f t="shared" si="1"/>
        <v>0.96080059029699316</v>
      </c>
      <c r="C37">
        <f t="shared" si="1"/>
        <v>0.99278834519142345</v>
      </c>
      <c r="D37">
        <f t="shared" si="1"/>
        <v>1.0098159509202453</v>
      </c>
      <c r="E37">
        <f t="shared" si="1"/>
        <v>1.0826624254025448</v>
      </c>
      <c r="F37">
        <f t="shared" si="1"/>
        <v>1.281962466094861</v>
      </c>
      <c r="G37">
        <f t="shared" si="1"/>
        <v>1.3722989308547788</v>
      </c>
      <c r="H37">
        <f t="shared" si="1"/>
        <v>1.4684562533408081</v>
      </c>
      <c r="I37">
        <f t="shared" si="1"/>
        <v>1.5168613587457731</v>
      </c>
      <c r="J37">
        <f t="shared" si="1"/>
        <v>1.5249801744647105</v>
      </c>
      <c r="K37">
        <f t="shared" si="1"/>
        <v>1.5444938585345194</v>
      </c>
      <c r="L37">
        <f t="shared" si="1"/>
        <v>1.5616996786724857</v>
      </c>
    </row>
    <row r="38" spans="1:12" ht="16">
      <c r="A38" s="2" t="s">
        <v>160</v>
      </c>
      <c r="B38">
        <f t="shared" si="1"/>
        <v>1.0414481993187645</v>
      </c>
      <c r="C38">
        <f t="shared" si="1"/>
        <v>1.0520448258388231</v>
      </c>
      <c r="D38">
        <f t="shared" si="1"/>
        <v>1.0739297633366651</v>
      </c>
      <c r="E38">
        <f t="shared" si="1"/>
        <v>1.0958853379507763</v>
      </c>
      <c r="F38">
        <f t="shared" si="1"/>
        <v>1.3045549645837009</v>
      </c>
      <c r="G38">
        <f t="shared" si="1"/>
        <v>1.3816139437496464</v>
      </c>
      <c r="H38">
        <f t="shared" si="1"/>
        <v>1.4877908129246185</v>
      </c>
      <c r="I38">
        <f t="shared" si="1"/>
        <v>1.5183810194371545</v>
      </c>
      <c r="J38">
        <f t="shared" si="1"/>
        <v>1.5186422557797674</v>
      </c>
      <c r="K38">
        <f t="shared" si="1"/>
        <v>1.5225167385123362</v>
      </c>
      <c r="L38">
        <f t="shared" si="1"/>
        <v>1.5321123152027143</v>
      </c>
    </row>
    <row r="39" spans="1:12" ht="16">
      <c r="A39" s="2" t="s">
        <v>161</v>
      </c>
      <c r="B39">
        <f t="shared" si="1"/>
        <v>1.1160685932041918</v>
      </c>
      <c r="C39">
        <f t="shared" si="1"/>
        <v>1.1450998288648031</v>
      </c>
      <c r="D39">
        <f t="shared" si="1"/>
        <v>1.1141448105805873</v>
      </c>
      <c r="E39">
        <f t="shared" si="1"/>
        <v>1.1644189469257802</v>
      </c>
      <c r="F39">
        <f t="shared" si="1"/>
        <v>1.3804603760323317</v>
      </c>
      <c r="G39">
        <f t="shared" si="1"/>
        <v>1.4049127200412461</v>
      </c>
      <c r="H39">
        <f t="shared" si="1"/>
        <v>1.4733065553952345</v>
      </c>
      <c r="I39">
        <f t="shared" si="1"/>
        <v>1.4963454020057794</v>
      </c>
      <c r="J39">
        <f t="shared" si="1"/>
        <v>1.5216000838838208</v>
      </c>
      <c r="K39">
        <f t="shared" si="1"/>
        <v>1.4948361823361824</v>
      </c>
      <c r="L39">
        <f t="shared" si="1"/>
        <v>1.5134742404227213</v>
      </c>
    </row>
    <row r="40" spans="1:12" ht="16">
      <c r="A40" s="2" t="s">
        <v>162</v>
      </c>
      <c r="B40">
        <f t="shared" si="1"/>
        <v>1.1409370346328611</v>
      </c>
      <c r="C40">
        <f t="shared" si="1"/>
        <v>1.0861185912666984</v>
      </c>
      <c r="D40">
        <f t="shared" si="1"/>
        <v>1.1085888678971081</v>
      </c>
      <c r="E40">
        <f t="shared" si="1"/>
        <v>1.1894894787610304</v>
      </c>
      <c r="F40">
        <f t="shared" si="1"/>
        <v>1.3363776975767843</v>
      </c>
      <c r="G40">
        <f t="shared" si="1"/>
        <v>1.3384744623655913</v>
      </c>
      <c r="H40">
        <f t="shared" si="1"/>
        <v>1.4211559043881556</v>
      </c>
      <c r="I40">
        <f t="shared" si="1"/>
        <v>1.4631064227240262</v>
      </c>
      <c r="J40">
        <f t="shared" si="1"/>
        <v>1.4453390712847922</v>
      </c>
      <c r="K40">
        <f t="shared" si="1"/>
        <v>1.4623251616784478</v>
      </c>
      <c r="L40">
        <f t="shared" si="1"/>
        <v>1.4681329667583105</v>
      </c>
    </row>
    <row r="41" spans="1:12" ht="16">
      <c r="A41" s="2" t="s">
        <v>163</v>
      </c>
      <c r="B41">
        <f t="shared" si="1"/>
        <v>0.42524078887020333</v>
      </c>
      <c r="C41">
        <f t="shared" si="1"/>
        <v>0.51683409436834093</v>
      </c>
      <c r="D41">
        <f t="shared" si="1"/>
        <v>0.4898298717329469</v>
      </c>
      <c r="E41">
        <f t="shared" si="1"/>
        <v>0.45896305176178448</v>
      </c>
      <c r="F41">
        <f t="shared" si="1"/>
        <v>0.84884834149912713</v>
      </c>
      <c r="G41">
        <f t="shared" si="1"/>
        <v>1.2180733162830351</v>
      </c>
      <c r="H41">
        <f t="shared" si="1"/>
        <v>1.2436888888888888</v>
      </c>
      <c r="I41">
        <f t="shared" si="1"/>
        <v>1.3135483870967741</v>
      </c>
      <c r="J41">
        <f t="shared" si="1"/>
        <v>1.3255440241044527</v>
      </c>
      <c r="K41">
        <f t="shared" si="1"/>
        <v>1.3256718783774046</v>
      </c>
      <c r="L41">
        <f t="shared" si="1"/>
        <v>1.3568947410937879</v>
      </c>
    </row>
    <row r="42" spans="1:12" ht="16">
      <c r="A42" s="2" t="s">
        <v>164</v>
      </c>
      <c r="B42">
        <f t="shared" si="1"/>
        <v>0.59932073066273583</v>
      </c>
      <c r="C42">
        <f t="shared" si="1"/>
        <v>0.65935719576945306</v>
      </c>
      <c r="D42">
        <f t="shared" si="1"/>
        <v>0.67729228508890293</v>
      </c>
      <c r="E42">
        <f t="shared" si="1"/>
        <v>0.6953915406604152</v>
      </c>
      <c r="F42">
        <f t="shared" si="1"/>
        <v>0.94164444720034723</v>
      </c>
      <c r="G42">
        <f t="shared" si="1"/>
        <v>1.1091649308843021</v>
      </c>
      <c r="H42">
        <f t="shared" si="1"/>
        <v>1.23236989980658</v>
      </c>
      <c r="I42">
        <f t="shared" si="1"/>
        <v>1.2776478138456442</v>
      </c>
      <c r="J42">
        <f t="shared" si="1"/>
        <v>1.2834835221421215</v>
      </c>
      <c r="K42">
        <f t="shared" si="1"/>
        <v>1.2837293078308603</v>
      </c>
      <c r="L42">
        <f t="shared" si="1"/>
        <v>1.3011474738900426</v>
      </c>
    </row>
    <row r="43" spans="1:12" ht="16">
      <c r="A43" s="2" t="s">
        <v>165</v>
      </c>
      <c r="B43">
        <f t="shared" si="1"/>
        <v>0.78318599410643097</v>
      </c>
      <c r="C43">
        <f t="shared" si="1"/>
        <v>0.87217220683287167</v>
      </c>
      <c r="D43">
        <f t="shared" si="1"/>
        <v>0.87980472476292015</v>
      </c>
      <c r="E43">
        <f t="shared" si="1"/>
        <v>0.9752359353281147</v>
      </c>
      <c r="F43">
        <f t="shared" si="1"/>
        <v>1.0985715767993636</v>
      </c>
      <c r="G43">
        <f t="shared" si="1"/>
        <v>1.1243216576221016</v>
      </c>
      <c r="H43">
        <f t="shared" si="1"/>
        <v>1.2290196411869738</v>
      </c>
      <c r="I43">
        <f t="shared" si="1"/>
        <v>1.2460935720468316</v>
      </c>
      <c r="J43">
        <f t="shared" si="1"/>
        <v>1.2583151508700974</v>
      </c>
      <c r="K43">
        <f t="shared" si="1"/>
        <v>1.2792223141472638</v>
      </c>
      <c r="L43">
        <f t="shared" si="1"/>
        <v>1.3025033912936244</v>
      </c>
    </row>
    <row r="45" spans="1:12">
      <c r="A45" s="13" t="s">
        <v>4</v>
      </c>
      <c r="B45">
        <v>2000</v>
      </c>
      <c r="C45">
        <v>2001</v>
      </c>
      <c r="D45">
        <v>2002</v>
      </c>
      <c r="E45">
        <v>2003</v>
      </c>
      <c r="F45">
        <v>2004</v>
      </c>
      <c r="G45">
        <v>2005</v>
      </c>
      <c r="H45">
        <v>2006</v>
      </c>
      <c r="I45">
        <v>2007</v>
      </c>
      <c r="J45">
        <v>2008</v>
      </c>
      <c r="K45">
        <v>2009</v>
      </c>
      <c r="L45">
        <v>2010</v>
      </c>
    </row>
    <row r="46" spans="1:12" ht="16">
      <c r="A46" s="2" t="s">
        <v>157</v>
      </c>
      <c r="B46">
        <f>B2/(B2+B24)</f>
        <v>0.25127847512784751</v>
      </c>
      <c r="C46">
        <f t="shared" ref="C46:L46" si="2">C2/(C2+C24)</f>
        <v>0.23977142857142858</v>
      </c>
      <c r="D46">
        <f t="shared" si="2"/>
        <v>0.24270704573547588</v>
      </c>
      <c r="E46">
        <f t="shared" si="2"/>
        <v>0.26167063965037746</v>
      </c>
      <c r="F46">
        <f t="shared" si="2"/>
        <v>0.29070309585975385</v>
      </c>
      <c r="G46">
        <f t="shared" si="2"/>
        <v>0.29006700470843899</v>
      </c>
      <c r="H46">
        <f t="shared" si="2"/>
        <v>0.27972057400159911</v>
      </c>
      <c r="I46">
        <f t="shared" si="2"/>
        <v>0.29189660180075516</v>
      </c>
      <c r="J46">
        <f t="shared" si="2"/>
        <v>0.304997476022211</v>
      </c>
      <c r="K46">
        <f t="shared" si="2"/>
        <v>0.32050191407911527</v>
      </c>
      <c r="L46">
        <f t="shared" si="2"/>
        <v>0.31438694545636009</v>
      </c>
    </row>
    <row r="47" spans="1:12" ht="16">
      <c r="A47" s="2" t="s">
        <v>158</v>
      </c>
      <c r="B47">
        <f t="shared" ref="B47:L54" si="3">B3/(B3+B25)</f>
        <v>0.22165172299282193</v>
      </c>
      <c r="C47">
        <f t="shared" si="3"/>
        <v>0.19360890629831976</v>
      </c>
      <c r="D47">
        <f t="shared" si="3"/>
        <v>0.19574686138867539</v>
      </c>
      <c r="E47">
        <f t="shared" si="3"/>
        <v>0.20256318974724102</v>
      </c>
      <c r="F47">
        <f t="shared" si="3"/>
        <v>0.21221864951768488</v>
      </c>
      <c r="G47">
        <f t="shared" si="3"/>
        <v>0.20874795948031039</v>
      </c>
      <c r="H47">
        <f t="shared" si="3"/>
        <v>0.21318773211343123</v>
      </c>
      <c r="I47">
        <f t="shared" si="3"/>
        <v>0.21414704144509158</v>
      </c>
      <c r="J47">
        <f t="shared" si="3"/>
        <v>0.22968504725961056</v>
      </c>
      <c r="K47">
        <f t="shared" si="3"/>
        <v>0.22742499813891165</v>
      </c>
      <c r="L47">
        <f t="shared" si="3"/>
        <v>0.23495388463342193</v>
      </c>
    </row>
    <row r="48" spans="1:12" ht="16">
      <c r="A48" s="2" t="s">
        <v>159</v>
      </c>
      <c r="B48">
        <f t="shared" si="3"/>
        <v>0.207523205411273</v>
      </c>
      <c r="C48">
        <f t="shared" si="3"/>
        <v>0.18700638650546023</v>
      </c>
      <c r="D48">
        <f t="shared" si="3"/>
        <v>0.18911181578401445</v>
      </c>
      <c r="E48">
        <f t="shared" si="3"/>
        <v>0.20093342520248048</v>
      </c>
      <c r="F48">
        <f t="shared" si="3"/>
        <v>0.22010321805887145</v>
      </c>
      <c r="G48">
        <f t="shared" si="3"/>
        <v>0.21727623656166561</v>
      </c>
      <c r="H48">
        <f t="shared" si="3"/>
        <v>0.2153060771518622</v>
      </c>
      <c r="I48">
        <f t="shared" si="3"/>
        <v>0.22190359419173752</v>
      </c>
      <c r="J48">
        <f t="shared" si="3"/>
        <v>0.240262293418566</v>
      </c>
      <c r="K48">
        <f t="shared" si="3"/>
        <v>0.24139254912177263</v>
      </c>
      <c r="L48">
        <f t="shared" si="3"/>
        <v>0.25264871172803488</v>
      </c>
    </row>
    <row r="49" spans="1:12" ht="16">
      <c r="A49" s="2" t="s">
        <v>160</v>
      </c>
      <c r="B49">
        <f t="shared" si="3"/>
        <v>0.19642988387476112</v>
      </c>
      <c r="C49">
        <f t="shared" si="3"/>
        <v>0.18389633770786942</v>
      </c>
      <c r="D49">
        <f t="shared" si="3"/>
        <v>0.18427902134305049</v>
      </c>
      <c r="E49">
        <f t="shared" si="3"/>
        <v>0.20235453142267401</v>
      </c>
      <c r="F49">
        <f t="shared" si="3"/>
        <v>0.20985256893320195</v>
      </c>
      <c r="G49">
        <f t="shared" si="3"/>
        <v>0.20171414528251655</v>
      </c>
      <c r="H49">
        <f t="shared" si="3"/>
        <v>0.19839145338485203</v>
      </c>
      <c r="I49">
        <f t="shared" si="3"/>
        <v>0.20195320733506639</v>
      </c>
      <c r="J49">
        <f t="shared" si="3"/>
        <v>0.22076733544526575</v>
      </c>
      <c r="K49">
        <f t="shared" si="3"/>
        <v>0.21720883534136545</v>
      </c>
      <c r="L49">
        <f t="shared" si="3"/>
        <v>0.22518756214408389</v>
      </c>
    </row>
    <row r="50" spans="1:12" ht="16">
      <c r="A50" s="2" t="s">
        <v>161</v>
      </c>
      <c r="B50">
        <f t="shared" si="3"/>
        <v>0.18774600464741309</v>
      </c>
      <c r="C50">
        <f t="shared" si="3"/>
        <v>0.17310298102981031</v>
      </c>
      <c r="D50">
        <f t="shared" si="3"/>
        <v>0.17671321073598648</v>
      </c>
      <c r="E50">
        <f t="shared" si="3"/>
        <v>0.18735006577759433</v>
      </c>
      <c r="F50">
        <f t="shared" si="3"/>
        <v>0.19044830834245563</v>
      </c>
      <c r="G50">
        <f t="shared" si="3"/>
        <v>0.18262601903064302</v>
      </c>
      <c r="H50">
        <f t="shared" si="3"/>
        <v>0.1737956590788777</v>
      </c>
      <c r="I50">
        <f t="shared" si="3"/>
        <v>0.17317959786436443</v>
      </c>
      <c r="J50">
        <f t="shared" si="3"/>
        <v>0.19167556765324054</v>
      </c>
      <c r="K50">
        <f t="shared" si="3"/>
        <v>0.19344848123883263</v>
      </c>
      <c r="L50">
        <f t="shared" si="3"/>
        <v>0.19992144540455617</v>
      </c>
    </row>
    <row r="51" spans="1:12" ht="16">
      <c r="A51" s="2" t="s">
        <v>162</v>
      </c>
      <c r="B51">
        <f t="shared" si="3"/>
        <v>0.18309906291834002</v>
      </c>
      <c r="C51">
        <f t="shared" si="3"/>
        <v>0.15376762275157996</v>
      </c>
      <c r="D51">
        <f t="shared" si="3"/>
        <v>0.16001153614220917</v>
      </c>
      <c r="E51">
        <f t="shared" si="3"/>
        <v>0.15969364769484909</v>
      </c>
      <c r="F51">
        <f t="shared" si="3"/>
        <v>0.17898478835978837</v>
      </c>
      <c r="G51">
        <f t="shared" si="3"/>
        <v>0.16398463585469333</v>
      </c>
      <c r="H51">
        <f t="shared" si="3"/>
        <v>0.15579892054725744</v>
      </c>
      <c r="I51">
        <f t="shared" si="3"/>
        <v>0.16000751032669921</v>
      </c>
      <c r="J51">
        <f t="shared" si="3"/>
        <v>0.17884070498967489</v>
      </c>
      <c r="K51">
        <f t="shared" si="3"/>
        <v>0.17684870924611745</v>
      </c>
      <c r="L51">
        <f t="shared" si="3"/>
        <v>0.18283963227783454</v>
      </c>
    </row>
    <row r="52" spans="1:12" ht="16">
      <c r="A52" s="2" t="s">
        <v>163</v>
      </c>
      <c r="B52">
        <f t="shared" si="3"/>
        <v>0.15872730541074959</v>
      </c>
      <c r="C52">
        <f t="shared" si="3"/>
        <v>0.12957945576628579</v>
      </c>
      <c r="D52">
        <f t="shared" si="3"/>
        <v>0.13783280376903692</v>
      </c>
      <c r="E52">
        <f t="shared" si="3"/>
        <v>0.15037313432835822</v>
      </c>
      <c r="F52">
        <f t="shared" si="3"/>
        <v>0.13972002919126916</v>
      </c>
      <c r="G52">
        <f t="shared" si="3"/>
        <v>0.13297872340425532</v>
      </c>
      <c r="H52">
        <f t="shared" si="3"/>
        <v>0.13872708430118286</v>
      </c>
      <c r="I52">
        <f t="shared" si="3"/>
        <v>0.14636542239685657</v>
      </c>
      <c r="J52">
        <f t="shared" si="3"/>
        <v>0.16007475880183866</v>
      </c>
      <c r="K52">
        <f t="shared" si="3"/>
        <v>0.16615033425729658</v>
      </c>
      <c r="L52">
        <f t="shared" si="3"/>
        <v>0.17919866642852891</v>
      </c>
    </row>
    <row r="53" spans="1:12" ht="16">
      <c r="A53" s="2" t="s">
        <v>164</v>
      </c>
      <c r="B53">
        <f t="shared" si="3"/>
        <v>0.12896149435793461</v>
      </c>
      <c r="C53">
        <f t="shared" si="3"/>
        <v>0.11275351748153029</v>
      </c>
      <c r="D53">
        <f t="shared" si="3"/>
        <v>0.10980205526072592</v>
      </c>
      <c r="E53">
        <f t="shared" si="3"/>
        <v>0.11762656684464881</v>
      </c>
      <c r="F53">
        <f t="shared" si="3"/>
        <v>0.11641720279996576</v>
      </c>
      <c r="G53">
        <f t="shared" si="3"/>
        <v>0.10725893824485373</v>
      </c>
      <c r="H53">
        <f t="shared" si="3"/>
        <v>0.1033338788140258</v>
      </c>
      <c r="I53">
        <f t="shared" si="3"/>
        <v>0.11345610097949461</v>
      </c>
      <c r="J53">
        <f t="shared" si="3"/>
        <v>0.12858446755799841</v>
      </c>
      <c r="K53">
        <f t="shared" si="3"/>
        <v>0.13420636511436271</v>
      </c>
      <c r="L53">
        <f t="shared" si="3"/>
        <v>0.13775950045434424</v>
      </c>
    </row>
    <row r="54" spans="1:12" ht="16">
      <c r="A54" s="2" t="s">
        <v>165</v>
      </c>
      <c r="B54">
        <f t="shared" si="3"/>
        <v>0.16546412288079324</v>
      </c>
      <c r="C54">
        <f t="shared" si="3"/>
        <v>0.1367696684973202</v>
      </c>
      <c r="D54">
        <f t="shared" si="3"/>
        <v>0.13604183940302314</v>
      </c>
      <c r="E54">
        <f t="shared" si="3"/>
        <v>0.13499118562694573</v>
      </c>
      <c r="F54">
        <f t="shared" si="3"/>
        <v>0.13248118880458395</v>
      </c>
      <c r="G54">
        <f t="shared" si="3"/>
        <v>0.11953864476900897</v>
      </c>
      <c r="H54">
        <f t="shared" si="3"/>
        <v>0.14545643225293162</v>
      </c>
      <c r="I54">
        <f t="shared" si="3"/>
        <v>0.1442986144115819</v>
      </c>
      <c r="J54">
        <f t="shared" si="3"/>
        <v>0.1607950941002326</v>
      </c>
      <c r="K54">
        <f t="shared" si="3"/>
        <v>0.17457384395066292</v>
      </c>
      <c r="L54">
        <f t="shared" si="3"/>
        <v>0.18254118538155653</v>
      </c>
    </row>
    <row r="57" spans="1:12">
      <c r="A57" s="16" t="s">
        <v>2</v>
      </c>
      <c r="B57" s="16" t="s">
        <v>138</v>
      </c>
    </row>
    <row r="58" spans="1:12">
      <c r="A58" t="s">
        <v>139</v>
      </c>
      <c r="B58">
        <v>16454</v>
      </c>
    </row>
    <row r="59" spans="1:12">
      <c r="A59" t="s">
        <v>140</v>
      </c>
      <c r="B59">
        <v>11825</v>
      </c>
    </row>
    <row r="60" spans="1:12">
      <c r="A60" t="s">
        <v>141</v>
      </c>
      <c r="B60">
        <v>9965</v>
      </c>
    </row>
    <row r="61" spans="1:12">
      <c r="A61" t="s">
        <v>142</v>
      </c>
      <c r="B61">
        <v>6300</v>
      </c>
    </row>
    <row r="62" spans="1:12">
      <c r="A62" t="s">
        <v>145</v>
      </c>
      <c r="B62">
        <v>6012</v>
      </c>
    </row>
    <row r="63" spans="1:12">
      <c r="A63" t="s">
        <v>146</v>
      </c>
      <c r="B63">
        <v>4581</v>
      </c>
    </row>
    <row r="64" spans="1:12">
      <c r="A64" t="s">
        <v>143</v>
      </c>
      <c r="B64">
        <v>3856</v>
      </c>
    </row>
    <row r="65" spans="1:12">
      <c r="A65" t="s">
        <v>144</v>
      </c>
      <c r="B65">
        <v>3222</v>
      </c>
    </row>
    <row r="66" spans="1:12">
      <c r="A66" t="s">
        <v>147</v>
      </c>
      <c r="B66">
        <v>3010</v>
      </c>
    </row>
    <row r="72" spans="1:12">
      <c r="A72" s="16" t="s">
        <v>2</v>
      </c>
      <c r="B72" s="16">
        <v>2000</v>
      </c>
      <c r="C72" s="16">
        <v>2001</v>
      </c>
      <c r="D72" s="16">
        <v>2002</v>
      </c>
      <c r="E72" s="16">
        <v>2003</v>
      </c>
      <c r="F72" s="16">
        <v>2004</v>
      </c>
      <c r="G72" s="16">
        <v>2005</v>
      </c>
      <c r="H72" s="16">
        <v>2006</v>
      </c>
      <c r="I72" s="16">
        <v>2007</v>
      </c>
      <c r="J72" s="16">
        <v>2008</v>
      </c>
      <c r="K72" s="16">
        <v>2009</v>
      </c>
      <c r="L72" s="16">
        <v>2010</v>
      </c>
    </row>
    <row r="73" spans="1:12">
      <c r="A73" t="s">
        <v>139</v>
      </c>
      <c r="B73">
        <v>28103</v>
      </c>
      <c r="C73">
        <v>30687</v>
      </c>
      <c r="D73">
        <v>31906</v>
      </c>
      <c r="E73">
        <v>30912</v>
      </c>
      <c r="F73">
        <v>30792</v>
      </c>
      <c r="G73">
        <v>27749</v>
      </c>
      <c r="H73">
        <v>24251</v>
      </c>
      <c r="I73">
        <v>21899</v>
      </c>
      <c r="J73">
        <v>18943</v>
      </c>
      <c r="K73">
        <v>17605</v>
      </c>
      <c r="L73">
        <v>16454</v>
      </c>
    </row>
    <row r="74" spans="1:12">
      <c r="A74" t="s">
        <v>140</v>
      </c>
      <c r="B74">
        <v>15520</v>
      </c>
      <c r="C74">
        <v>19169</v>
      </c>
      <c r="D74">
        <v>19842</v>
      </c>
      <c r="E74">
        <v>18571</v>
      </c>
      <c r="F74">
        <v>17679</v>
      </c>
      <c r="G74">
        <v>16335</v>
      </c>
      <c r="H74">
        <v>13892</v>
      </c>
      <c r="I74">
        <v>14004</v>
      </c>
      <c r="J74">
        <v>12820</v>
      </c>
      <c r="K74">
        <v>12052</v>
      </c>
      <c r="L74">
        <v>11825</v>
      </c>
    </row>
    <row r="75" spans="1:12">
      <c r="A75" t="s">
        <v>141</v>
      </c>
      <c r="B75">
        <v>21381</v>
      </c>
      <c r="C75">
        <v>23289</v>
      </c>
      <c r="D75">
        <v>23364</v>
      </c>
      <c r="E75">
        <v>22156</v>
      </c>
      <c r="F75">
        <v>21721</v>
      </c>
      <c r="G75">
        <v>19699</v>
      </c>
      <c r="H75">
        <v>16379</v>
      </c>
      <c r="I75">
        <v>14372</v>
      </c>
      <c r="J75">
        <v>12544</v>
      </c>
      <c r="K75">
        <v>10817</v>
      </c>
      <c r="L75">
        <v>9965</v>
      </c>
    </row>
    <row r="76" spans="1:12">
      <c r="A76" t="s">
        <v>142</v>
      </c>
      <c r="B76">
        <v>2162</v>
      </c>
      <c r="C76">
        <v>3147</v>
      </c>
      <c r="D76">
        <v>3927</v>
      </c>
      <c r="E76">
        <v>5269</v>
      </c>
      <c r="F76">
        <v>6235</v>
      </c>
      <c r="G76">
        <v>6407</v>
      </c>
      <c r="H76">
        <v>6647</v>
      </c>
      <c r="I76">
        <v>6030</v>
      </c>
      <c r="J76">
        <v>6042</v>
      </c>
      <c r="K76">
        <v>6028</v>
      </c>
      <c r="L76">
        <v>6300</v>
      </c>
    </row>
    <row r="77" spans="1:12">
      <c r="A77" t="s">
        <v>145</v>
      </c>
      <c r="B77">
        <v>8677</v>
      </c>
      <c r="C77">
        <v>9391</v>
      </c>
      <c r="D77">
        <v>9932</v>
      </c>
      <c r="E77">
        <v>9673</v>
      </c>
      <c r="F77">
        <v>10362</v>
      </c>
      <c r="G77">
        <v>9335</v>
      </c>
      <c r="H77">
        <v>8668</v>
      </c>
      <c r="I77">
        <v>7611</v>
      </c>
      <c r="J77">
        <v>6877</v>
      </c>
      <c r="K77">
        <v>6110</v>
      </c>
      <c r="L77">
        <v>6012</v>
      </c>
    </row>
    <row r="78" spans="1:12">
      <c r="A78" t="s">
        <v>146</v>
      </c>
      <c r="B78">
        <v>7918</v>
      </c>
      <c r="C78">
        <v>8687</v>
      </c>
      <c r="D78">
        <v>8783</v>
      </c>
      <c r="E78">
        <v>7263</v>
      </c>
      <c r="F78">
        <v>7481</v>
      </c>
      <c r="G78">
        <v>6967</v>
      </c>
      <c r="H78">
        <v>6566</v>
      </c>
      <c r="I78">
        <v>6098</v>
      </c>
      <c r="J78">
        <v>5563</v>
      </c>
      <c r="K78">
        <v>4872</v>
      </c>
      <c r="L78">
        <v>4581</v>
      </c>
    </row>
    <row r="79" spans="1:12">
      <c r="A79" t="s">
        <v>143</v>
      </c>
      <c r="B79">
        <v>3738</v>
      </c>
      <c r="C79">
        <v>4134</v>
      </c>
      <c r="D79">
        <v>4266</v>
      </c>
      <c r="E79">
        <v>3599</v>
      </c>
      <c r="F79">
        <v>4208</v>
      </c>
      <c r="G79">
        <v>3814</v>
      </c>
      <c r="H79">
        <v>4205</v>
      </c>
      <c r="I79">
        <v>3947</v>
      </c>
      <c r="J79">
        <v>3802</v>
      </c>
      <c r="K79">
        <v>3779</v>
      </c>
      <c r="L79">
        <v>3856</v>
      </c>
    </row>
    <row r="80" spans="1:12">
      <c r="A80" t="s">
        <v>144</v>
      </c>
      <c r="B80">
        <v>5471</v>
      </c>
      <c r="C80">
        <v>6326</v>
      </c>
      <c r="D80">
        <v>6103</v>
      </c>
      <c r="E80">
        <v>5317</v>
      </c>
      <c r="F80">
        <v>6495</v>
      </c>
      <c r="G80">
        <v>6532</v>
      </c>
      <c r="H80">
        <v>4965</v>
      </c>
      <c r="I80">
        <v>4261</v>
      </c>
      <c r="J80">
        <v>3724</v>
      </c>
      <c r="K80">
        <v>3439</v>
      </c>
      <c r="L80">
        <v>3222</v>
      </c>
    </row>
    <row r="81" spans="1:12">
      <c r="A81" t="s">
        <v>147</v>
      </c>
      <c r="B81">
        <v>883</v>
      </c>
      <c r="C81">
        <v>1100</v>
      </c>
      <c r="D81">
        <v>1258</v>
      </c>
      <c r="E81">
        <v>1612</v>
      </c>
      <c r="F81">
        <v>2106</v>
      </c>
      <c r="G81">
        <v>1900</v>
      </c>
      <c r="H81">
        <v>3882</v>
      </c>
      <c r="I81">
        <v>3427</v>
      </c>
      <c r="J81">
        <v>3169</v>
      </c>
      <c r="K81">
        <v>3057</v>
      </c>
      <c r="L81">
        <v>3010</v>
      </c>
    </row>
    <row r="83" spans="1:12">
      <c r="A83" s="19" t="s">
        <v>6</v>
      </c>
      <c r="B83" s="16">
        <v>2000</v>
      </c>
      <c r="C83" s="16">
        <v>2001</v>
      </c>
      <c r="D83" s="16">
        <v>2002</v>
      </c>
      <c r="E83" s="16">
        <v>2003</v>
      </c>
      <c r="F83" s="16">
        <v>2004</v>
      </c>
      <c r="G83" s="16">
        <v>2005</v>
      </c>
      <c r="H83" s="16">
        <v>2006</v>
      </c>
      <c r="I83" s="16">
        <v>2007</v>
      </c>
      <c r="J83" s="16">
        <v>2008</v>
      </c>
      <c r="K83" s="16">
        <v>2009</v>
      </c>
      <c r="L83" s="16">
        <v>2010</v>
      </c>
    </row>
    <row r="84" spans="1:12">
      <c r="A84" t="s">
        <v>78</v>
      </c>
      <c r="B84">
        <v>16916</v>
      </c>
      <c r="C84">
        <v>24565</v>
      </c>
      <c r="D84">
        <v>29611</v>
      </c>
      <c r="E84">
        <v>36257</v>
      </c>
      <c r="F84">
        <v>24466</v>
      </c>
      <c r="G84">
        <v>18168</v>
      </c>
      <c r="H84">
        <v>14432</v>
      </c>
      <c r="I84">
        <v>12364</v>
      </c>
      <c r="J84">
        <v>10848</v>
      </c>
      <c r="K84">
        <v>9147</v>
      </c>
      <c r="L84">
        <v>9700</v>
      </c>
    </row>
    <row r="85" spans="1:12">
      <c r="A85" t="s">
        <v>81</v>
      </c>
      <c r="B85">
        <v>47886</v>
      </c>
      <c r="C85">
        <v>54066</v>
      </c>
      <c r="D85">
        <v>58295</v>
      </c>
      <c r="E85">
        <v>50224</v>
      </c>
      <c r="F85">
        <v>41404</v>
      </c>
      <c r="G85">
        <v>34009</v>
      </c>
      <c r="H85">
        <v>28977</v>
      </c>
      <c r="I85">
        <v>24799</v>
      </c>
      <c r="J85">
        <v>20353</v>
      </c>
      <c r="K85">
        <v>18374</v>
      </c>
      <c r="L85">
        <v>17525</v>
      </c>
    </row>
    <row r="86" spans="1:12">
      <c r="A86" t="s">
        <v>79</v>
      </c>
      <c r="B86">
        <v>140946</v>
      </c>
      <c r="C86">
        <v>165288</v>
      </c>
      <c r="D86">
        <v>167075</v>
      </c>
      <c r="E86">
        <v>142096</v>
      </c>
      <c r="F86">
        <v>109128</v>
      </c>
      <c r="G86">
        <v>93065</v>
      </c>
      <c r="H86">
        <v>76703</v>
      </c>
      <c r="I86">
        <v>65060</v>
      </c>
      <c r="J86">
        <v>51701</v>
      </c>
      <c r="K86">
        <v>47220</v>
      </c>
      <c r="L86">
        <v>41702</v>
      </c>
    </row>
    <row r="87" spans="1:12">
      <c r="A87" t="s">
        <v>80</v>
      </c>
      <c r="B87">
        <v>104516</v>
      </c>
      <c r="C87">
        <v>120377</v>
      </c>
      <c r="D87">
        <v>118058</v>
      </c>
      <c r="E87">
        <v>99911</v>
      </c>
      <c r="F87">
        <v>79342</v>
      </c>
      <c r="G87">
        <v>70684</v>
      </c>
      <c r="H87">
        <v>55491</v>
      </c>
      <c r="I87">
        <v>46869</v>
      </c>
      <c r="J87">
        <v>37415</v>
      </c>
      <c r="K87">
        <v>32709</v>
      </c>
      <c r="L87">
        <v>28883</v>
      </c>
    </row>
    <row r="88" spans="1:12">
      <c r="A88" t="s">
        <v>82</v>
      </c>
      <c r="B88">
        <v>37788</v>
      </c>
      <c r="C88">
        <v>43825</v>
      </c>
      <c r="D88">
        <v>44610</v>
      </c>
      <c r="E88">
        <v>33293</v>
      </c>
      <c r="F88">
        <v>28455</v>
      </c>
      <c r="G88">
        <v>27154</v>
      </c>
      <c r="H88">
        <v>25643</v>
      </c>
      <c r="I88">
        <v>23532</v>
      </c>
      <c r="J88">
        <v>19074</v>
      </c>
      <c r="K88">
        <v>16848</v>
      </c>
      <c r="L88">
        <v>15140</v>
      </c>
    </row>
    <row r="89" spans="1:12">
      <c r="A89" t="s">
        <v>83</v>
      </c>
      <c r="B89">
        <v>26189</v>
      </c>
      <c r="C89">
        <v>37878</v>
      </c>
      <c r="D89">
        <v>34405</v>
      </c>
      <c r="E89">
        <v>27991</v>
      </c>
      <c r="F89">
        <v>27154</v>
      </c>
      <c r="G89">
        <v>29760</v>
      </c>
      <c r="H89">
        <v>22424</v>
      </c>
      <c r="I89">
        <v>18201</v>
      </c>
      <c r="J89">
        <v>14407</v>
      </c>
      <c r="K89">
        <v>13298</v>
      </c>
      <c r="L89">
        <v>12003</v>
      </c>
    </row>
    <row r="90" spans="1:12">
      <c r="A90" t="s">
        <v>84</v>
      </c>
      <c r="B90">
        <v>13082</v>
      </c>
      <c r="C90">
        <v>16425</v>
      </c>
      <c r="D90">
        <v>18633</v>
      </c>
      <c r="E90">
        <v>23357</v>
      </c>
      <c r="F90">
        <v>17757</v>
      </c>
      <c r="G90">
        <v>11730</v>
      </c>
      <c r="H90">
        <v>22500</v>
      </c>
      <c r="I90">
        <v>17825</v>
      </c>
      <c r="J90">
        <v>14935</v>
      </c>
      <c r="K90">
        <v>13879</v>
      </c>
      <c r="L90">
        <v>12379</v>
      </c>
    </row>
    <row r="91" spans="1:12">
      <c r="A91" t="s">
        <v>85</v>
      </c>
      <c r="B91">
        <v>200804</v>
      </c>
      <c r="C91">
        <v>257839</v>
      </c>
      <c r="D91">
        <v>266808</v>
      </c>
      <c r="E91">
        <v>227039</v>
      </c>
      <c r="F91">
        <v>161270</v>
      </c>
      <c r="G91">
        <v>137306</v>
      </c>
      <c r="H91">
        <v>109089</v>
      </c>
      <c r="I91">
        <v>96608</v>
      </c>
      <c r="J91">
        <v>77680</v>
      </c>
      <c r="K91">
        <v>69954</v>
      </c>
      <c r="L91">
        <v>65971</v>
      </c>
    </row>
    <row r="92" spans="1:12">
      <c r="A92" t="s">
        <v>35</v>
      </c>
      <c r="B92">
        <v>28845</v>
      </c>
      <c r="C92">
        <v>34656</v>
      </c>
      <c r="D92">
        <v>35642</v>
      </c>
      <c r="E92">
        <v>27338</v>
      </c>
      <c r="F92">
        <v>28913</v>
      </c>
      <c r="G92">
        <v>28378</v>
      </c>
      <c r="H92">
        <v>23522</v>
      </c>
      <c r="I92">
        <v>21951</v>
      </c>
      <c r="J92">
        <v>18791</v>
      </c>
      <c r="K92">
        <v>16922</v>
      </c>
      <c r="L92">
        <v>16218</v>
      </c>
    </row>
    <row r="93" spans="1:12" ht="16">
      <c r="A93" s="2" t="s">
        <v>174</v>
      </c>
      <c r="B93">
        <f>SUM(B84:B92)</f>
        <v>616972</v>
      </c>
      <c r="C93">
        <f t="shared" ref="C93:L93" si="4">SUM(C84:C92)</f>
        <v>754919</v>
      </c>
      <c r="D93">
        <f t="shared" si="4"/>
        <v>773137</v>
      </c>
      <c r="E93">
        <f t="shared" si="4"/>
        <v>667506</v>
      </c>
      <c r="F93">
        <f t="shared" si="4"/>
        <v>517889</v>
      </c>
      <c r="G93">
        <f t="shared" si="4"/>
        <v>450254</v>
      </c>
      <c r="H93">
        <f t="shared" si="4"/>
        <v>378781</v>
      </c>
      <c r="I93">
        <f t="shared" si="4"/>
        <v>327209</v>
      </c>
      <c r="J93">
        <f t="shared" si="4"/>
        <v>265204</v>
      </c>
      <c r="K93">
        <f t="shared" si="4"/>
        <v>238351</v>
      </c>
      <c r="L93">
        <f t="shared" si="4"/>
        <v>219521</v>
      </c>
    </row>
    <row r="100" spans="1:21" ht="16">
      <c r="A100" s="2" t="s">
        <v>173</v>
      </c>
      <c r="B100">
        <v>0.83079107445892919</v>
      </c>
      <c r="C100">
        <v>0.8642185453008866</v>
      </c>
      <c r="D100">
        <v>0.86848126528674741</v>
      </c>
      <c r="E100">
        <v>0.89668872386357001</v>
      </c>
      <c r="F100">
        <v>1.1352645064869114</v>
      </c>
      <c r="G100">
        <v>1.2629515784423904</v>
      </c>
      <c r="H100">
        <v>1.3743931189790406</v>
      </c>
      <c r="I100">
        <v>1.4122197127829614</v>
      </c>
      <c r="J100">
        <v>1.4268374534320749</v>
      </c>
      <c r="K100">
        <v>1.4385674908013812</v>
      </c>
      <c r="L100">
        <v>1.4545305460525417</v>
      </c>
    </row>
    <row r="101" spans="1:21" ht="16">
      <c r="A101" s="2" t="s">
        <v>173</v>
      </c>
      <c r="B101">
        <v>0.18310136682703376</v>
      </c>
      <c r="C101">
        <v>0.16236597870987024</v>
      </c>
      <c r="D101">
        <v>0.16290146026167054</v>
      </c>
      <c r="E101">
        <v>0.17437590427469235</v>
      </c>
      <c r="F101">
        <v>0.1821220156444269</v>
      </c>
      <c r="G101">
        <v>0.17363610944536964</v>
      </c>
      <c r="H101">
        <v>0.17183256049820014</v>
      </c>
      <c r="I101">
        <v>0.17669463374097311</v>
      </c>
      <c r="J101">
        <v>0.19419507773458455</v>
      </c>
      <c r="K101">
        <v>0.19761493682994832</v>
      </c>
      <c r="L101">
        <v>0.20427497651111806</v>
      </c>
    </row>
    <row r="106" spans="1:21" ht="16">
      <c r="A106" t="s">
        <v>3</v>
      </c>
      <c r="B106">
        <v>2000</v>
      </c>
      <c r="C106">
        <v>2001</v>
      </c>
      <c r="D106">
        <v>2002</v>
      </c>
      <c r="E106">
        <v>2003</v>
      </c>
      <c r="F106">
        <v>2004</v>
      </c>
      <c r="G106">
        <v>2005</v>
      </c>
      <c r="H106">
        <v>2006</v>
      </c>
      <c r="I106">
        <v>2007</v>
      </c>
      <c r="J106">
        <v>2008</v>
      </c>
      <c r="K106">
        <v>2009</v>
      </c>
      <c r="L106">
        <v>2010</v>
      </c>
      <c r="M106" t="s">
        <v>112</v>
      </c>
      <c r="P106" t="s">
        <v>3</v>
      </c>
      <c r="Q106" s="2" t="s">
        <v>157</v>
      </c>
      <c r="R106" s="2" t="s">
        <v>158</v>
      </c>
      <c r="S106" s="2" t="s">
        <v>159</v>
      </c>
      <c r="T106" s="2" t="s">
        <v>160</v>
      </c>
      <c r="U106" s="2" t="s">
        <v>164</v>
      </c>
    </row>
    <row r="107" spans="1:21" ht="16">
      <c r="A107" t="s">
        <v>157</v>
      </c>
      <c r="B107">
        <v>0.50863088200520212</v>
      </c>
      <c r="C107">
        <v>0.53429676368817425</v>
      </c>
      <c r="D107">
        <v>0.54641856067002126</v>
      </c>
      <c r="E107">
        <v>0.55536861847367403</v>
      </c>
      <c r="F107">
        <v>0.87664514019455575</v>
      </c>
      <c r="G107">
        <v>1.2157639806252751</v>
      </c>
      <c r="H107">
        <v>1.6465493348115299</v>
      </c>
      <c r="I107">
        <v>1.6708185053380782</v>
      </c>
      <c r="J107">
        <v>1.8261430678466077</v>
      </c>
      <c r="K107">
        <v>2.0561932874166393</v>
      </c>
      <c r="L107">
        <v>2.0658762886597937</v>
      </c>
      <c r="M107">
        <f>SUM(B107:L107)</f>
        <v>13.502704429729551</v>
      </c>
      <c r="P107" s="27" t="s">
        <v>157</v>
      </c>
      <c r="Q107">
        <v>1</v>
      </c>
    </row>
    <row r="108" spans="1:21">
      <c r="A108" t="s">
        <v>158</v>
      </c>
      <c r="B108">
        <v>0.81750407217140697</v>
      </c>
      <c r="C108">
        <v>0.89714423112492137</v>
      </c>
      <c r="D108">
        <v>0.87038339480229865</v>
      </c>
      <c r="E108">
        <v>0.95080041414463201</v>
      </c>
      <c r="F108">
        <v>1.1792821949570089</v>
      </c>
      <c r="G108">
        <v>1.3149166397130172</v>
      </c>
      <c r="H108">
        <v>1.4031473237395176</v>
      </c>
      <c r="I108">
        <v>1.4331626275253035</v>
      </c>
      <c r="J108">
        <v>1.4710853436839777</v>
      </c>
      <c r="K108">
        <v>1.4621748122346794</v>
      </c>
      <c r="L108">
        <v>1.4600855920114122</v>
      </c>
      <c r="M108">
        <f t="shared" ref="M108:M111" si="5">SUM(B108:L108)</f>
        <v>13.259686646108175</v>
      </c>
      <c r="P108" t="s">
        <v>158</v>
      </c>
      <c r="Q108">
        <v>0.68251015456077635</v>
      </c>
      <c r="R108">
        <v>1</v>
      </c>
    </row>
    <row r="109" spans="1:21">
      <c r="A109" t="s">
        <v>159</v>
      </c>
      <c r="B109">
        <v>0.96080059029699316</v>
      </c>
      <c r="C109">
        <v>0.99278834519142345</v>
      </c>
      <c r="D109">
        <v>1.0098159509202453</v>
      </c>
      <c r="E109">
        <v>1.0826624254025448</v>
      </c>
      <c r="F109">
        <v>1.281962466094861</v>
      </c>
      <c r="G109">
        <v>1.3722989308547788</v>
      </c>
      <c r="H109">
        <v>1.4684562533408081</v>
      </c>
      <c r="I109">
        <v>1.5168613587457731</v>
      </c>
      <c r="J109">
        <v>1.5249801744647105</v>
      </c>
      <c r="K109">
        <v>1.5444938585345194</v>
      </c>
      <c r="L109">
        <v>1.5616996786724857</v>
      </c>
      <c r="M109">
        <f t="shared" si="5"/>
        <v>14.316820032519143</v>
      </c>
      <c r="P109" t="s">
        <v>159</v>
      </c>
      <c r="Q109">
        <v>0.63268349827537962</v>
      </c>
      <c r="R109">
        <v>0.91905868732315499</v>
      </c>
      <c r="S109">
        <v>1</v>
      </c>
    </row>
    <row r="110" spans="1:21">
      <c r="A110" t="s">
        <v>160</v>
      </c>
      <c r="B110">
        <v>1.0414481993187645</v>
      </c>
      <c r="C110">
        <v>1.0520448258388231</v>
      </c>
      <c r="D110">
        <v>1.0739297633366651</v>
      </c>
      <c r="E110">
        <v>1.0958853379507763</v>
      </c>
      <c r="F110">
        <v>1.3045549645837009</v>
      </c>
      <c r="G110">
        <v>1.3816139437496464</v>
      </c>
      <c r="H110">
        <v>1.4877908129246185</v>
      </c>
      <c r="I110">
        <v>1.5183810194371545</v>
      </c>
      <c r="J110">
        <v>1.5186422557797674</v>
      </c>
      <c r="K110">
        <v>1.5225167385123362</v>
      </c>
      <c r="L110">
        <v>1.5321123152027143</v>
      </c>
      <c r="M110">
        <f t="shared" si="5"/>
        <v>14.528920176634966</v>
      </c>
      <c r="P110" t="s">
        <v>160</v>
      </c>
      <c r="Q110">
        <v>0.56113133437671181</v>
      </c>
      <c r="R110">
        <v>0.85509683213830445</v>
      </c>
      <c r="S110">
        <v>0.9842696259279301</v>
      </c>
      <c r="T110">
        <v>1</v>
      </c>
    </row>
    <row r="111" spans="1:21">
      <c r="A111" t="s">
        <v>164</v>
      </c>
      <c r="B111">
        <v>0.59932073066273583</v>
      </c>
      <c r="C111">
        <v>0.65935719576945306</v>
      </c>
      <c r="D111">
        <v>0.67729228508890293</v>
      </c>
      <c r="E111">
        <v>0.6953915406604152</v>
      </c>
      <c r="F111">
        <v>0.94164444720034723</v>
      </c>
      <c r="G111">
        <v>1.1091649308843021</v>
      </c>
      <c r="H111">
        <v>1.23236989980658</v>
      </c>
      <c r="I111">
        <v>1.2776478138456442</v>
      </c>
      <c r="J111">
        <v>1.2834835221421215</v>
      </c>
      <c r="K111">
        <v>1.2837293078308603</v>
      </c>
      <c r="L111">
        <v>1.3011474738900426</v>
      </c>
      <c r="M111">
        <f t="shared" si="5"/>
        <v>11.060549147781405</v>
      </c>
      <c r="P111" t="s">
        <v>164</v>
      </c>
      <c r="Q111">
        <v>0.64550378376012774</v>
      </c>
      <c r="R111">
        <v>0.75193490923356709</v>
      </c>
      <c r="S111">
        <v>0.49093090786309207</v>
      </c>
      <c r="T111">
        <v>0.38020239507942605</v>
      </c>
      <c r="U111">
        <v>1</v>
      </c>
    </row>
    <row r="113" spans="1:25" ht="16">
      <c r="A113" t="s">
        <v>4</v>
      </c>
      <c r="B113">
        <v>2000</v>
      </c>
      <c r="C113">
        <v>2001</v>
      </c>
      <c r="D113">
        <v>2002</v>
      </c>
      <c r="E113">
        <v>2003</v>
      </c>
      <c r="F113">
        <v>2004</v>
      </c>
      <c r="G113">
        <v>2005</v>
      </c>
      <c r="H113">
        <v>2006</v>
      </c>
      <c r="I113">
        <v>2007</v>
      </c>
      <c r="J113">
        <v>2008</v>
      </c>
      <c r="K113">
        <v>2009</v>
      </c>
      <c r="L113">
        <v>2010</v>
      </c>
      <c r="P113" t="s">
        <v>4</v>
      </c>
      <c r="Q113" s="2" t="s">
        <v>157</v>
      </c>
      <c r="R113" s="2" t="s">
        <v>158</v>
      </c>
      <c r="S113" s="2" t="s">
        <v>159</v>
      </c>
      <c r="T113" s="2" t="s">
        <v>160</v>
      </c>
      <c r="U113" s="2" t="s">
        <v>164</v>
      </c>
    </row>
    <row r="114" spans="1:25" ht="16">
      <c r="A114" t="s">
        <v>157</v>
      </c>
      <c r="B114">
        <v>0.25127847512784751</v>
      </c>
      <c r="C114">
        <v>0.23977142857142858</v>
      </c>
      <c r="D114">
        <v>0.24270704573547588</v>
      </c>
      <c r="E114">
        <v>0.26167063965037746</v>
      </c>
      <c r="F114">
        <v>0.29070309585975385</v>
      </c>
      <c r="G114">
        <v>0.29006700470843899</v>
      </c>
      <c r="H114">
        <v>0.27972057400159911</v>
      </c>
      <c r="I114">
        <v>0.29189660180075516</v>
      </c>
      <c r="J114">
        <v>0.304997476022211</v>
      </c>
      <c r="K114">
        <v>0.32050191407911527</v>
      </c>
      <c r="L114">
        <v>0.31438694545636009</v>
      </c>
      <c r="P114" s="27" t="s">
        <v>157</v>
      </c>
      <c r="Q114">
        <v>1</v>
      </c>
    </row>
    <row r="115" spans="1:25">
      <c r="A115" t="s">
        <v>158</v>
      </c>
      <c r="B115">
        <v>0.22165172299282193</v>
      </c>
      <c r="C115">
        <v>0.19360890629831976</v>
      </c>
      <c r="D115">
        <v>0.19574686138867539</v>
      </c>
      <c r="E115">
        <v>0.20256318974724102</v>
      </c>
      <c r="F115">
        <v>0.21221864951768488</v>
      </c>
      <c r="G115">
        <v>0.20874795948031039</v>
      </c>
      <c r="H115">
        <v>0.21318773211343123</v>
      </c>
      <c r="I115">
        <v>0.21414704144509158</v>
      </c>
      <c r="J115">
        <v>0.22968504725961056</v>
      </c>
      <c r="K115">
        <v>0.22742499813891165</v>
      </c>
      <c r="L115">
        <v>0.23495388463342193</v>
      </c>
      <c r="P115" t="s">
        <v>158</v>
      </c>
      <c r="Q115">
        <v>-0.53440982510615331</v>
      </c>
      <c r="R115">
        <v>1</v>
      </c>
    </row>
    <row r="116" spans="1:25">
      <c r="A116" t="s">
        <v>159</v>
      </c>
      <c r="B116">
        <v>0.207523205411273</v>
      </c>
      <c r="C116">
        <v>0.18700638650546023</v>
      </c>
      <c r="D116">
        <v>0.18911181578401445</v>
      </c>
      <c r="E116">
        <v>0.20093342520248048</v>
      </c>
      <c r="F116">
        <v>0.22010321805887145</v>
      </c>
      <c r="G116">
        <v>0.21727623656166561</v>
      </c>
      <c r="H116">
        <v>0.2153060771518622</v>
      </c>
      <c r="I116">
        <v>0.22190359419173752</v>
      </c>
      <c r="J116">
        <v>0.240262293418566</v>
      </c>
      <c r="K116">
        <v>0.24139254912177263</v>
      </c>
      <c r="L116">
        <v>0.25264871172803488</v>
      </c>
      <c r="P116" t="s">
        <v>159</v>
      </c>
      <c r="Q116">
        <v>-0.30602344776782686</v>
      </c>
      <c r="R116">
        <v>0.82585469237358267</v>
      </c>
      <c r="S116">
        <v>1</v>
      </c>
    </row>
    <row r="117" spans="1:25">
      <c r="A117" t="s">
        <v>160</v>
      </c>
      <c r="B117">
        <v>0.19642988387476112</v>
      </c>
      <c r="C117">
        <v>0.18389633770786942</v>
      </c>
      <c r="D117">
        <v>0.18427902134305049</v>
      </c>
      <c r="E117">
        <v>0.20235453142267401</v>
      </c>
      <c r="F117">
        <v>0.20985256893320195</v>
      </c>
      <c r="G117">
        <v>0.20171414528251655</v>
      </c>
      <c r="H117">
        <v>0.19839145338485203</v>
      </c>
      <c r="I117">
        <v>0.20195320733506639</v>
      </c>
      <c r="J117">
        <v>0.22076733544526575</v>
      </c>
      <c r="K117">
        <v>0.21720883534136545</v>
      </c>
      <c r="L117">
        <v>0.22518756214408389</v>
      </c>
      <c r="P117" t="s">
        <v>160</v>
      </c>
      <c r="Q117">
        <v>-0.60321456085030389</v>
      </c>
      <c r="R117">
        <v>0.63084005491838879</v>
      </c>
      <c r="S117">
        <v>0.60373694423286006</v>
      </c>
      <c r="T117">
        <v>1</v>
      </c>
    </row>
    <row r="118" spans="1:25">
      <c r="A118" t="s">
        <v>164</v>
      </c>
      <c r="B118">
        <v>0.12896149435793461</v>
      </c>
      <c r="C118">
        <v>0.11275351748153029</v>
      </c>
      <c r="D118">
        <v>0.10980205526072592</v>
      </c>
      <c r="E118">
        <v>0.11762656684464881</v>
      </c>
      <c r="F118">
        <v>0.11641720279996576</v>
      </c>
      <c r="G118">
        <v>0.10725893824485373</v>
      </c>
      <c r="H118">
        <v>0.1033338788140258</v>
      </c>
      <c r="I118">
        <v>0.11345610097949461</v>
      </c>
      <c r="J118">
        <v>0.12858446755799841</v>
      </c>
      <c r="K118">
        <v>0.13420636511436271</v>
      </c>
      <c r="L118">
        <v>0.13775950045434424</v>
      </c>
      <c r="P118" t="s">
        <v>164</v>
      </c>
      <c r="Q118">
        <v>-0.91798115424253546</v>
      </c>
      <c r="R118">
        <v>-0.89404661226127558</v>
      </c>
      <c r="S118">
        <v>-0.84730699375114293</v>
      </c>
      <c r="T118">
        <v>-0.87423597174766288</v>
      </c>
      <c r="U118">
        <v>1</v>
      </c>
    </row>
    <row r="120" spans="1:25">
      <c r="X120" t="s">
        <v>185</v>
      </c>
      <c r="Y120" t="s">
        <v>186</v>
      </c>
    </row>
    <row r="121" spans="1:25" ht="16">
      <c r="A121" s="2" t="s">
        <v>175</v>
      </c>
      <c r="B121">
        <v>0.25127847512784751</v>
      </c>
      <c r="C121">
        <v>0.23977142857142858</v>
      </c>
      <c r="D121">
        <v>0.24270704573547588</v>
      </c>
      <c r="E121">
        <v>0.26167063965037746</v>
      </c>
      <c r="F121">
        <v>0.29070309585975385</v>
      </c>
      <c r="G121">
        <v>0.29006700470843899</v>
      </c>
      <c r="H121">
        <v>0.27972057400159911</v>
      </c>
      <c r="I121">
        <v>0.29189660180075516</v>
      </c>
      <c r="J121">
        <v>0.304997476022211</v>
      </c>
      <c r="K121">
        <v>0.32050191407911527</v>
      </c>
      <c r="L121">
        <v>0.31438694545636009</v>
      </c>
      <c r="M121">
        <v>0.22165172299282193</v>
      </c>
      <c r="N121">
        <v>0.19360890629831976</v>
      </c>
      <c r="O121">
        <v>0.19574686138867539</v>
      </c>
      <c r="P121">
        <v>0.20256318974724102</v>
      </c>
      <c r="Q121">
        <v>0.21221864951768488</v>
      </c>
      <c r="R121">
        <v>0.20874795948031039</v>
      </c>
      <c r="S121">
        <v>0.21318773211343123</v>
      </c>
      <c r="T121">
        <v>0.21414704144509158</v>
      </c>
      <c r="U121">
        <v>0.22968504725961056</v>
      </c>
      <c r="V121">
        <v>0.22742499813891165</v>
      </c>
      <c r="W121">
        <v>0.23495388463342193</v>
      </c>
      <c r="X121">
        <f>AVERAGE(B121:W121)</f>
        <v>0.247347145183131</v>
      </c>
      <c r="Y121">
        <f>(_xlfn.STDEV.P(B121:W121))^2</f>
        <v>1.5580988021477466E-3</v>
      </c>
    </row>
    <row r="122" spans="1:25" ht="16">
      <c r="A122" s="2"/>
      <c r="B122">
        <f>B121-$X121</f>
        <v>3.9313299447165106E-3</v>
      </c>
      <c r="C122">
        <f>C121-$X121</f>
        <v>-7.5757166117024211E-3</v>
      </c>
      <c r="D122">
        <f>D121-$X121</f>
        <v>-4.6400994476551161E-3</v>
      </c>
      <c r="E122">
        <f>E121-$X121</f>
        <v>1.4323494467246456E-2</v>
      </c>
      <c r="F122">
        <f>F121-$X121</f>
        <v>4.3355950676622845E-2</v>
      </c>
      <c r="G122">
        <f>G121-$X121</f>
        <v>4.271985952530799E-2</v>
      </c>
      <c r="H122">
        <f>H121-$X121</f>
        <v>3.2373428818468108E-2</v>
      </c>
      <c r="I122">
        <f>I121-$X121</f>
        <v>4.4549456617624161E-2</v>
      </c>
      <c r="J122">
        <f>J121-$X121</f>
        <v>5.765033083908E-2</v>
      </c>
      <c r="K122">
        <f>K121-$X121</f>
        <v>7.3154768895984268E-2</v>
      </c>
      <c r="L122">
        <f>L121-$X121</f>
        <v>6.7039800273229089E-2</v>
      </c>
      <c r="M122">
        <f>M121-$X121</f>
        <v>-2.569542219030907E-2</v>
      </c>
      <c r="N122">
        <f>N121-$X121</f>
        <v>-5.3738238884811246E-2</v>
      </c>
      <c r="O122">
        <f>O121-$X121</f>
        <v>-5.1600283794455609E-2</v>
      </c>
      <c r="P122">
        <f>P121-$X121</f>
        <v>-4.4783955435889977E-2</v>
      </c>
      <c r="Q122">
        <f>Q121-$X121</f>
        <v>-3.5128495665446124E-2</v>
      </c>
      <c r="R122">
        <f>R121-$X121</f>
        <v>-3.8599185702820615E-2</v>
      </c>
      <c r="S122">
        <f>S121-$X121</f>
        <v>-3.4159413069699773E-2</v>
      </c>
      <c r="T122">
        <f>T121-$X121</f>
        <v>-3.3200103738039416E-2</v>
      </c>
      <c r="U122">
        <f>U121-$X121</f>
        <v>-1.7662097923520442E-2</v>
      </c>
      <c r="V122">
        <f>V121-$X121</f>
        <v>-1.9922147044219352E-2</v>
      </c>
      <c r="W122">
        <f>W121-$X121</f>
        <v>-1.2393260549709073E-2</v>
      </c>
    </row>
    <row r="123" spans="1:25" ht="16">
      <c r="A123" s="2"/>
      <c r="M123">
        <f>B122*M122</f>
        <v>-1.0101718269889516E-4</v>
      </c>
      <c r="N123">
        <f t="shared" ref="N123" si="6">C122*N122</f>
        <v>4.0710566900329753E-4</v>
      </c>
      <c r="O123">
        <f t="shared" ref="O123" si="7">D122*O122</f>
        <v>2.394304483335007E-4</v>
      </c>
      <c r="P123">
        <f t="shared" ref="P123" si="8">E122*P122</f>
        <v>-6.4146273790738199E-4</v>
      </c>
      <c r="Q123">
        <f t="shared" ref="Q123" si="9">F122*Q122</f>
        <v>-1.5230293254150417E-3</v>
      </c>
      <c r="R123">
        <f t="shared" ref="R123" si="10">G122*R122</f>
        <v>-1.6489517910157733E-3</v>
      </c>
      <c r="S123">
        <f t="shared" ref="S123" si="11">H122*S122</f>
        <v>-1.1058573274925747E-3</v>
      </c>
      <c r="T123">
        <f t="shared" ref="T123" si="12">I122*T122</f>
        <v>-1.4790465811784087E-3</v>
      </c>
      <c r="U123">
        <f t="shared" ref="U123" si="13">J122*U122</f>
        <v>-1.0182257886031814E-3</v>
      </c>
      <c r="V123">
        <f t="shared" ref="V123" si="14">K122*V122</f>
        <v>-1.4574000629316828E-3</v>
      </c>
      <c r="W123">
        <f t="shared" ref="W123" si="15">L122*W122</f>
        <v>-8.308417119865856E-4</v>
      </c>
      <c r="X123">
        <f>SUM(M123:W123)</f>
        <v>-9.1592963918927257E-3</v>
      </c>
      <c r="Y123">
        <f>X123/11/Y121</f>
        <v>-0.53440982510615331</v>
      </c>
    </row>
    <row r="124" spans="1:25" ht="16">
      <c r="A124" s="2" t="s">
        <v>176</v>
      </c>
      <c r="B124">
        <v>0.25127847512784751</v>
      </c>
      <c r="C124">
        <v>0.23977142857142858</v>
      </c>
      <c r="D124">
        <v>0.24270704573547588</v>
      </c>
      <c r="E124">
        <v>0.26167063965037746</v>
      </c>
      <c r="F124">
        <v>0.29070309585975385</v>
      </c>
      <c r="G124">
        <v>0.29006700470843899</v>
      </c>
      <c r="H124">
        <v>0.27972057400159911</v>
      </c>
      <c r="I124">
        <v>0.29189660180075516</v>
      </c>
      <c r="J124">
        <v>0.304997476022211</v>
      </c>
      <c r="K124">
        <v>0.32050191407911527</v>
      </c>
      <c r="L124">
        <v>0.31438694545636009</v>
      </c>
      <c r="M124">
        <v>0.207523205411273</v>
      </c>
      <c r="N124">
        <v>0.18700638650546023</v>
      </c>
      <c r="O124">
        <v>0.18911181578401445</v>
      </c>
      <c r="P124">
        <v>0.20093342520248048</v>
      </c>
      <c r="Q124">
        <v>0.22010321805887145</v>
      </c>
      <c r="R124">
        <v>0.21727623656166561</v>
      </c>
      <c r="S124">
        <v>0.2153060771518622</v>
      </c>
      <c r="T124">
        <v>0.22190359419173752</v>
      </c>
      <c r="U124">
        <v>0.240262293418566</v>
      </c>
      <c r="V124">
        <v>0.24139254912177263</v>
      </c>
      <c r="W124">
        <v>0.25264871172803488</v>
      </c>
      <c r="X124">
        <f t="shared" ref="X124:X148" si="16">AVERAGE(B124:W124)</f>
        <v>0.24914403246132277</v>
      </c>
      <c r="Y124">
        <f>(_xlfn.STDEV.P(B124:W124))^2</f>
        <v>1.5610106543897625E-3</v>
      </c>
    </row>
    <row r="125" spans="1:25" ht="16">
      <c r="A125" s="2"/>
      <c r="B125">
        <f>B124-$X124</f>
        <v>2.1344426665247385E-3</v>
      </c>
      <c r="C125">
        <f>C124-$X124</f>
        <v>-9.3726038898941932E-3</v>
      </c>
      <c r="D125">
        <f>D124-$X124</f>
        <v>-6.4369867258468882E-3</v>
      </c>
      <c r="E125">
        <f>E124-$X124</f>
        <v>1.2526607189054684E-2</v>
      </c>
      <c r="F125">
        <f>F124-$X124</f>
        <v>4.1559063398431073E-2</v>
      </c>
      <c r="G125">
        <f>G124-$X124</f>
        <v>4.0922972247116218E-2</v>
      </c>
      <c r="H125">
        <f>H124-$X124</f>
        <v>3.0576541540276336E-2</v>
      </c>
      <c r="I125">
        <f>I124-$X124</f>
        <v>4.2752569339432389E-2</v>
      </c>
      <c r="J125">
        <f>J124-$X124</f>
        <v>5.5853443560888227E-2</v>
      </c>
      <c r="K125">
        <f>K124-$X124</f>
        <v>7.1357881617792496E-2</v>
      </c>
      <c r="L125">
        <f>L124-$X124</f>
        <v>6.5242912995037317E-2</v>
      </c>
      <c r="M125">
        <f>M124-$X124</f>
        <v>-4.1620827050049769E-2</v>
      </c>
      <c r="N125">
        <f>N124-$X124</f>
        <v>-6.2137645955862547E-2</v>
      </c>
      <c r="O125">
        <f>O124-$X124</f>
        <v>-6.003221667730832E-2</v>
      </c>
      <c r="P125">
        <f>P124-$X124</f>
        <v>-4.8210607258842297E-2</v>
      </c>
      <c r="Q125">
        <f>Q124-$X124</f>
        <v>-2.904081440245132E-2</v>
      </c>
      <c r="R125">
        <f>R124-$X124</f>
        <v>-3.1867795899657159E-2</v>
      </c>
      <c r="S125">
        <f>S124-$X124</f>
        <v>-3.3837955309460571E-2</v>
      </c>
      <c r="T125">
        <f>T124-$X124</f>
        <v>-2.7240438269585249E-2</v>
      </c>
      <c r="U125">
        <f>U124-$X124</f>
        <v>-8.88173904275677E-3</v>
      </c>
      <c r="V125">
        <f>V124-$X124</f>
        <v>-7.7514833395501415E-3</v>
      </c>
      <c r="W125">
        <f>W124-$X124</f>
        <v>3.5046792667121074E-3</v>
      </c>
    </row>
    <row r="126" spans="1:25" ht="16">
      <c r="A126" s="2"/>
      <c r="M126">
        <f>B125*M125</f>
        <v>-8.883726907167319E-5</v>
      </c>
      <c r="N126">
        <f t="shared" ref="N126" si="17">C125*N125</f>
        <v>5.8239154219478552E-4</v>
      </c>
      <c r="O126">
        <f t="shared" ref="O126" si="18">D125*O125</f>
        <v>3.8642658187499783E-4</v>
      </c>
      <c r="P126">
        <f t="shared" ref="P126" si="19">E125*P125</f>
        <v>-6.0391533947730587E-4</v>
      </c>
      <c r="Q126">
        <f t="shared" ref="Q126" si="20">F125*Q125</f>
        <v>-1.2069090468935445E-3</v>
      </c>
      <c r="R126">
        <f t="shared" ref="R126" si="21">G125*R125</f>
        <v>-1.3041249271784339E-3</v>
      </c>
      <c r="S126">
        <f t="shared" ref="S126" si="22">H125*S125</f>
        <v>-1.0346476461577353E-3</v>
      </c>
      <c r="T126">
        <f t="shared" ref="T126" si="23">I125*T125</f>
        <v>-1.1645987259569709E-3</v>
      </c>
      <c r="U126">
        <f t="shared" ref="U126" si="24">J125*U125</f>
        <v>-4.9607571034715264E-4</v>
      </c>
      <c r="V126">
        <f t="shared" ref="V126" si="25">K125*V125</f>
        <v>-5.5312943050590986E-4</v>
      </c>
      <c r="W126">
        <f t="shared" ref="W126" si="26">L125*W125</f>
        <v>2.2865548447360921E-4</v>
      </c>
      <c r="X126">
        <f>SUM(M126:W126)</f>
        <v>-5.2547644870453341E-3</v>
      </c>
      <c r="Y126">
        <f>X126/11/Y124</f>
        <v>-0.30602344776782686</v>
      </c>
    </row>
    <row r="127" spans="1:25" ht="16">
      <c r="A127" s="2" t="s">
        <v>177</v>
      </c>
      <c r="B127">
        <v>0.25127847512784751</v>
      </c>
      <c r="C127">
        <v>0.23977142857142858</v>
      </c>
      <c r="D127">
        <v>0.24270704573547588</v>
      </c>
      <c r="E127">
        <v>0.26167063965037746</v>
      </c>
      <c r="F127">
        <v>0.29070309585975385</v>
      </c>
      <c r="G127">
        <v>0.29006700470843899</v>
      </c>
      <c r="H127">
        <v>0.27972057400159911</v>
      </c>
      <c r="I127">
        <v>0.29189660180075516</v>
      </c>
      <c r="J127">
        <v>0.304997476022211</v>
      </c>
      <c r="K127">
        <v>0.32050191407911527</v>
      </c>
      <c r="L127">
        <v>0.31438694545636009</v>
      </c>
      <c r="M127">
        <v>0.19642988387476112</v>
      </c>
      <c r="N127">
        <v>0.18389633770786942</v>
      </c>
      <c r="O127">
        <v>0.18427902134305049</v>
      </c>
      <c r="P127">
        <v>0.20235453142267401</v>
      </c>
      <c r="Q127">
        <v>0.20985256893320195</v>
      </c>
      <c r="R127">
        <v>0.20171414528251655</v>
      </c>
      <c r="S127">
        <v>0.19839145338485203</v>
      </c>
      <c r="T127">
        <v>0.20195320733506639</v>
      </c>
      <c r="U127">
        <v>0.22076733544526575</v>
      </c>
      <c r="V127">
        <v>0.21720883534136545</v>
      </c>
      <c r="W127">
        <v>0.22518756214408389</v>
      </c>
      <c r="X127">
        <f t="shared" ref="X127:X151" si="27">AVERAGE(B127:W127)</f>
        <v>0.24226073105582138</v>
      </c>
      <c r="Y127">
        <f>(_xlfn.STDEV.P(B127:W127))^2</f>
        <v>1.9231421995674397E-3</v>
      </c>
    </row>
    <row r="128" spans="1:25" ht="16">
      <c r="A128" s="2"/>
      <c r="B128">
        <f>B127-$X127</f>
        <v>9.0177440720261293E-3</v>
      </c>
      <c r="C128">
        <f>C127-$X127</f>
        <v>-2.4893024843928024E-3</v>
      </c>
      <c r="D128">
        <f>D127-$X127</f>
        <v>4.4631467965450256E-4</v>
      </c>
      <c r="E128">
        <f>E127-$X127</f>
        <v>1.9409908594556075E-2</v>
      </c>
      <c r="F128">
        <f>F127-$X127</f>
        <v>4.8442364803932464E-2</v>
      </c>
      <c r="G128">
        <f>G127-$X127</f>
        <v>4.7806273652617609E-2</v>
      </c>
      <c r="H128">
        <f>H127-$X127</f>
        <v>3.7459842945777727E-2</v>
      </c>
      <c r="I128">
        <f>I127-$X127</f>
        <v>4.963587074493378E-2</v>
      </c>
      <c r="J128">
        <f>J127-$X127</f>
        <v>6.2736744966389618E-2</v>
      </c>
      <c r="K128">
        <f>K127-$X127</f>
        <v>7.8241183023293887E-2</v>
      </c>
      <c r="L128">
        <f>L127-$X127</f>
        <v>7.2126214400538707E-2</v>
      </c>
      <c r="M128">
        <f>M127-$X127</f>
        <v>-4.5830847181060258E-2</v>
      </c>
      <c r="N128">
        <f>N127-$X127</f>
        <v>-5.8364393347951959E-2</v>
      </c>
      <c r="O128">
        <f>O127-$X127</f>
        <v>-5.798170971277089E-2</v>
      </c>
      <c r="P128">
        <f>P127-$X127</f>
        <v>-3.9906199633147371E-2</v>
      </c>
      <c r="Q128">
        <f>Q127-$X127</f>
        <v>-3.2408162122619433E-2</v>
      </c>
      <c r="R128">
        <f>R127-$X127</f>
        <v>-4.0546585773304833E-2</v>
      </c>
      <c r="S128">
        <f>S127-$X127</f>
        <v>-4.3869277670969348E-2</v>
      </c>
      <c r="T128">
        <f>T127-$X127</f>
        <v>-4.0307523720754995E-2</v>
      </c>
      <c r="U128">
        <f>U127-$X127</f>
        <v>-2.1493395610555632E-2</v>
      </c>
      <c r="V128">
        <f>V127-$X127</f>
        <v>-2.505189571445593E-2</v>
      </c>
      <c r="W128">
        <f>W127-$X127</f>
        <v>-1.7073168911737491E-2</v>
      </c>
    </row>
    <row r="129" spans="1:25" ht="16">
      <c r="A129" s="2"/>
      <c r="M129">
        <f>B128*M128</f>
        <v>-4.1329085048294158E-4</v>
      </c>
      <c r="N129">
        <f t="shared" ref="N129" si="28">C128*N128</f>
        <v>1.4528662936113556E-4</v>
      </c>
      <c r="O129">
        <f t="shared" ref="O129" si="29">D128*O128</f>
        <v>-2.58780881962757E-5</v>
      </c>
      <c r="P129">
        <f t="shared" ref="P129" si="30">E128*P128</f>
        <v>-7.7457568723549768E-4</v>
      </c>
      <c r="Q129">
        <f t="shared" ref="Q129" si="31">F128*Q128</f>
        <v>-1.5699280121689169E-3</v>
      </c>
      <c r="R129">
        <f t="shared" ref="R129" si="32">G128*R128</f>
        <v>-1.9383811751579429E-3</v>
      </c>
      <c r="S129">
        <f t="shared" ref="S129" si="33">H128*S128</f>
        <v>-1.6433362516992255E-3</v>
      </c>
      <c r="T129">
        <f t="shared" ref="T129" si="34">I128*T128</f>
        <v>-2.0006990374517473E-3</v>
      </c>
      <c r="U129">
        <f t="shared" ref="U129" si="35">J128*U128</f>
        <v>-1.3484256788811467E-3</v>
      </c>
      <c r="V129">
        <f t="shared" ref="V129" si="36">K128*V128</f>
        <v>-1.9600899576752181E-3</v>
      </c>
      <c r="W129">
        <f t="shared" ref="W129" si="37">L128*W128</f>
        <v>-1.2314230414245905E-3</v>
      </c>
      <c r="X129">
        <f>SUM(M129:W129)</f>
        <v>-1.2760741151012367E-2</v>
      </c>
      <c r="Y129">
        <f>X129/11/Y127</f>
        <v>-0.60321456085030389</v>
      </c>
    </row>
    <row r="130" spans="1:25" ht="16">
      <c r="A130" s="2" t="s">
        <v>178</v>
      </c>
      <c r="B130">
        <v>0.25127847512784751</v>
      </c>
      <c r="C130">
        <v>0.23977142857142858</v>
      </c>
      <c r="D130">
        <v>0.24270704573547588</v>
      </c>
      <c r="E130">
        <v>0.26167063965037746</v>
      </c>
      <c r="F130">
        <v>0.29070309585975385</v>
      </c>
      <c r="G130">
        <v>0.29006700470843899</v>
      </c>
      <c r="H130">
        <v>0.27972057400159911</v>
      </c>
      <c r="I130">
        <v>0.29189660180075516</v>
      </c>
      <c r="J130">
        <v>0.304997476022211</v>
      </c>
      <c r="K130">
        <v>0.32050191407911527</v>
      </c>
      <c r="L130">
        <v>0.31438694545636009</v>
      </c>
      <c r="M130">
        <v>0.12896149435793461</v>
      </c>
      <c r="N130">
        <v>0.11275351748153029</v>
      </c>
      <c r="O130">
        <v>0.10980205526072592</v>
      </c>
      <c r="P130">
        <v>0.11762656684464881</v>
      </c>
      <c r="Q130">
        <v>0.11641720279996576</v>
      </c>
      <c r="R130">
        <v>0.10725893824485373</v>
      </c>
      <c r="S130">
        <v>0.1033338788140258</v>
      </c>
      <c r="T130">
        <v>0.11345610097949461</v>
      </c>
      <c r="U130">
        <v>0.12858446755799841</v>
      </c>
      <c r="V130">
        <v>0.13420636511436271</v>
      </c>
      <c r="W130">
        <v>0.13775950045434424</v>
      </c>
      <c r="X130">
        <f t="shared" ref="X130:X153" si="38">AVERAGE(B130:W130)</f>
        <v>0.19990278586014762</v>
      </c>
      <c r="Y130">
        <f>(_xlfn.STDEV.P(B130:W130))^2</f>
        <v>6.9504877796039586E-3</v>
      </c>
    </row>
    <row r="131" spans="1:25" ht="16">
      <c r="A131" s="2"/>
      <c r="B131">
        <f>B130-$X130</f>
        <v>5.1375689267699892E-2</v>
      </c>
      <c r="C131">
        <f>C130-$X130</f>
        <v>3.986864271128096E-2</v>
      </c>
      <c r="D131">
        <f>D130-$X130</f>
        <v>4.2804259875328265E-2</v>
      </c>
      <c r="E131">
        <f>E130-$X130</f>
        <v>6.1767853790229837E-2</v>
      </c>
      <c r="F131">
        <f>F130-$X130</f>
        <v>9.0800309999606227E-2</v>
      </c>
      <c r="G131">
        <f>G130-$X130</f>
        <v>9.0164218848291372E-2</v>
      </c>
      <c r="H131">
        <f>H130-$X130</f>
        <v>7.981778814145149E-2</v>
      </c>
      <c r="I131">
        <f>I130-$X130</f>
        <v>9.1993815940607543E-2</v>
      </c>
      <c r="J131">
        <f>J130-$X130</f>
        <v>0.10509469016206338</v>
      </c>
      <c r="K131">
        <f>K130-$X130</f>
        <v>0.12059912821896765</v>
      </c>
      <c r="L131">
        <f>L130-$X130</f>
        <v>0.11448415959621247</v>
      </c>
      <c r="M131">
        <f>M130-$X130</f>
        <v>-7.0941291502213011E-2</v>
      </c>
      <c r="N131">
        <f>N130-$X130</f>
        <v>-8.7149268378617334E-2</v>
      </c>
      <c r="O131">
        <f>O130-$X130</f>
        <v>-9.0100730599421697E-2</v>
      </c>
      <c r="P131">
        <f>P130-$X130</f>
        <v>-8.2276219015498808E-2</v>
      </c>
      <c r="Q131">
        <f>Q130-$X130</f>
        <v>-8.3485583060181862E-2</v>
      </c>
      <c r="R131">
        <f>R130-$X130</f>
        <v>-9.2643847615293887E-2</v>
      </c>
      <c r="S131">
        <f>S130-$X130</f>
        <v>-9.6568907046121824E-2</v>
      </c>
      <c r="T131">
        <f>T130-$X130</f>
        <v>-8.6446684880653005E-2</v>
      </c>
      <c r="U131">
        <f>U130-$X130</f>
        <v>-7.1318318302149214E-2</v>
      </c>
      <c r="V131">
        <f>V130-$X130</f>
        <v>-6.5696420745784911E-2</v>
      </c>
      <c r="W131">
        <f>W130-$X130</f>
        <v>-6.2143285405803383E-2</v>
      </c>
    </row>
    <row r="132" spans="1:25" ht="16">
      <c r="A132" s="2"/>
      <c r="M132">
        <f>B131*M131</f>
        <v>-3.6446577484670144E-3</v>
      </c>
      <c r="N132">
        <f t="shared" ref="N132" si="39">C131*N131</f>
        <v>-3.4745230435366302E-3</v>
      </c>
      <c r="O132">
        <f t="shared" ref="O132" si="40">D131*O131</f>
        <v>-3.8566950875345879E-3</v>
      </c>
      <c r="P132">
        <f t="shared" ref="P132" si="41">E131*P131</f>
        <v>-5.082025466562258E-3</v>
      </c>
      <c r="Q132">
        <f t="shared" ref="Q132" si="42">F131*Q131</f>
        <v>-7.5805168223623872E-3</v>
      </c>
      <c r="R132">
        <f t="shared" ref="R132" si="43">G131*R131</f>
        <v>-8.3531601513331145E-3</v>
      </c>
      <c r="S132">
        <f t="shared" ref="S132" si="44">H131*S131</f>
        <v>-7.7079165636588735E-3</v>
      </c>
      <c r="T132">
        <f t="shared" ref="T132" si="45">I131*T131</f>
        <v>-7.952560417586494E-3</v>
      </c>
      <c r="U132">
        <f t="shared" ref="U132" si="46">J131*U131</f>
        <v>-7.4951765648437856E-3</v>
      </c>
      <c r="V132">
        <f t="shared" ref="V132" si="47">K131*V131</f>
        <v>-7.9229310690481607E-3</v>
      </c>
      <c r="W132">
        <f t="shared" ref="W132" si="48">L131*W131</f>
        <v>-7.1144218042309762E-3</v>
      </c>
      <c r="X132">
        <f>SUM(M132:W132)</f>
        <v>-7.018458473916428E-2</v>
      </c>
      <c r="Y132">
        <f>X132/11/Y130</f>
        <v>-0.91798115424253546</v>
      </c>
    </row>
    <row r="133" spans="1:25" ht="16">
      <c r="A133" s="2" t="s">
        <v>179</v>
      </c>
      <c r="B133">
        <v>0.22165172299282193</v>
      </c>
      <c r="C133">
        <v>0.19360890629831976</v>
      </c>
      <c r="D133">
        <v>0.19574686138867539</v>
      </c>
      <c r="E133">
        <v>0.20256318974724102</v>
      </c>
      <c r="F133">
        <v>0.21221864951768488</v>
      </c>
      <c r="G133">
        <v>0.20874795948031039</v>
      </c>
      <c r="H133">
        <v>0.21318773211343123</v>
      </c>
      <c r="I133">
        <v>0.21414704144509158</v>
      </c>
      <c r="J133">
        <v>0.22968504725961056</v>
      </c>
      <c r="K133">
        <v>0.22742499813891165</v>
      </c>
      <c r="L133">
        <v>0.23495388463342193</v>
      </c>
      <c r="M133">
        <v>0.207523205411273</v>
      </c>
      <c r="N133">
        <v>0.18700638650546023</v>
      </c>
      <c r="O133">
        <v>0.18911181578401445</v>
      </c>
      <c r="P133">
        <v>0.20093342520248048</v>
      </c>
      <c r="Q133">
        <v>0.22010321805887145</v>
      </c>
      <c r="R133">
        <v>0.21727623656166561</v>
      </c>
      <c r="S133">
        <v>0.2153060771518622</v>
      </c>
      <c r="T133">
        <v>0.22190359419173752</v>
      </c>
      <c r="U133">
        <v>0.240262293418566</v>
      </c>
      <c r="V133">
        <v>0.24139254912177263</v>
      </c>
      <c r="W133">
        <v>0.25264871172803488</v>
      </c>
      <c r="X133">
        <f t="shared" ref="X133:X153" si="49">AVERAGE(B133:W133)</f>
        <v>0.21579106846142085</v>
      </c>
      <c r="Y133">
        <f>(_xlfn.STDEV.P(B133:W133))^2</f>
        <v>2.8960015799493597E-4</v>
      </c>
    </row>
    <row r="134" spans="1:25" ht="16">
      <c r="A134" s="2"/>
      <c r="B134">
        <f>B133-$X133</f>
        <v>5.8606545314010827E-3</v>
      </c>
      <c r="C134">
        <f>C133-$X133</f>
        <v>-2.2182162163101093E-2</v>
      </c>
      <c r="D134">
        <f>D133-$X133</f>
        <v>-2.0044207072745457E-2</v>
      </c>
      <c r="E134">
        <f>E133-$X133</f>
        <v>-1.3227878714179825E-2</v>
      </c>
      <c r="F134">
        <f>F133-$X133</f>
        <v>-3.5724189437359721E-3</v>
      </c>
      <c r="G134">
        <f>G133-$X133</f>
        <v>-7.043108981110463E-3</v>
      </c>
      <c r="H134">
        <f>H133-$X133</f>
        <v>-2.603336347989621E-3</v>
      </c>
      <c r="I134">
        <f>I133-$X133</f>
        <v>-1.6440270163292636E-3</v>
      </c>
      <c r="J134">
        <f>J133-$X133</f>
        <v>1.389397879818971E-2</v>
      </c>
      <c r="K134">
        <f>K133-$X133</f>
        <v>1.1633929677490801E-2</v>
      </c>
      <c r="L134">
        <f>L133-$X133</f>
        <v>1.9162816172001079E-2</v>
      </c>
      <c r="M134">
        <f>M133-$X133</f>
        <v>-8.2678630501478445E-3</v>
      </c>
      <c r="N134">
        <f>N133-$X133</f>
        <v>-2.8784681955960623E-2</v>
      </c>
      <c r="O134">
        <f>O133-$X133</f>
        <v>-2.6679252677406395E-2</v>
      </c>
      <c r="P134">
        <f>P133-$X133</f>
        <v>-1.4857643258940373E-2</v>
      </c>
      <c r="Q134">
        <f>Q133-$X133</f>
        <v>4.3121495974506041E-3</v>
      </c>
      <c r="R134">
        <f>R133-$X133</f>
        <v>1.4851681002447659E-3</v>
      </c>
      <c r="S134">
        <f>S133-$X133</f>
        <v>-4.8499130955864667E-4</v>
      </c>
      <c r="T134">
        <f>T133-$X133</f>
        <v>6.1125257303166758E-3</v>
      </c>
      <c r="U134">
        <f>U133-$X133</f>
        <v>2.4471224957145155E-2</v>
      </c>
      <c r="V134">
        <f>V133-$X133</f>
        <v>2.5601480660351783E-2</v>
      </c>
      <c r="W134">
        <f>W133-$X133</f>
        <v>3.6857643266614032E-2</v>
      </c>
    </row>
    <row r="135" spans="1:25" ht="16">
      <c r="A135" s="2"/>
      <c r="M135">
        <f>B134*M134</f>
        <v>-4.8455089049852544E-5</v>
      </c>
      <c r="N135">
        <f t="shared" ref="N135" si="50">C134*N134</f>
        <v>6.3850648296040848E-4</v>
      </c>
      <c r="O135">
        <f t="shared" ref="O135" si="51">D134*O134</f>
        <v>5.3476446521203249E-4</v>
      </c>
      <c r="P135">
        <f t="shared" ref="P135" si="52">E134*P134</f>
        <v>1.9653510300781472E-4</v>
      </c>
      <c r="Q135">
        <f t="shared" ref="Q135" si="53">F134*Q134</f>
        <v>-1.5404804910155983E-5</v>
      </c>
      <c r="R135">
        <f t="shared" ref="R135" si="54">G134*R134</f>
        <v>-1.0460200785292675E-5</v>
      </c>
      <c r="S135">
        <f t="shared" ref="S135" si="55">H134*S134</f>
        <v>1.262595504633111E-6</v>
      </c>
      <c r="T135">
        <f t="shared" ref="T135" si="56">I134*T134</f>
        <v>-1.0049157438648378E-5</v>
      </c>
      <c r="U135">
        <f t="shared" ref="U135" si="57">J134*U134</f>
        <v>3.4000268072030565E-4</v>
      </c>
      <c r="V135">
        <f t="shared" ref="V135" si="58">K134*V134</f>
        <v>2.9784582564217337E-4</v>
      </c>
      <c r="W135">
        <f t="shared" ref="W135" si="59">L134*W134</f>
        <v>7.0629624245131806E-4</v>
      </c>
      <c r="X135">
        <f>SUM(M135:W135)</f>
        <v>2.6308441433147366E-3</v>
      </c>
      <c r="Y135">
        <f>X135/11/Y133</f>
        <v>0.82585469237358267</v>
      </c>
    </row>
    <row r="136" spans="1:25" ht="16">
      <c r="A136" s="2" t="s">
        <v>180</v>
      </c>
      <c r="B136">
        <v>0.22165172299282193</v>
      </c>
      <c r="C136">
        <v>0.19360890629831976</v>
      </c>
      <c r="D136">
        <v>0.19574686138867539</v>
      </c>
      <c r="E136">
        <v>0.20256318974724102</v>
      </c>
      <c r="F136">
        <v>0.21221864951768488</v>
      </c>
      <c r="G136">
        <v>0.20874795948031039</v>
      </c>
      <c r="H136">
        <v>0.21318773211343123</v>
      </c>
      <c r="I136">
        <v>0.21414704144509158</v>
      </c>
      <c r="J136">
        <v>0.22968504725961056</v>
      </c>
      <c r="K136">
        <v>0.22742499813891165</v>
      </c>
      <c r="L136">
        <v>0.23495388463342193</v>
      </c>
      <c r="M136">
        <v>0.19642988387476112</v>
      </c>
      <c r="N136">
        <v>0.18389633770786942</v>
      </c>
      <c r="O136">
        <v>0.18427902134305049</v>
      </c>
      <c r="P136">
        <v>0.20235453142267401</v>
      </c>
      <c r="Q136">
        <v>0.20985256893320195</v>
      </c>
      <c r="R136">
        <v>0.20171414528251655</v>
      </c>
      <c r="S136">
        <v>0.19839145338485203</v>
      </c>
      <c r="T136">
        <v>0.20195320733506639</v>
      </c>
      <c r="U136">
        <v>0.22076733544526575</v>
      </c>
      <c r="V136">
        <v>0.21720883534136545</v>
      </c>
      <c r="W136">
        <v>0.22518756214408389</v>
      </c>
      <c r="X136">
        <f t="shared" ref="X136:X153" si="60">AVERAGE(B136:W136)</f>
        <v>0.20890776705591946</v>
      </c>
      <c r="Y136">
        <f>(_xlfn.STDEV.P(B136:W136))^2</f>
        <v>1.9257469521629107E-4</v>
      </c>
    </row>
    <row r="137" spans="1:25" ht="16">
      <c r="A137" s="2"/>
      <c r="B137">
        <f>B136-$X136</f>
        <v>1.2743955936902474E-2</v>
      </c>
      <c r="C137">
        <f>C136-$X136</f>
        <v>-1.5298860757599703E-2</v>
      </c>
      <c r="D137">
        <f>D136-$X136</f>
        <v>-1.3160905667244066E-2</v>
      </c>
      <c r="E137">
        <f>E136-$X136</f>
        <v>-6.3445773086784341E-3</v>
      </c>
      <c r="F137">
        <f>F136-$X136</f>
        <v>3.3108824617654187E-3</v>
      </c>
      <c r="G137">
        <f>G136-$X136</f>
        <v>-1.5980757560907222E-4</v>
      </c>
      <c r="H137">
        <f>H136-$X136</f>
        <v>4.2799650575117698E-3</v>
      </c>
      <c r="I137">
        <f>I136-$X136</f>
        <v>5.2392743891721272E-3</v>
      </c>
      <c r="J137">
        <f>J136-$X136</f>
        <v>2.0777280203691101E-2</v>
      </c>
      <c r="K137">
        <f>K136-$X136</f>
        <v>1.8517231082992192E-2</v>
      </c>
      <c r="L137">
        <f>L136-$X136</f>
        <v>2.604611757750247E-2</v>
      </c>
      <c r="M137">
        <f>M136-$X136</f>
        <v>-1.2477883181158334E-2</v>
      </c>
      <c r="N137">
        <f>N136-$X136</f>
        <v>-2.5011429348050035E-2</v>
      </c>
      <c r="O137">
        <f>O136-$X136</f>
        <v>-2.4628745712868966E-2</v>
      </c>
      <c r="P137">
        <f>P136-$X136</f>
        <v>-6.5532356332454467E-3</v>
      </c>
      <c r="Q137">
        <f>Q136-$X136</f>
        <v>9.4480187728249176E-4</v>
      </c>
      <c r="R137">
        <f>R136-$X136</f>
        <v>-7.1936217734029084E-3</v>
      </c>
      <c r="S137">
        <f>S136-$X136</f>
        <v>-1.0516313671067423E-2</v>
      </c>
      <c r="T137">
        <f>T136-$X136</f>
        <v>-6.9545597208530707E-3</v>
      </c>
      <c r="U137">
        <f>U136-$X136</f>
        <v>1.1859568389346292E-2</v>
      </c>
      <c r="V137">
        <f>V136-$X136</f>
        <v>8.301068285445995E-3</v>
      </c>
      <c r="W137">
        <f>W136-$X136</f>
        <v>1.6279795088164434E-2</v>
      </c>
    </row>
    <row r="138" spans="1:25" ht="16">
      <c r="A138" s="2"/>
      <c r="M138">
        <f>B137*M137</f>
        <v>-1.5901759344649825E-4</v>
      </c>
      <c r="N138">
        <f t="shared" ref="N138" si="61">C137*N137</f>
        <v>3.8264637494436017E-4</v>
      </c>
      <c r="O138">
        <f t="shared" ref="O138" si="62">D137*O137</f>
        <v>3.2413659902961019E-4</v>
      </c>
      <c r="P138">
        <f t="shared" ref="P138" si="63">E137*P137</f>
        <v>4.1577510097112009E-5</v>
      </c>
      <c r="Q138">
        <f t="shared" ref="Q138" si="64">F137*Q137</f>
        <v>3.1281279653376454E-6</v>
      </c>
      <c r="R138">
        <f t="shared" ref="R138" si="65">G137*R137</f>
        <v>1.1495952554561535E-6</v>
      </c>
      <c r="S138">
        <f t="shared" ref="S138" si="66">H137*S137</f>
        <v>-4.5009455046001892E-5</v>
      </c>
      <c r="T138">
        <f t="shared" ref="T138" si="67">I137*T137</f>
        <v>-3.6436846633433555E-5</v>
      </c>
      <c r="U138">
        <f t="shared" ref="U138" si="68">J137*U137</f>
        <v>2.4640957552028546E-4</v>
      </c>
      <c r="V138">
        <f t="shared" ref="V138" si="69">K137*V137</f>
        <v>1.5371279967730129E-4</v>
      </c>
      <c r="W138">
        <f t="shared" ref="W138" si="70">L137*W137</f>
        <v>4.2402545700397803E-4</v>
      </c>
      <c r="X138">
        <f>SUM(M138:W138)</f>
        <v>1.3363221443675073E-3</v>
      </c>
      <c r="Y138">
        <f>X138/11/Y136</f>
        <v>0.63084005491838879</v>
      </c>
    </row>
    <row r="139" spans="1:25" ht="16">
      <c r="A139" s="2" t="s">
        <v>181</v>
      </c>
      <c r="B139">
        <v>0.22165172299282193</v>
      </c>
      <c r="C139">
        <v>0.19360890629831976</v>
      </c>
      <c r="D139">
        <v>0.19574686138867539</v>
      </c>
      <c r="E139">
        <v>0.20256318974724102</v>
      </c>
      <c r="F139">
        <v>0.21221864951768488</v>
      </c>
      <c r="G139">
        <v>0.20874795948031039</v>
      </c>
      <c r="H139">
        <v>0.21318773211343123</v>
      </c>
      <c r="I139">
        <v>0.21414704144509158</v>
      </c>
      <c r="J139">
        <v>0.22968504725961056</v>
      </c>
      <c r="K139">
        <v>0.22742499813891165</v>
      </c>
      <c r="L139">
        <v>0.23495388463342193</v>
      </c>
      <c r="M139">
        <v>0.12896149435793461</v>
      </c>
      <c r="N139">
        <v>0.11275351748153029</v>
      </c>
      <c r="O139">
        <v>0.10980205526072592</v>
      </c>
      <c r="P139">
        <v>0.11762656684464881</v>
      </c>
      <c r="Q139">
        <v>0.11641720279996576</v>
      </c>
      <c r="R139">
        <v>0.10725893824485373</v>
      </c>
      <c r="S139">
        <v>0.1033338788140258</v>
      </c>
      <c r="T139">
        <v>0.11345610097949461</v>
      </c>
      <c r="U139">
        <v>0.12858446755799841</v>
      </c>
      <c r="V139">
        <v>0.13420636511436271</v>
      </c>
      <c r="W139">
        <v>0.13775950045434424</v>
      </c>
      <c r="X139">
        <f t="shared" ref="X139:X153" si="71">AVERAGE(B139:W139)</f>
        <v>0.16654982186024572</v>
      </c>
      <c r="Y139">
        <f>(_xlfn.STDEV.P(B139:W139))^2</f>
        <v>2.394394232810531E-3</v>
      </c>
    </row>
    <row r="140" spans="1:25" ht="16">
      <c r="A140" s="2"/>
      <c r="B140">
        <f>B139-$X139</f>
        <v>5.5101901132576209E-2</v>
      </c>
      <c r="C140">
        <f>C139-$X139</f>
        <v>2.7059084438074033E-2</v>
      </c>
      <c r="D140">
        <f>D139-$X139</f>
        <v>2.9197039528429669E-2</v>
      </c>
      <c r="E140">
        <f>E139-$X139</f>
        <v>3.6013367886995301E-2</v>
      </c>
      <c r="F140">
        <f>F139-$X139</f>
        <v>4.5668827657439154E-2</v>
      </c>
      <c r="G140">
        <f>G139-$X139</f>
        <v>4.2198137620064663E-2</v>
      </c>
      <c r="H140">
        <f>H139-$X139</f>
        <v>4.6637910253185505E-2</v>
      </c>
      <c r="I140">
        <f>I139-$X139</f>
        <v>4.7597219584845862E-2</v>
      </c>
      <c r="J140">
        <f>J139-$X139</f>
        <v>6.3135225399364836E-2</v>
      </c>
      <c r="K140">
        <f>K139-$X139</f>
        <v>6.0875176278665927E-2</v>
      </c>
      <c r="L140">
        <f>L139-$X139</f>
        <v>6.8404062773176205E-2</v>
      </c>
      <c r="M140">
        <f>M139-$X139</f>
        <v>-3.7588327502311114E-2</v>
      </c>
      <c r="N140">
        <f>N139-$X139</f>
        <v>-5.3796304378715437E-2</v>
      </c>
      <c r="O140">
        <f>O139-$X139</f>
        <v>-5.67477665995198E-2</v>
      </c>
      <c r="P140">
        <f>P139-$X139</f>
        <v>-4.8923255015596911E-2</v>
      </c>
      <c r="Q140">
        <f>Q139-$X139</f>
        <v>-5.0132619060279965E-2</v>
      </c>
      <c r="R140">
        <f>R139-$X139</f>
        <v>-5.929088361539199E-2</v>
      </c>
      <c r="S140">
        <f>S139-$X139</f>
        <v>-6.3215943046219927E-2</v>
      </c>
      <c r="T140">
        <f>T139-$X139</f>
        <v>-5.3093720880751108E-2</v>
      </c>
      <c r="U140">
        <f>U139-$X139</f>
        <v>-3.7965354302247317E-2</v>
      </c>
      <c r="V140">
        <f>V139-$X139</f>
        <v>-3.2343456745883015E-2</v>
      </c>
      <c r="W140">
        <f>W139-$X139</f>
        <v>-2.8790321405901487E-2</v>
      </c>
    </row>
    <row r="141" spans="1:25" ht="16">
      <c r="A141" s="2"/>
      <c r="M141">
        <f>B140*M140</f>
        <v>-2.0711883057712424E-3</v>
      </c>
      <c r="N141">
        <f t="shared" ref="N141" si="72">C140*N140</f>
        <v>-1.4556787426399929E-3</v>
      </c>
      <c r="O141">
        <f t="shared" ref="O141" si="73">D140*O140</f>
        <v>-1.6568667845562805E-3</v>
      </c>
      <c r="P141">
        <f t="shared" ref="P141" si="74">E140*P140</f>
        <v>-1.7618911811059796E-3</v>
      </c>
      <c r="Q141">
        <f t="shared" ref="Q141" si="75">F140*Q140</f>
        <v>-2.2894979398799748E-3</v>
      </c>
      <c r="R141">
        <f t="shared" ref="R141" si="76">G140*R140</f>
        <v>-2.5019648664175481E-3</v>
      </c>
      <c r="S141">
        <f t="shared" ref="S141" si="77">H140*S140</f>
        <v>-2.9482594783600911E-3</v>
      </c>
      <c r="T141">
        <f t="shared" ref="T141" si="78">I140*T140</f>
        <v>-2.5271134913376265E-3</v>
      </c>
      <c r="U141">
        <f t="shared" ref="U141" si="79">J140*U140</f>
        <v>-2.39695120123913E-3</v>
      </c>
      <c r="V141">
        <f t="shared" ref="V141" si="80">K140*V140</f>
        <v>-1.9689136308670353E-3</v>
      </c>
      <c r="W141">
        <f t="shared" ref="W141" si="81">L140*W140</f>
        <v>-1.9693749527092039E-3</v>
      </c>
      <c r="X141">
        <f>SUM(M141:W141)</f>
        <v>-2.3547700574884103E-2</v>
      </c>
      <c r="Y141">
        <f>X141/11/Y139</f>
        <v>-0.89404661226127558</v>
      </c>
    </row>
    <row r="142" spans="1:25" ht="16">
      <c r="A142" s="2" t="s">
        <v>182</v>
      </c>
      <c r="B142">
        <v>0.207523205411273</v>
      </c>
      <c r="C142">
        <v>0.18700638650546023</v>
      </c>
      <c r="D142">
        <v>0.18911181578401445</v>
      </c>
      <c r="E142">
        <v>0.20093342520248048</v>
      </c>
      <c r="F142">
        <v>0.22010321805887145</v>
      </c>
      <c r="G142">
        <v>0.21727623656166561</v>
      </c>
      <c r="H142">
        <v>0.2153060771518622</v>
      </c>
      <c r="I142">
        <v>0.22190359419173752</v>
      </c>
      <c r="J142">
        <v>0.240262293418566</v>
      </c>
      <c r="K142">
        <v>0.24139254912177263</v>
      </c>
      <c r="L142">
        <v>0.25264871172803488</v>
      </c>
      <c r="M142">
        <v>0.19642988387476112</v>
      </c>
      <c r="N142">
        <v>0.18389633770786942</v>
      </c>
      <c r="O142">
        <v>0.18427902134305049</v>
      </c>
      <c r="P142">
        <v>0.20235453142267401</v>
      </c>
      <c r="Q142">
        <v>0.20985256893320195</v>
      </c>
      <c r="R142">
        <v>0.20171414528251655</v>
      </c>
      <c r="S142">
        <v>0.19839145338485203</v>
      </c>
      <c r="T142">
        <v>0.20195320733506639</v>
      </c>
      <c r="U142">
        <v>0.22076733544526575</v>
      </c>
      <c r="V142">
        <v>0.21720883534136545</v>
      </c>
      <c r="W142">
        <v>0.22518756214408389</v>
      </c>
      <c r="X142">
        <f t="shared" ref="X142:X153" si="82">AVERAGE(B142:W142)</f>
        <v>0.2107046543341112</v>
      </c>
      <c r="Y142">
        <f>(_xlfn.STDEV.P(B142:W142))^2</f>
        <v>3.3362900653511869E-4</v>
      </c>
    </row>
    <row r="143" spans="1:25" ht="16">
      <c r="A143" s="2"/>
      <c r="B143">
        <f>B142-$X142</f>
        <v>-3.1814489228381981E-3</v>
      </c>
      <c r="C143">
        <f>C142-$X142</f>
        <v>-2.3698267828650976E-2</v>
      </c>
      <c r="D143">
        <f>D142-$X142</f>
        <v>-2.1592838550096749E-2</v>
      </c>
      <c r="E143">
        <f>E142-$X142</f>
        <v>-9.7712291316307265E-3</v>
      </c>
      <c r="F143">
        <f>F142-$X142</f>
        <v>9.3985637247602505E-3</v>
      </c>
      <c r="G143">
        <f>G142-$X142</f>
        <v>6.5715822275544122E-3</v>
      </c>
      <c r="H143">
        <f>H142-$X142</f>
        <v>4.6014228177509997E-3</v>
      </c>
      <c r="I143">
        <f>I142-$X142</f>
        <v>1.1198939857626322E-2</v>
      </c>
      <c r="J143">
        <f>J142-$X142</f>
        <v>2.9557639084454801E-2</v>
      </c>
      <c r="K143">
        <f>K142-$X142</f>
        <v>3.0687894787661429E-2</v>
      </c>
      <c r="L143">
        <f>L142-$X142</f>
        <v>4.1944057393923678E-2</v>
      </c>
      <c r="M143">
        <f>M142-$X142</f>
        <v>-1.4274770459350078E-2</v>
      </c>
      <c r="N143">
        <f>N142-$X142</f>
        <v>-2.6808316626241779E-2</v>
      </c>
      <c r="O143">
        <f>O142-$X142</f>
        <v>-2.642563299106071E-2</v>
      </c>
      <c r="P143">
        <f>P142-$X142</f>
        <v>-8.3501229114371911E-3</v>
      </c>
      <c r="Q143">
        <f>Q142-$X142</f>
        <v>-8.5208540090925267E-4</v>
      </c>
      <c r="R143">
        <f>R142-$X142</f>
        <v>-8.9905090515946529E-3</v>
      </c>
      <c r="S143">
        <f>S142-$X142</f>
        <v>-1.2313200949259168E-2</v>
      </c>
      <c r="T143">
        <f>T142-$X142</f>
        <v>-8.7514469990448152E-3</v>
      </c>
      <c r="U143">
        <f>U142-$X142</f>
        <v>1.0062681111154548E-2</v>
      </c>
      <c r="V143">
        <f>V142-$X142</f>
        <v>6.5041810072542505E-3</v>
      </c>
      <c r="W143">
        <f>W142-$X142</f>
        <v>1.4482907809972689E-2</v>
      </c>
    </row>
    <row r="144" spans="1:25" ht="16">
      <c r="A144" s="2"/>
      <c r="M144">
        <f>B143*M143</f>
        <v>4.5414453101661838E-5</v>
      </c>
      <c r="N144">
        <f t="shared" ref="N144" si="83">C143*N143</f>
        <v>6.3531066744395464E-4</v>
      </c>
      <c r="O144">
        <f t="shared" ref="O144" si="84">D143*O143</f>
        <v>5.7060442676008414E-4</v>
      </c>
      <c r="P144">
        <f t="shared" ref="P144" si="85">E143*P143</f>
        <v>8.1590964244932255E-5</v>
      </c>
      <c r="Q144">
        <f t="shared" ref="Q144" si="86">F143*Q143</f>
        <v>-8.0083789393834969E-6</v>
      </c>
      <c r="R144">
        <f t="shared" ref="R144" si="87">G143*R143</f>
        <v>-5.9081869500126493E-5</v>
      </c>
      <c r="S144">
        <f t="shared" ref="S144" si="88">H143*S143</f>
        <v>-5.6658243807474405E-5</v>
      </c>
      <c r="T144">
        <f t="shared" ref="T144" si="89">I143*T143</f>
        <v>-9.8006928609507252E-5</v>
      </c>
      <c r="U144">
        <f t="shared" ref="U144" si="90">J143*U143</f>
        <v>2.9742909650546675E-4</v>
      </c>
      <c r="V144">
        <f t="shared" ref="V144" si="91">K143*V143</f>
        <v>1.9959962243052418E-4</v>
      </c>
      <c r="W144">
        <f t="shared" ref="W144" si="92">L143*W143</f>
        <v>6.0747191641240001E-4</v>
      </c>
      <c r="X144">
        <f>SUM(M144:W144)</f>
        <v>2.215665726042532E-3</v>
      </c>
      <c r="Y144">
        <f>X144/11/Y142</f>
        <v>0.60373694423286006</v>
      </c>
    </row>
    <row r="145" spans="1:25" ht="16">
      <c r="A145" s="2" t="s">
        <v>183</v>
      </c>
      <c r="B145">
        <v>0.207523205411273</v>
      </c>
      <c r="C145">
        <v>0.18700638650546023</v>
      </c>
      <c r="D145">
        <v>0.18911181578401445</v>
      </c>
      <c r="E145">
        <v>0.20093342520248048</v>
      </c>
      <c r="F145">
        <v>0.22010321805887145</v>
      </c>
      <c r="G145">
        <v>0.21727623656166561</v>
      </c>
      <c r="H145">
        <v>0.2153060771518622</v>
      </c>
      <c r="I145">
        <v>0.22190359419173752</v>
      </c>
      <c r="J145">
        <v>0.240262293418566</v>
      </c>
      <c r="K145">
        <v>0.24139254912177263</v>
      </c>
      <c r="L145">
        <v>0.25264871172803488</v>
      </c>
      <c r="M145">
        <v>0.12896149435793461</v>
      </c>
      <c r="N145">
        <v>0.11275351748153029</v>
      </c>
      <c r="O145">
        <v>0.10980205526072592</v>
      </c>
      <c r="P145">
        <v>0.11762656684464881</v>
      </c>
      <c r="Q145">
        <v>0.11641720279996576</v>
      </c>
      <c r="R145">
        <v>0.10725893824485373</v>
      </c>
      <c r="S145">
        <v>0.1033338788140258</v>
      </c>
      <c r="T145">
        <v>0.11345610097949461</v>
      </c>
      <c r="U145">
        <v>0.12858446755799841</v>
      </c>
      <c r="V145">
        <v>0.13420636511436271</v>
      </c>
      <c r="W145">
        <v>0.13775950045434424</v>
      </c>
      <c r="X145">
        <f t="shared" ref="X145:X153" si="93">AVERAGE(B145:W145)</f>
        <v>0.16834670913843744</v>
      </c>
      <c r="Y145">
        <f>(_xlfn.STDEV.P(B145:W145))^2</f>
        <v>2.6876734498342656E-3</v>
      </c>
    </row>
    <row r="146" spans="1:25" ht="16">
      <c r="A146" s="2"/>
      <c r="B146">
        <f>B145-$X145</f>
        <v>3.9176496272835565E-2</v>
      </c>
      <c r="C146">
        <f>C145-$X145</f>
        <v>1.8659677367022787E-2</v>
      </c>
      <c r="D146">
        <f>D145-$X145</f>
        <v>2.0765106645577014E-2</v>
      </c>
      <c r="E146">
        <f>E145-$X145</f>
        <v>3.2586716064043036E-2</v>
      </c>
      <c r="F146">
        <f>F145-$X145</f>
        <v>5.1756508920434013E-2</v>
      </c>
      <c r="G146">
        <f>G145-$X145</f>
        <v>4.8929527423228175E-2</v>
      </c>
      <c r="H146">
        <f>H145-$X145</f>
        <v>4.6959368013424763E-2</v>
      </c>
      <c r="I146">
        <f>I145-$X145</f>
        <v>5.3556885053300085E-2</v>
      </c>
      <c r="J146">
        <f>J145-$X145</f>
        <v>7.1915584280128564E-2</v>
      </c>
      <c r="K146">
        <f>K145-$X145</f>
        <v>7.3045839983335192E-2</v>
      </c>
      <c r="L146">
        <f>L145-$X145</f>
        <v>8.4302002589597441E-2</v>
      </c>
      <c r="M146">
        <f>M145-$X145</f>
        <v>-3.9385214780502831E-2</v>
      </c>
      <c r="N146">
        <f>N145-$X145</f>
        <v>-5.5593191656907154E-2</v>
      </c>
      <c r="O146">
        <f>O145-$X145</f>
        <v>-5.8544653877711517E-2</v>
      </c>
      <c r="P146">
        <f>P145-$X145</f>
        <v>-5.0720142293788628E-2</v>
      </c>
      <c r="Q146">
        <f>Q145-$X145</f>
        <v>-5.1929506338471682E-2</v>
      </c>
      <c r="R146">
        <f>R145-$X145</f>
        <v>-6.1087770893583707E-2</v>
      </c>
      <c r="S146">
        <f>S145-$X145</f>
        <v>-6.5012830324411644E-2</v>
      </c>
      <c r="T146">
        <f>T145-$X145</f>
        <v>-5.4890608158942825E-2</v>
      </c>
      <c r="U146">
        <f>U145-$X145</f>
        <v>-3.9762241580439034E-2</v>
      </c>
      <c r="V146">
        <f>V145-$X145</f>
        <v>-3.4140344024074731E-2</v>
      </c>
      <c r="W146">
        <f>W145-$X145</f>
        <v>-3.0587208684093203E-2</v>
      </c>
    </row>
    <row r="147" spans="1:25" ht="16">
      <c r="A147" s="2"/>
      <c r="M147">
        <f>B146*M146</f>
        <v>-1.5429747200531973E-3</v>
      </c>
      <c r="N147">
        <f t="shared" ref="N147" si="94">C146*N146</f>
        <v>-1.0373510201209504E-3</v>
      </c>
      <c r="O147">
        <f t="shared" ref="O147" si="95">D146*O146</f>
        <v>-1.2156859812990735E-3</v>
      </c>
      <c r="P147">
        <f t="shared" ref="P147" si="96">E146*P146</f>
        <v>-1.6528028756555505E-3</v>
      </c>
      <c r="Q147">
        <f t="shared" ref="Q147" si="97">F146*Q146</f>
        <v>-2.6876899580408442E-3</v>
      </c>
      <c r="R147">
        <f t="shared" ref="R147" si="98">G146*R146</f>
        <v>-2.988995761161484E-3</v>
      </c>
      <c r="S147">
        <f t="shared" ref="S147" si="99">H146*S146</f>
        <v>-3.0529614247983877E-3</v>
      </c>
      <c r="T147">
        <f t="shared" ref="T147" si="100">I146*T146</f>
        <v>-2.9397699916742367E-3</v>
      </c>
      <c r="U147">
        <f t="shared" ref="U147" si="101">J146*U146</f>
        <v>-2.8595248355448959E-3</v>
      </c>
      <c r="V147">
        <f t="shared" ref="V147" si="102">K146*V146</f>
        <v>-2.4938101065585766E-3</v>
      </c>
      <c r="W147">
        <f t="shared" ref="W147" si="103">L146*W146</f>
        <v>-2.5785629456949828E-3</v>
      </c>
      <c r="X147">
        <f>SUM(M147:W147)</f>
        <v>-2.5050129620602182E-2</v>
      </c>
      <c r="Y147">
        <f>X147/11/Y145</f>
        <v>-0.84730699375114293</v>
      </c>
    </row>
    <row r="148" spans="1:25" ht="16">
      <c r="A148" s="2" t="s">
        <v>184</v>
      </c>
      <c r="B148">
        <v>0.19642988387476112</v>
      </c>
      <c r="C148">
        <v>0.18389633770786942</v>
      </c>
      <c r="D148">
        <v>0.18427902134305049</v>
      </c>
      <c r="E148">
        <v>0.20235453142267401</v>
      </c>
      <c r="F148">
        <v>0.20985256893320195</v>
      </c>
      <c r="G148">
        <v>0.20171414528251655</v>
      </c>
      <c r="H148">
        <v>0.19839145338485203</v>
      </c>
      <c r="I148">
        <v>0.20195320733506639</v>
      </c>
      <c r="J148">
        <v>0.22076733544526575</v>
      </c>
      <c r="K148">
        <v>0.21720883534136545</v>
      </c>
      <c r="L148">
        <v>0.22518756214408389</v>
      </c>
      <c r="M148">
        <v>0.12896149435793461</v>
      </c>
      <c r="N148">
        <v>0.11275351748153029</v>
      </c>
      <c r="O148">
        <v>0.10980205526072592</v>
      </c>
      <c r="P148">
        <v>0.11762656684464881</v>
      </c>
      <c r="Q148">
        <v>0.11641720279996576</v>
      </c>
      <c r="R148">
        <v>0.10725893824485373</v>
      </c>
      <c r="S148">
        <v>0.1033338788140258</v>
      </c>
      <c r="T148">
        <v>0.11345610097949461</v>
      </c>
      <c r="U148">
        <v>0.12858446755799841</v>
      </c>
      <c r="V148">
        <v>0.13420636511436271</v>
      </c>
      <c r="W148">
        <v>0.13775950045434424</v>
      </c>
      <c r="X148">
        <f t="shared" ref="X148:X153" si="104">AVERAGE(B148:W148)</f>
        <v>0.16146340773293599</v>
      </c>
      <c r="Y148">
        <f>(_xlfn.STDEV.P(B148:W148))^2</f>
        <v>1.9375003366336107E-3</v>
      </c>
    </row>
    <row r="149" spans="1:25">
      <c r="B149">
        <f>B148-$X148</f>
        <v>3.4966476141825131E-2</v>
      </c>
      <c r="C149">
        <f>C148-$X148</f>
        <v>2.243292997493343E-2</v>
      </c>
      <c r="D149">
        <f>D148-$X148</f>
        <v>2.2815613610114499E-2</v>
      </c>
      <c r="E149">
        <f>E148-$X148</f>
        <v>4.0891123689738018E-2</v>
      </c>
      <c r="F149">
        <f>F148-$X148</f>
        <v>4.8389161200265957E-2</v>
      </c>
      <c r="G149">
        <f>G148-$X148</f>
        <v>4.0250737549580556E-2</v>
      </c>
      <c r="H149">
        <f>H148-$X148</f>
        <v>3.6928045651916042E-2</v>
      </c>
      <c r="I149">
        <f>I148-$X148</f>
        <v>4.0489799602130394E-2</v>
      </c>
      <c r="J149">
        <f>J148-$X148</f>
        <v>5.9303927712329757E-2</v>
      </c>
      <c r="K149">
        <f>K148-$X148</f>
        <v>5.574542760842946E-2</v>
      </c>
      <c r="L149">
        <f>L148-$X148</f>
        <v>6.3724154411147899E-2</v>
      </c>
      <c r="M149">
        <f>M148-$X148</f>
        <v>-3.2501913375001384E-2</v>
      </c>
      <c r="N149">
        <f>N148-$X148</f>
        <v>-4.8709890251405707E-2</v>
      </c>
      <c r="O149">
        <f>O148-$X148</f>
        <v>-5.166135247221007E-2</v>
      </c>
      <c r="P149">
        <f>P148-$X148</f>
        <v>-4.3836840888287182E-2</v>
      </c>
      <c r="Q149">
        <f>Q148-$X148</f>
        <v>-4.5046204932970235E-2</v>
      </c>
      <c r="R149">
        <f>R148-$X148</f>
        <v>-5.420446948808226E-2</v>
      </c>
      <c r="S149">
        <f>S148-$X148</f>
        <v>-5.8129528918910198E-2</v>
      </c>
      <c r="T149">
        <f>T148-$X148</f>
        <v>-4.8007306753441378E-2</v>
      </c>
      <c r="U149">
        <f>U148-$X148</f>
        <v>-3.2878940174937588E-2</v>
      </c>
      <c r="V149">
        <f>V148-$X148</f>
        <v>-2.7257042618573285E-2</v>
      </c>
      <c r="W149">
        <f>W148-$X148</f>
        <v>-2.3703907278591757E-2</v>
      </c>
    </row>
    <row r="150" spans="1:25">
      <c r="M150">
        <f>B149*M149</f>
        <v>-1.1364773785906531E-3</v>
      </c>
      <c r="N150">
        <f t="shared" ref="N150" si="105">C149*N149</f>
        <v>-1.0927055570964768E-3</v>
      </c>
      <c r="O150">
        <f t="shared" ref="O150" si="106">D149*O149</f>
        <v>-1.1786854565818785E-3</v>
      </c>
      <c r="P150">
        <f t="shared" ref="P150" si="107">E149*P149</f>
        <v>-1.7925376829303161E-3</v>
      </c>
      <c r="Q150">
        <f t="shared" ref="Q150" si="108">F149*Q149</f>
        <v>-2.1797480719617122E-3</v>
      </c>
      <c r="R150">
        <f t="shared" ref="R150" si="109">G149*R149</f>
        <v>-2.1817698753790462E-3</v>
      </c>
      <c r="S150">
        <f t="shared" ref="S150" si="110">H149*S149</f>
        <v>-2.1466098976418895E-3</v>
      </c>
      <c r="T150">
        <f t="shared" ref="T150" si="111">I149*T149</f>
        <v>-1.9438062298848425E-3</v>
      </c>
      <c r="U150">
        <f t="shared" ref="U150" si="112">J149*U149</f>
        <v>-1.9498502913925134E-3</v>
      </c>
      <c r="V150">
        <f t="shared" ref="V150" si="113">K149*V149</f>
        <v>-1.5194554961135535E-3</v>
      </c>
      <c r="W150">
        <f t="shared" ref="W150" si="114">L149*W149</f>
        <v>-1.5105114475685137E-3</v>
      </c>
      <c r="X150">
        <f>SUM(M150:W150)</f>
        <v>-1.8632157385141394E-2</v>
      </c>
      <c r="Y150">
        <f>X150/11/Y148</f>
        <v>-0.87423597174766288</v>
      </c>
    </row>
    <row r="151" spans="1:25" ht="16">
      <c r="A151" s="2" t="s">
        <v>187</v>
      </c>
      <c r="B151">
        <v>0.25127847512784751</v>
      </c>
      <c r="C151">
        <v>0.23977142857142858</v>
      </c>
      <c r="D151">
        <v>0.24270704573547588</v>
      </c>
      <c r="E151">
        <v>0.26167063965037746</v>
      </c>
      <c r="F151">
        <v>0.29070309585975385</v>
      </c>
      <c r="G151">
        <v>0.29006700470843899</v>
      </c>
      <c r="H151">
        <v>0.27972057400159911</v>
      </c>
      <c r="I151">
        <v>0.29189660180075516</v>
      </c>
      <c r="J151">
        <v>0.304997476022211</v>
      </c>
      <c r="K151">
        <v>0.32050191407911527</v>
      </c>
      <c r="L151">
        <v>0.31438694545636009</v>
      </c>
      <c r="M151">
        <f>B151-1000</f>
        <v>-999.74872152487217</v>
      </c>
      <c r="N151">
        <f t="shared" ref="N151:W151" si="115">C151-1000</f>
        <v>-999.76022857142857</v>
      </c>
      <c r="O151">
        <f t="shared" si="115"/>
        <v>-999.75729295426447</v>
      </c>
      <c r="P151">
        <f t="shared" si="115"/>
        <v>-999.73832936034967</v>
      </c>
      <c r="Q151">
        <f t="shared" si="115"/>
        <v>-999.70929690414027</v>
      </c>
      <c r="R151">
        <f t="shared" si="115"/>
        <v>-999.70993299529152</v>
      </c>
      <c r="S151">
        <f t="shared" si="115"/>
        <v>-999.72027942599846</v>
      </c>
      <c r="T151">
        <f t="shared" si="115"/>
        <v>-999.70810339819923</v>
      </c>
      <c r="U151">
        <f t="shared" si="115"/>
        <v>-999.69500252397779</v>
      </c>
      <c r="V151">
        <f t="shared" si="115"/>
        <v>-999.67949808592084</v>
      </c>
      <c r="W151">
        <f t="shared" si="115"/>
        <v>-999.68561305454364</v>
      </c>
      <c r="X151">
        <f>AVERAGE(B151:W151)</f>
        <v>-499.71929989081707</v>
      </c>
      <c r="Y151">
        <f>(_xlfn.STDEV.P(B151:W151))^2</f>
        <v>250000.00072453191</v>
      </c>
    </row>
    <row r="152" spans="1:25">
      <c r="B152">
        <f>B151-$X151</f>
        <v>499.9705783659449</v>
      </c>
      <c r="C152">
        <f>C151-$X151</f>
        <v>499.9590713193885</v>
      </c>
      <c r="D152">
        <f>D151-$X151</f>
        <v>499.96200693655254</v>
      </c>
      <c r="E152">
        <f>E151-$X151</f>
        <v>499.98097053046746</v>
      </c>
      <c r="F152">
        <f>F151-$X151</f>
        <v>500.0100029866768</v>
      </c>
      <c r="G152">
        <f>G151-$X151</f>
        <v>500.00936689552549</v>
      </c>
      <c r="H152">
        <f>H151-$X151</f>
        <v>499.99902046481867</v>
      </c>
      <c r="I152">
        <f>I151-$X151</f>
        <v>500.01119649261784</v>
      </c>
      <c r="J152">
        <f>J151-$X151</f>
        <v>500.02429736683928</v>
      </c>
      <c r="K152">
        <f>K151-$X151</f>
        <v>500.03980180489617</v>
      </c>
      <c r="L152">
        <f>L151-$X151</f>
        <v>500.03368683627343</v>
      </c>
      <c r="M152">
        <f>M151-$X151</f>
        <v>-500.0294216340551</v>
      </c>
      <c r="N152">
        <f>N151-$X151</f>
        <v>-500.0409286806115</v>
      </c>
      <c r="O152">
        <f>O151-$X151</f>
        <v>-500.0379930634474</v>
      </c>
      <c r="P152">
        <f>P151-$X151</f>
        <v>-500.0190294695326</v>
      </c>
      <c r="Q152">
        <f>Q151-$X151</f>
        <v>-499.9899970133232</v>
      </c>
      <c r="R152">
        <f>R151-$X151</f>
        <v>-499.99063310447445</v>
      </c>
      <c r="S152">
        <f>S151-$X151</f>
        <v>-500.00097953518139</v>
      </c>
      <c r="T152">
        <f>T151-$X151</f>
        <v>-499.98880350738216</v>
      </c>
      <c r="U152">
        <f>U151-$X151</f>
        <v>-499.97570263316072</v>
      </c>
      <c r="V152">
        <f>V151-$X151</f>
        <v>-499.96019819510377</v>
      </c>
      <c r="W152">
        <f>W151-$X151</f>
        <v>-499.96631316372657</v>
      </c>
    </row>
    <row r="153" spans="1:25">
      <c r="M153">
        <f>B152*M152</f>
        <v>-249999.99913436745</v>
      </c>
      <c r="N153">
        <f t="shared" ref="N153" si="116">C152*N152</f>
        <v>-249999.99832484309</v>
      </c>
      <c r="O153">
        <f t="shared" ref="O153" si="117">D152*O152</f>
        <v>-249999.99855652711</v>
      </c>
      <c r="P153">
        <f t="shared" ref="P153" si="118">E152*P152</f>
        <v>-249999.99963787931</v>
      </c>
      <c r="Q153">
        <f t="shared" ref="Q153" si="119">F152*Q152</f>
        <v>-249999.99989994025</v>
      </c>
      <c r="R153">
        <f t="shared" ref="R153" si="120">G152*R152</f>
        <v>-249999.99991226124</v>
      </c>
      <c r="S153">
        <f t="shared" ref="S153" si="121">H152*S152</f>
        <v>-249999.99999904053</v>
      </c>
      <c r="T153">
        <f t="shared" ref="T153" si="122">I152*T152</f>
        <v>-249999.99987463854</v>
      </c>
      <c r="U153">
        <f t="shared" ref="U153" si="123">J152*U152</f>
        <v>-249999.99940963797</v>
      </c>
      <c r="V153">
        <f t="shared" ref="V153" si="124">K152*V152</f>
        <v>-249999.99841581628</v>
      </c>
      <c r="W153">
        <f t="shared" ref="W153" si="125">L152*W152</f>
        <v>-249999.99886519706</v>
      </c>
      <c r="X153">
        <f>SUM(M153:W153)</f>
        <v>-2749999.9920301489</v>
      </c>
      <c r="Y153">
        <f>X153/11/Y151</f>
        <v>-0.99999999420374475</v>
      </c>
    </row>
    <row r="158" spans="1:25">
      <c r="A158" t="s">
        <v>3</v>
      </c>
      <c r="M158">
        <v>2000</v>
      </c>
      <c r="X158" t="s">
        <v>185</v>
      </c>
      <c r="Y158" t="s">
        <v>186</v>
      </c>
    </row>
    <row r="159" spans="1:25" ht="16">
      <c r="A159" s="2" t="s">
        <v>175</v>
      </c>
      <c r="B159">
        <v>0.50863088200520212</v>
      </c>
      <c r="C159">
        <v>0.53429676368817425</v>
      </c>
      <c r="D159">
        <v>0.54641856067002126</v>
      </c>
      <c r="E159">
        <v>0.55536861847367403</v>
      </c>
      <c r="F159">
        <v>0.87664514019455575</v>
      </c>
      <c r="G159">
        <v>1.2157639806252751</v>
      </c>
      <c r="H159">
        <v>1.6465493348115299</v>
      </c>
      <c r="I159">
        <v>1.6708185053380782</v>
      </c>
      <c r="J159">
        <v>1.8261430678466077</v>
      </c>
      <c r="K159">
        <v>2.0561932874166393</v>
      </c>
      <c r="L159">
        <v>2.0658762886597937</v>
      </c>
      <c r="M159">
        <v>0.81750407217140708</v>
      </c>
      <c r="N159">
        <v>0.89714423112492137</v>
      </c>
      <c r="O159">
        <v>0.87038339480229865</v>
      </c>
      <c r="P159">
        <v>0.95080041414463201</v>
      </c>
      <c r="Q159">
        <v>1.1792821949570089</v>
      </c>
      <c r="R159">
        <v>1.3149166397130172</v>
      </c>
      <c r="S159">
        <v>1.4031473237395176</v>
      </c>
      <c r="T159">
        <v>1.4331626275253035</v>
      </c>
      <c r="U159">
        <v>1.4710853436839777</v>
      </c>
      <c r="V159">
        <v>1.4621748122346794</v>
      </c>
      <c r="W159">
        <v>1.4600855920114122</v>
      </c>
      <c r="X159">
        <f>AVERAGE(B159:W159)</f>
        <v>1.2164723216289874</v>
      </c>
      <c r="Y159">
        <f>(_xlfn.STDEV.P(B159:W159))^2</f>
        <v>0.22211620161890516</v>
      </c>
    </row>
    <row r="160" spans="1:25" ht="16">
      <c r="A160" s="2"/>
      <c r="B160">
        <f>B159-$X159</f>
        <v>-0.70784143962378532</v>
      </c>
      <c r="C160">
        <f>C159-$X159</f>
        <v>-0.68217555794081319</v>
      </c>
      <c r="D160">
        <f>D159-$X159</f>
        <v>-0.67005376095896618</v>
      </c>
      <c r="E160">
        <f>E159-$X159</f>
        <v>-0.66110370315531342</v>
      </c>
      <c r="F160">
        <f>F159-$X159</f>
        <v>-0.33982718143443169</v>
      </c>
      <c r="G160">
        <f>G159-$X159</f>
        <v>-7.0834100371230946E-4</v>
      </c>
      <c r="H160">
        <f>H159-$X159</f>
        <v>0.43007701318254243</v>
      </c>
      <c r="I160">
        <f>I159-$X159</f>
        <v>0.45434618370909075</v>
      </c>
      <c r="J160">
        <f>J159-$X159</f>
        <v>0.6096707462176203</v>
      </c>
      <c r="K160">
        <f>K159-$X159</f>
        <v>0.83972096578765187</v>
      </c>
      <c r="L160">
        <f>L159-$X159</f>
        <v>0.84940396703080623</v>
      </c>
      <c r="M160">
        <f>M159-$X159</f>
        <v>-0.39896824945758036</v>
      </c>
      <c r="N160">
        <f>N159-$X159</f>
        <v>-0.31932809050406608</v>
      </c>
      <c r="O160">
        <f>O159-$X159</f>
        <v>-0.34608892682668879</v>
      </c>
      <c r="P160">
        <f>P159-$X159</f>
        <v>-0.26567190748435543</v>
      </c>
      <c r="Q160">
        <f>Q159-$X159</f>
        <v>-3.7190126671978518E-2</v>
      </c>
      <c r="R160">
        <f>R159-$X159</f>
        <v>9.8444318084029758E-2</v>
      </c>
      <c r="S160">
        <f>S159-$X159</f>
        <v>0.18667500211053012</v>
      </c>
      <c r="T160">
        <f>T159-$X159</f>
        <v>0.2166903058963161</v>
      </c>
      <c r="U160">
        <f>U159-$X159</f>
        <v>0.25461302205499026</v>
      </c>
      <c r="V160">
        <f>V159-$X159</f>
        <v>0.24570249060569194</v>
      </c>
      <c r="W160">
        <f>W159-$X159</f>
        <v>0.24361327038242475</v>
      </c>
    </row>
    <row r="161" spans="1:25" ht="16">
      <c r="A161" s="2"/>
      <c r="M161">
        <f>B160*M160</f>
        <v>0.28240626006023517</v>
      </c>
      <c r="N161">
        <f t="shared" ref="N161:W161" si="126">C160*N160</f>
        <v>0.21783781830578577</v>
      </c>
      <c r="O161">
        <f t="shared" si="126"/>
        <v>0.23189818704647527</v>
      </c>
      <c r="P161">
        <f t="shared" si="126"/>
        <v>0.17563668186224321</v>
      </c>
      <c r="Q161">
        <f t="shared" si="126"/>
        <v>1.263821592412794E-2</v>
      </c>
      <c r="R161">
        <f t="shared" si="126"/>
        <v>-6.973214708141549E-5</v>
      </c>
      <c r="S161">
        <f t="shared" si="126"/>
        <v>8.0284627343541595E-2</v>
      </c>
      <c r="T161">
        <f t="shared" si="126"/>
        <v>9.8452413530746713E-2</v>
      </c>
      <c r="U161">
        <f t="shared" si="126"/>
        <v>0.15523011115298932</v>
      </c>
      <c r="V161">
        <f t="shared" si="126"/>
        <v>0.20632153270784309</v>
      </c>
      <c r="W161">
        <f t="shared" si="126"/>
        <v>0.20692607828418</v>
      </c>
      <c r="X161">
        <f>SUM(M161:W161)</f>
        <v>1.6675621940710867</v>
      </c>
      <c r="Y161">
        <f>X161/11/Y159</f>
        <v>0.68251015456077635</v>
      </c>
    </row>
    <row r="162" spans="1:25" ht="16">
      <c r="A162" s="2" t="s">
        <v>176</v>
      </c>
      <c r="B162">
        <v>0.50863088200520212</v>
      </c>
      <c r="C162">
        <v>0.53429676368817425</v>
      </c>
      <c r="D162">
        <v>0.54641856067002126</v>
      </c>
      <c r="E162">
        <v>0.55536861847367403</v>
      </c>
      <c r="F162">
        <v>0.87664514019455575</v>
      </c>
      <c r="G162">
        <v>1.2157639806252751</v>
      </c>
      <c r="H162">
        <v>1.6465493348115299</v>
      </c>
      <c r="I162">
        <v>1.6708185053380782</v>
      </c>
      <c r="J162">
        <v>1.8261430678466077</v>
      </c>
      <c r="K162">
        <v>2.0561932874166393</v>
      </c>
      <c r="L162">
        <v>2.0658762886597937</v>
      </c>
      <c r="M162">
        <v>0.96080059029699316</v>
      </c>
      <c r="N162">
        <v>0.99278834519142345</v>
      </c>
      <c r="O162">
        <v>1.0098159509202453</v>
      </c>
      <c r="P162">
        <v>1.0826624254025448</v>
      </c>
      <c r="Q162">
        <v>1.281962466094861</v>
      </c>
      <c r="R162">
        <v>1.3722989308547788</v>
      </c>
      <c r="S162">
        <v>1.4684562533408081</v>
      </c>
      <c r="T162">
        <v>1.5168613587457731</v>
      </c>
      <c r="U162">
        <v>1.5249801744647105</v>
      </c>
      <c r="V162">
        <v>1.5444938585345194</v>
      </c>
      <c r="W162">
        <v>1.5616996786724857</v>
      </c>
      <c r="X162">
        <f t="shared" ref="X162:X186" si="127">AVERAGE(B162:W162)</f>
        <v>1.2645238391931224</v>
      </c>
      <c r="Y162">
        <f>(_xlfn.STDEV.P(B162:W162))^2</f>
        <v>0.21759567382823122</v>
      </c>
    </row>
    <row r="163" spans="1:25" ht="16">
      <c r="A163" s="2"/>
      <c r="B163">
        <f>B162-$X162</f>
        <v>-0.75589295718792027</v>
      </c>
      <c r="C163">
        <f>C162-$X162</f>
        <v>-0.73022707550494814</v>
      </c>
      <c r="D163">
        <f>D162-$X162</f>
        <v>-0.71810527852310113</v>
      </c>
      <c r="E163">
        <f>E162-$X162</f>
        <v>-0.70915522071944836</v>
      </c>
      <c r="F163">
        <f>F162-$X162</f>
        <v>-0.38787869899856664</v>
      </c>
      <c r="G163">
        <f>G162-$X162</f>
        <v>-4.8759858567847258E-2</v>
      </c>
      <c r="H163">
        <f>H162-$X162</f>
        <v>0.38202549561840748</v>
      </c>
      <c r="I163">
        <f>I162-$X162</f>
        <v>0.4062946661449558</v>
      </c>
      <c r="J163">
        <f>J162-$X162</f>
        <v>0.56161922865348535</v>
      </c>
      <c r="K163">
        <f>K162-$X162</f>
        <v>0.79166944822351693</v>
      </c>
      <c r="L163">
        <f>L162-$X162</f>
        <v>0.80135244946667128</v>
      </c>
      <c r="M163">
        <f>M162-$X162</f>
        <v>-0.30372324889612923</v>
      </c>
      <c r="N163">
        <f>N162-$X162</f>
        <v>-0.27173549400169894</v>
      </c>
      <c r="O163">
        <f>O162-$X162</f>
        <v>-0.25470788827287705</v>
      </c>
      <c r="P163">
        <f>P162-$X162</f>
        <v>-0.18186141379057763</v>
      </c>
      <c r="Q163">
        <f>Q162-$X162</f>
        <v>1.7438626901738585E-2</v>
      </c>
      <c r="R163">
        <f>R162-$X162</f>
        <v>0.10777509166165644</v>
      </c>
      <c r="S163">
        <f>S162-$X162</f>
        <v>0.2039324141476857</v>
      </c>
      <c r="T163">
        <f>T162-$X162</f>
        <v>0.25233751955265071</v>
      </c>
      <c r="U163">
        <f>U162-$X162</f>
        <v>0.26045633527158807</v>
      </c>
      <c r="V163">
        <f>V162-$X162</f>
        <v>0.27997001934139698</v>
      </c>
      <c r="W163">
        <f>W162-$X162</f>
        <v>0.29717583947936332</v>
      </c>
    </row>
    <row r="164" spans="1:25" ht="16">
      <c r="A164" s="2"/>
      <c r="M164">
        <f>B163*M163</f>
        <v>0.22958226477481786</v>
      </c>
      <c r="N164">
        <f t="shared" ref="N164" si="128">C163*N163</f>
        <v>0.19842861509575299</v>
      </c>
      <c r="O164">
        <f t="shared" ref="O164" si="129">D163*O163</f>
        <v>0.1829070790502253</v>
      </c>
      <c r="P164">
        <f t="shared" ref="P164" si="130">E163*P163</f>
        <v>0.12896797103700802</v>
      </c>
      <c r="Q164">
        <f t="shared" ref="Q164" si="131">F163*Q163</f>
        <v>-6.7640719149677673E-3</v>
      </c>
      <c r="R164">
        <f t="shared" ref="R164" si="132">G163*R163</f>
        <v>-5.2550982265591427E-3</v>
      </c>
      <c r="S164">
        <f t="shared" ref="S164" si="133">H163*S163</f>
        <v>7.7907381587427965E-2</v>
      </c>
      <c r="T164">
        <f t="shared" ref="T164" si="134">I163*T163</f>
        <v>0.10252338826249048</v>
      </c>
      <c r="U164">
        <f t="shared" ref="U164" si="135">J163*U163</f>
        <v>0.14627728611314286</v>
      </c>
      <c r="V164">
        <f t="shared" ref="V164" si="136">K163*V163</f>
        <v>0.22164371073113112</v>
      </c>
      <c r="W164">
        <f t="shared" ref="W164" si="137">L163*W163</f>
        <v>0.23814258688910211</v>
      </c>
      <c r="X164">
        <f>SUM(M164:W164)</f>
        <v>1.5143611133995718</v>
      </c>
      <c r="Y164">
        <f>X164/11/Y162</f>
        <v>0.63268349827537962</v>
      </c>
    </row>
    <row r="165" spans="1:25" ht="16">
      <c r="A165" s="2" t="s">
        <v>177</v>
      </c>
      <c r="B165">
        <v>0.50863088200520212</v>
      </c>
      <c r="C165">
        <v>0.53429676368817425</v>
      </c>
      <c r="D165">
        <v>0.54641856067002126</v>
      </c>
      <c r="E165">
        <v>0.55536861847367403</v>
      </c>
      <c r="F165">
        <v>0.87664514019455575</v>
      </c>
      <c r="G165">
        <v>1.2157639806252751</v>
      </c>
      <c r="H165">
        <v>1.6465493348115299</v>
      </c>
      <c r="I165">
        <v>1.6708185053380782</v>
      </c>
      <c r="J165">
        <v>1.8261430678466077</v>
      </c>
      <c r="K165">
        <v>2.0561932874166393</v>
      </c>
      <c r="L165">
        <v>2.0658762886597937</v>
      </c>
      <c r="M165">
        <v>1.0414481993187645</v>
      </c>
      <c r="N165">
        <v>1.0520448258388231</v>
      </c>
      <c r="O165">
        <v>1.0739297633366651</v>
      </c>
      <c r="P165">
        <v>1.0958853379507763</v>
      </c>
      <c r="Q165">
        <v>1.3045549645837009</v>
      </c>
      <c r="R165">
        <v>1.3816139437496464</v>
      </c>
      <c r="S165">
        <v>1.4877908129246185</v>
      </c>
      <c r="T165">
        <v>1.5183810194371545</v>
      </c>
      <c r="U165">
        <v>1.5186422557797674</v>
      </c>
      <c r="V165">
        <v>1.5225167385123362</v>
      </c>
      <c r="W165">
        <v>1.5321123152027143</v>
      </c>
      <c r="X165">
        <f t="shared" si="127"/>
        <v>1.2741647548347508</v>
      </c>
      <c r="Y165">
        <f>(_xlfn.STDEV.P(B165:W165))^2</f>
        <v>0.21187842263462561</v>
      </c>
    </row>
    <row r="166" spans="1:25" ht="16">
      <c r="A166" s="2"/>
      <c r="B166">
        <f>B165-$X165</f>
        <v>-0.76553387282954866</v>
      </c>
      <c r="C166">
        <f>C165-$X165</f>
        <v>-0.73986799114657653</v>
      </c>
      <c r="D166">
        <f>D165-$X165</f>
        <v>-0.72774619416472952</v>
      </c>
      <c r="E166">
        <f>E165-$X165</f>
        <v>-0.71879613636107675</v>
      </c>
      <c r="F166">
        <f>F165-$X165</f>
        <v>-0.39751961464019503</v>
      </c>
      <c r="G166">
        <f>G165-$X165</f>
        <v>-5.8400774209475648E-2</v>
      </c>
      <c r="H166">
        <f>H165-$X165</f>
        <v>0.3723845799767791</v>
      </c>
      <c r="I166">
        <f>I165-$X165</f>
        <v>0.39665375050332741</v>
      </c>
      <c r="J166">
        <f>J165-$X165</f>
        <v>0.55197831301185696</v>
      </c>
      <c r="K166">
        <f>K165-$X165</f>
        <v>0.78202853258188854</v>
      </c>
      <c r="L166">
        <f>L165-$X165</f>
        <v>0.79171153382504289</v>
      </c>
      <c r="M166">
        <f>M165-$X165</f>
        <v>-0.23271655551598625</v>
      </c>
      <c r="N166">
        <f>N165-$X165</f>
        <v>-0.2221199289959277</v>
      </c>
      <c r="O166">
        <f>O165-$X165</f>
        <v>-0.20023499149808566</v>
      </c>
      <c r="P166">
        <f>P165-$X165</f>
        <v>-0.17827941688397453</v>
      </c>
      <c r="Q166">
        <f>Q165-$X165</f>
        <v>3.0390209748950126E-2</v>
      </c>
      <c r="R166">
        <f>R165-$X165</f>
        <v>0.10744918891489563</v>
      </c>
      <c r="S166">
        <f>S165-$X165</f>
        <v>0.21362605808986768</v>
      </c>
      <c r="T166">
        <f>T165-$X165</f>
        <v>0.24421626460240375</v>
      </c>
      <c r="U166">
        <f>U165-$X165</f>
        <v>0.24447750094501663</v>
      </c>
      <c r="V166">
        <f>V165-$X165</f>
        <v>0.24835198367758538</v>
      </c>
      <c r="W166">
        <f>W165-$X165</f>
        <v>0.25794756036796351</v>
      </c>
    </row>
    <row r="167" spans="1:25" ht="16">
      <c r="A167" s="2"/>
      <c r="M167">
        <f>B166*M166</f>
        <v>0.17815240601570562</v>
      </c>
      <c r="N167">
        <f t="shared" ref="N167" si="138">C166*N166</f>
        <v>0.16433942565983725</v>
      </c>
      <c r="O167">
        <f t="shared" ref="O167" si="139">D166*O166</f>
        <v>0.14572025300133881</v>
      </c>
      <c r="P167">
        <f t="shared" ref="P167" si="140">E166*P166</f>
        <v>0.1281465560489066</v>
      </c>
      <c r="Q167">
        <f t="shared" ref="Q167" si="141">F166*Q166</f>
        <v>-1.2080704468237353E-2</v>
      </c>
      <c r="R167">
        <f t="shared" ref="R167" si="142">G166*R166</f>
        <v>-6.2751158208101138E-3</v>
      </c>
      <c r="S167">
        <f t="shared" ref="S167" si="143">H166*S166</f>
        <v>7.9551049913890393E-2</v>
      </c>
      <c r="T167">
        <f t="shared" ref="T167" si="144">I166*T166</f>
        <v>9.6869297288456446E-2</v>
      </c>
      <c r="U167">
        <f t="shared" ref="U167" si="145">J166*U166</f>
        <v>0.13494627854098495</v>
      </c>
      <c r="V167">
        <f t="shared" ref="V167" si="146">K166*V166</f>
        <v>0.19421833735918323</v>
      </c>
      <c r="W167">
        <f t="shared" ref="W167" si="147">L166*W166</f>
        <v>0.20422005866534823</v>
      </c>
      <c r="X167">
        <f>SUM(M167:W167)</f>
        <v>1.307807842204604</v>
      </c>
      <c r="Y167">
        <f>X167/11/Y165</f>
        <v>0.56113133437671181</v>
      </c>
    </row>
    <row r="168" spans="1:25" ht="16">
      <c r="A168" s="2" t="s">
        <v>178</v>
      </c>
      <c r="B168">
        <v>0.50863088200520212</v>
      </c>
      <c r="C168">
        <v>0.53429676368817425</v>
      </c>
      <c r="D168">
        <v>0.54641856067002126</v>
      </c>
      <c r="E168">
        <v>0.55536861847367403</v>
      </c>
      <c r="F168">
        <v>0.87664514019455575</v>
      </c>
      <c r="G168">
        <v>1.2157639806252751</v>
      </c>
      <c r="H168">
        <v>1.6465493348115299</v>
      </c>
      <c r="I168">
        <v>1.6708185053380782</v>
      </c>
      <c r="J168">
        <v>1.8261430678466077</v>
      </c>
      <c r="K168">
        <v>2.0561932874166393</v>
      </c>
      <c r="L168">
        <v>2.0658762886597937</v>
      </c>
      <c r="M168">
        <v>0.59932073066273583</v>
      </c>
      <c r="N168">
        <v>0.65935719576945306</v>
      </c>
      <c r="O168">
        <v>0.67729228508890293</v>
      </c>
      <c r="P168">
        <v>0.6953915406604152</v>
      </c>
      <c r="Q168">
        <v>0.94164444720034723</v>
      </c>
      <c r="R168">
        <v>1.1091649308843021</v>
      </c>
      <c r="S168">
        <v>1.23236989980658</v>
      </c>
      <c r="T168">
        <v>1.2776478138456442</v>
      </c>
      <c r="U168">
        <v>1.2834835221421215</v>
      </c>
      <c r="V168">
        <v>1.2837293078308603</v>
      </c>
      <c r="W168">
        <v>1.3011474738900426</v>
      </c>
      <c r="X168">
        <f t="shared" si="127"/>
        <v>1.1165115262504981</v>
      </c>
      <c r="Y168">
        <f>(_xlfn.STDEV.P(B168:W168))^2</f>
        <v>0.24084182150522745</v>
      </c>
    </row>
    <row r="169" spans="1:25" ht="16">
      <c r="A169" s="2"/>
      <c r="B169">
        <f>B168-$X168</f>
        <v>-0.60788064424529598</v>
      </c>
      <c r="C169">
        <f>C168-$X168</f>
        <v>-0.58221476256232385</v>
      </c>
      <c r="D169">
        <f>D168-$X168</f>
        <v>-0.57009296558047684</v>
      </c>
      <c r="E169">
        <f>E168-$X168</f>
        <v>-0.56114290777682407</v>
      </c>
      <c r="F169">
        <f>F168-$X168</f>
        <v>-0.23986638605594235</v>
      </c>
      <c r="G169">
        <f>G168-$X168</f>
        <v>9.9252454374777033E-2</v>
      </c>
      <c r="H169">
        <f>H168-$X168</f>
        <v>0.53003780856103178</v>
      </c>
      <c r="I169">
        <f>I168-$X168</f>
        <v>0.55430697908758009</v>
      </c>
      <c r="J169">
        <f>J168-$X168</f>
        <v>0.70963154159610964</v>
      </c>
      <c r="K169">
        <f>K168-$X168</f>
        <v>0.93968176116614122</v>
      </c>
      <c r="L169">
        <f>L168-$X168</f>
        <v>0.94936476240929557</v>
      </c>
      <c r="M169">
        <f>M168-$X168</f>
        <v>-0.51719079558776226</v>
      </c>
      <c r="N169">
        <f>N168-$X168</f>
        <v>-0.45715433048104503</v>
      </c>
      <c r="O169">
        <f>O168-$X168</f>
        <v>-0.43921924116159516</v>
      </c>
      <c r="P169">
        <f>P168-$X168</f>
        <v>-0.4211199855900829</v>
      </c>
      <c r="Q169">
        <f>Q168-$X168</f>
        <v>-0.17486707905015086</v>
      </c>
      <c r="R169">
        <f>R168-$X168</f>
        <v>-7.3465953661959738E-3</v>
      </c>
      <c r="S169">
        <f>S168-$X168</f>
        <v>0.11585837355608186</v>
      </c>
      <c r="T169">
        <f>T168-$X168</f>
        <v>0.16113628759514609</v>
      </c>
      <c r="U169">
        <f>U168-$X168</f>
        <v>0.16697199589162337</v>
      </c>
      <c r="V169">
        <f>V168-$X168</f>
        <v>0.16721778158036216</v>
      </c>
      <c r="W169">
        <f>W168-$X168</f>
        <v>0.1846359476395445</v>
      </c>
    </row>
    <row r="170" spans="1:25" ht="16">
      <c r="A170" s="2"/>
      <c r="M170">
        <f>B169*M169</f>
        <v>0.3143902740196261</v>
      </c>
      <c r="N170">
        <f t="shared" ref="N170" si="148">C169*N169</f>
        <v>0.26616199997535978</v>
      </c>
      <c r="O170">
        <f t="shared" ref="O170" si="149">D169*O169</f>
        <v>0.25039579973382042</v>
      </c>
      <c r="P170">
        <f t="shared" ref="P170" si="150">E169*P169</f>
        <v>0.23630849323695338</v>
      </c>
      <c r="Q170">
        <f t="shared" ref="Q170" si="151">F169*Q169</f>
        <v>4.1944734291918473E-2</v>
      </c>
      <c r="R170">
        <f t="shared" ref="R170" si="152">G169*R169</f>
        <v>-7.2916762139331427E-4</v>
      </c>
      <c r="S170">
        <f t="shared" ref="S170" si="153">H169*S169</f>
        <v>6.1409318423111023E-2</v>
      </c>
      <c r="T170">
        <f t="shared" ref="T170" si="154">I169*T169</f>
        <v>8.9318968798252935E-2</v>
      </c>
      <c r="U170">
        <f t="shared" ref="U170" si="155">J169*U169</f>
        <v>0.11848859484795198</v>
      </c>
      <c r="V170">
        <f t="shared" ref="V170" si="156">K169*V169</f>
        <v>0.15713149949372984</v>
      </c>
      <c r="W170">
        <f t="shared" ref="W170" si="157">L169*W169</f>
        <v>0.1752868625630313</v>
      </c>
      <c r="X170">
        <f>SUM(M170:W170)</f>
        <v>1.7101073777623617</v>
      </c>
      <c r="Y170">
        <f>X170/11/Y168</f>
        <v>0.64550378376012774</v>
      </c>
    </row>
    <row r="171" spans="1:25" ht="16">
      <c r="A171" s="2" t="s">
        <v>179</v>
      </c>
      <c r="B171">
        <v>0.81750407217140697</v>
      </c>
      <c r="C171">
        <v>0.89714423112492137</v>
      </c>
      <c r="D171">
        <v>0.87038339480229865</v>
      </c>
      <c r="E171">
        <v>0.95080041414463201</v>
      </c>
      <c r="F171">
        <v>1.1792821949570089</v>
      </c>
      <c r="G171">
        <v>1.3149166397130172</v>
      </c>
      <c r="H171">
        <v>1.4031473237395176</v>
      </c>
      <c r="I171">
        <v>1.4331626275253035</v>
      </c>
      <c r="J171">
        <v>1.4710853436839777</v>
      </c>
      <c r="K171">
        <v>1.4621748122346794</v>
      </c>
      <c r="L171">
        <v>1.4600855920114122</v>
      </c>
      <c r="M171">
        <v>0.96080059029699316</v>
      </c>
      <c r="N171">
        <v>0.99278834519142345</v>
      </c>
      <c r="O171">
        <v>1.0098159509202453</v>
      </c>
      <c r="P171">
        <v>1.0826624254025448</v>
      </c>
      <c r="Q171">
        <v>1.281962466094861</v>
      </c>
      <c r="R171">
        <v>1.3722989308547788</v>
      </c>
      <c r="S171">
        <v>1.4684562533408081</v>
      </c>
      <c r="T171">
        <v>1.5168613587457731</v>
      </c>
      <c r="U171">
        <v>1.5249801744647105</v>
      </c>
      <c r="V171">
        <v>1.5444938585345194</v>
      </c>
      <c r="W171">
        <v>1.5616996786724857</v>
      </c>
      <c r="X171">
        <f t="shared" si="127"/>
        <v>1.2534775763012418</v>
      </c>
      <c r="Y171">
        <f>(_xlfn.STDEV.P(B171:W171))^2</f>
        <v>6.2685101305474916E-2</v>
      </c>
    </row>
    <row r="172" spans="1:25" ht="16">
      <c r="A172" s="2"/>
      <c r="B172">
        <f>B171-$X171</f>
        <v>-0.43597350412983482</v>
      </c>
      <c r="C172">
        <f>C171-$X171</f>
        <v>-0.35633334517632043</v>
      </c>
      <c r="D172">
        <f>D171-$X171</f>
        <v>-0.38309418149894314</v>
      </c>
      <c r="E172">
        <f>E171-$X171</f>
        <v>-0.30267716215660978</v>
      </c>
      <c r="F172">
        <f>F171-$X171</f>
        <v>-7.4195381344232869E-2</v>
      </c>
      <c r="G172">
        <f>G171-$X171</f>
        <v>6.1439063411775408E-2</v>
      </c>
      <c r="H172">
        <f>H171-$X171</f>
        <v>0.14966974743827577</v>
      </c>
      <c r="I172">
        <f>I171-$X171</f>
        <v>0.17968505122406175</v>
      </c>
      <c r="J172">
        <f>J171-$X171</f>
        <v>0.21760776738273591</v>
      </c>
      <c r="K172">
        <f>K171-$X171</f>
        <v>0.20869723593343759</v>
      </c>
      <c r="L172">
        <f>L171-$X171</f>
        <v>0.2066080157101704</v>
      </c>
      <c r="M172">
        <f>M171-$X171</f>
        <v>-0.29267698600424863</v>
      </c>
      <c r="N172">
        <f>N171-$X171</f>
        <v>-0.26068923110981834</v>
      </c>
      <c r="O172">
        <f>O171-$X171</f>
        <v>-0.24366162538099645</v>
      </c>
      <c r="P172">
        <f>P171-$X171</f>
        <v>-0.17081515089869703</v>
      </c>
      <c r="Q172">
        <f>Q171-$X171</f>
        <v>2.8484889793619184E-2</v>
      </c>
      <c r="R172">
        <f>R171-$X171</f>
        <v>0.11882135455353704</v>
      </c>
      <c r="S172">
        <f>S171-$X171</f>
        <v>0.2149786770395663</v>
      </c>
      <c r="T172">
        <f>T171-$X171</f>
        <v>0.26338378244453131</v>
      </c>
      <c r="U172">
        <f>U171-$X171</f>
        <v>0.27150259816346867</v>
      </c>
      <c r="V172">
        <f>V171-$X171</f>
        <v>0.29101628223327758</v>
      </c>
      <c r="W172">
        <f>W171-$X171</f>
        <v>0.30822210237124392</v>
      </c>
    </row>
    <row r="173" spans="1:25" ht="16">
      <c r="A173" s="2"/>
      <c r="M173">
        <f>B172*M172</f>
        <v>0.12759941116643089</v>
      </c>
      <c r="N173">
        <f t="shared" ref="N173" si="158">C172*N172</f>
        <v>9.2892265772804475E-2</v>
      </c>
      <c r="O173">
        <f t="shared" ref="O173" si="159">D172*O172</f>
        <v>9.3345350938034949E-2</v>
      </c>
      <c r="P173">
        <f t="shared" ref="P173" si="160">E172*P172</f>
        <v>5.1701845127370694E-2</v>
      </c>
      <c r="Q173">
        <f t="shared" ref="Q173" si="161">F172*Q172</f>
        <v>-2.1134472607860222E-3</v>
      </c>
      <c r="R173">
        <f t="shared" ref="R173" si="162">G172*R172</f>
        <v>7.3002727370878109E-3</v>
      </c>
      <c r="S173">
        <f t="shared" ref="S173" si="163">H172*S172</f>
        <v>3.2175804297126541E-2</v>
      </c>
      <c r="T173">
        <f t="shared" ref="T173" si="164">I172*T172</f>
        <v>4.7326128440132745E-2</v>
      </c>
      <c r="U173">
        <f t="shared" ref="U173" si="165">J172*U172</f>
        <v>5.908107422496451E-2</v>
      </c>
      <c r="V173">
        <f t="shared" ref="V173" si="166">K172*V172</f>
        <v>6.073429371371019E-2</v>
      </c>
      <c r="W173">
        <f t="shared" ref="W173" si="167">L172*W172</f>
        <v>6.3681156968939709E-2</v>
      </c>
      <c r="X173">
        <f>SUM(M173:W173)</f>
        <v>0.63372415612581645</v>
      </c>
      <c r="Y173">
        <f>X173/11/Y171</f>
        <v>0.91905868732315499</v>
      </c>
    </row>
    <row r="174" spans="1:25" ht="16">
      <c r="A174" s="2" t="s">
        <v>180</v>
      </c>
      <c r="B174">
        <v>0.81750407217140697</v>
      </c>
      <c r="C174">
        <v>0.89714423112492137</v>
      </c>
      <c r="D174">
        <v>0.87038339480229865</v>
      </c>
      <c r="E174">
        <v>0.95080041414463201</v>
      </c>
      <c r="F174">
        <v>1.1792821949570089</v>
      </c>
      <c r="G174">
        <v>1.3149166397130172</v>
      </c>
      <c r="H174">
        <v>1.4031473237395176</v>
      </c>
      <c r="I174">
        <v>1.4331626275253035</v>
      </c>
      <c r="J174">
        <v>1.4710853436839777</v>
      </c>
      <c r="K174">
        <v>1.4621748122346794</v>
      </c>
      <c r="L174">
        <v>1.4600855920114122</v>
      </c>
      <c r="M174">
        <v>1.0414481993187645</v>
      </c>
      <c r="N174">
        <v>1.0520448258388231</v>
      </c>
      <c r="O174">
        <v>1.0739297633366651</v>
      </c>
      <c r="P174">
        <v>1.0958853379507763</v>
      </c>
      <c r="Q174">
        <v>1.3045549645837009</v>
      </c>
      <c r="R174">
        <v>1.3816139437496464</v>
      </c>
      <c r="S174">
        <v>1.4877908129246185</v>
      </c>
      <c r="T174">
        <v>1.5183810194371545</v>
      </c>
      <c r="U174">
        <v>1.5186422557797674</v>
      </c>
      <c r="V174">
        <v>1.5225167385123362</v>
      </c>
      <c r="W174">
        <v>1.5321123152027143</v>
      </c>
      <c r="X174">
        <f t="shared" si="127"/>
        <v>1.26311849194287</v>
      </c>
      <c r="Y174">
        <f>(_xlfn.STDEV.P(B174:W174))^2</f>
        <v>5.7180842289261076E-2</v>
      </c>
    </row>
    <row r="175" spans="1:25" ht="16">
      <c r="A175" s="2"/>
      <c r="B175">
        <f>B174-$X174</f>
        <v>-0.44561441977146299</v>
      </c>
      <c r="C175">
        <f>C174-$X174</f>
        <v>-0.36597426081794859</v>
      </c>
      <c r="D175">
        <f>D174-$X174</f>
        <v>-0.39273509714057131</v>
      </c>
      <c r="E175">
        <f>E174-$X174</f>
        <v>-0.31231807779823795</v>
      </c>
      <c r="F175">
        <f>F174-$X174</f>
        <v>-8.3836296985861036E-2</v>
      </c>
      <c r="G175">
        <f>G174-$X174</f>
        <v>5.179814777014724E-2</v>
      </c>
      <c r="H175">
        <f>H174-$X174</f>
        <v>0.1400288317966476</v>
      </c>
      <c r="I175">
        <f>I174-$X174</f>
        <v>0.17004413558243359</v>
      </c>
      <c r="J175">
        <f>J174-$X174</f>
        <v>0.20796685174110774</v>
      </c>
      <c r="K175">
        <f>K174-$X174</f>
        <v>0.19905632029180942</v>
      </c>
      <c r="L175">
        <f>L174-$X174</f>
        <v>0.19696710006854223</v>
      </c>
      <c r="M175">
        <f>M174-$X174</f>
        <v>-0.22167029262410543</v>
      </c>
      <c r="N175">
        <f>N174-$X174</f>
        <v>-0.21107366610404688</v>
      </c>
      <c r="O175">
        <f>O174-$X174</f>
        <v>-0.18918872860620484</v>
      </c>
      <c r="P175">
        <f>P174-$X174</f>
        <v>-0.16723315399209371</v>
      </c>
      <c r="Q175">
        <f>Q174-$X174</f>
        <v>4.1436472640830946E-2</v>
      </c>
      <c r="R175">
        <f>R174-$X174</f>
        <v>0.11849545180677645</v>
      </c>
      <c r="S175">
        <f>S174-$X174</f>
        <v>0.2246723209817485</v>
      </c>
      <c r="T175">
        <f>T174-$X174</f>
        <v>0.25526252749428457</v>
      </c>
      <c r="U175">
        <f>U174-$X174</f>
        <v>0.25552376383689746</v>
      </c>
      <c r="V175">
        <f>V174-$X174</f>
        <v>0.2593982465694662</v>
      </c>
      <c r="W175">
        <f>W174-$X174</f>
        <v>0.26899382325984433</v>
      </c>
    </row>
    <row r="176" spans="1:25" ht="16">
      <c r="A176" s="2"/>
      <c r="M176">
        <f>B175*M175</f>
        <v>9.8779478828261144E-2</v>
      </c>
      <c r="N176">
        <f t="shared" ref="N176" si="168">C175*N175</f>
        <v>7.7247528930563053E-2</v>
      </c>
      <c r="O176">
        <f t="shared" ref="O176" si="169">D175*O175</f>
        <v>7.4301053707059042E-2</v>
      </c>
      <c r="P176">
        <f t="shared" ref="P176" si="170">E175*P175</f>
        <v>5.2229937198947432E-2</v>
      </c>
      <c r="Q176">
        <f t="shared" ref="Q176" si="171">F175*Q175</f>
        <v>-3.4738804263632086E-3</v>
      </c>
      <c r="R176">
        <f t="shared" ref="R176" si="172">G175*R175</f>
        <v>6.1378449227777673E-3</v>
      </c>
      <c r="S176">
        <f t="shared" ref="S176" si="173">H175*S175</f>
        <v>3.1460602644115682E-2</v>
      </c>
      <c r="T176">
        <f t="shared" ref="T176" si="174">I175*T175</f>
        <v>4.3405895834352809E-2</v>
      </c>
      <c r="U176">
        <f t="shared" ref="U176" si="175">J175*U175</f>
        <v>5.3140472710197881E-2</v>
      </c>
      <c r="V176">
        <f t="shared" ref="V176" si="176">K175*V175</f>
        <v>5.1634860452265417E-2</v>
      </c>
      <c r="W176">
        <f t="shared" ref="W176" si="177">L175*W175</f>
        <v>5.2982933303841524E-2</v>
      </c>
      <c r="X176">
        <f>SUM(M176:W176)</f>
        <v>0.53784672810601852</v>
      </c>
      <c r="Y176">
        <f>X176/11/Y174</f>
        <v>0.85509683213830445</v>
      </c>
    </row>
    <row r="177" spans="1:25" ht="16">
      <c r="A177" s="2" t="s">
        <v>181</v>
      </c>
      <c r="B177">
        <v>0.81750407217140697</v>
      </c>
      <c r="C177">
        <v>0.89714423112492137</v>
      </c>
      <c r="D177">
        <v>0.87038339480229865</v>
      </c>
      <c r="E177">
        <v>0.95080041414463201</v>
      </c>
      <c r="F177">
        <v>1.1792821949570089</v>
      </c>
      <c r="G177">
        <v>1.3149166397130172</v>
      </c>
      <c r="H177">
        <v>1.4031473237395176</v>
      </c>
      <c r="I177">
        <v>1.4331626275253035</v>
      </c>
      <c r="J177">
        <v>1.4710853436839777</v>
      </c>
      <c r="K177">
        <v>1.4621748122346794</v>
      </c>
      <c r="L177">
        <v>1.4600855920114122</v>
      </c>
      <c r="M177">
        <v>0.59932073066273583</v>
      </c>
      <c r="N177">
        <v>0.65935719576945306</v>
      </c>
      <c r="O177">
        <v>0.67729228508890293</v>
      </c>
      <c r="P177">
        <v>0.6953915406604152</v>
      </c>
      <c r="Q177">
        <v>0.94164444720034723</v>
      </c>
      <c r="R177">
        <v>1.1091649308843021</v>
      </c>
      <c r="S177">
        <v>1.23236989980658</v>
      </c>
      <c r="T177">
        <v>1.2776478138456442</v>
      </c>
      <c r="U177">
        <v>1.2834835221421215</v>
      </c>
      <c r="V177">
        <v>1.2837293078308603</v>
      </c>
      <c r="W177">
        <v>1.3011474738900426</v>
      </c>
      <c r="X177">
        <f t="shared" si="127"/>
        <v>1.1054652633586173</v>
      </c>
      <c r="Y177">
        <f>(_xlfn.STDEV.P(B177:W177))^2</f>
        <v>8.266128314247205E-2</v>
      </c>
    </row>
    <row r="178" spans="1:25" ht="16">
      <c r="A178" s="2"/>
      <c r="B178">
        <f>B177-$X177</f>
        <v>-0.28796119118721031</v>
      </c>
      <c r="C178">
        <f>C177-$X177</f>
        <v>-0.20832103223369591</v>
      </c>
      <c r="D178">
        <f>D177-$X177</f>
        <v>-0.23508186855631863</v>
      </c>
      <c r="E178">
        <f>E177-$X177</f>
        <v>-0.15466484921398527</v>
      </c>
      <c r="F178">
        <f>F177-$X177</f>
        <v>7.3816931598391644E-2</v>
      </c>
      <c r="G178">
        <f>G177-$X177</f>
        <v>0.20945137635439992</v>
      </c>
      <c r="H178">
        <f>H177-$X177</f>
        <v>0.29768206038090028</v>
      </c>
      <c r="I178">
        <f>I177-$X177</f>
        <v>0.32769736416668627</v>
      </c>
      <c r="J178">
        <f>J177-$X177</f>
        <v>0.36562008032536042</v>
      </c>
      <c r="K178">
        <f>K177-$X177</f>
        <v>0.3567095488760621</v>
      </c>
      <c r="L178">
        <f>L177-$X177</f>
        <v>0.35462032865279491</v>
      </c>
      <c r="M178">
        <f>M177-$X177</f>
        <v>-0.50614453269588144</v>
      </c>
      <c r="N178">
        <f>N177-$X177</f>
        <v>-0.44610806758916421</v>
      </c>
      <c r="O178">
        <f>O177-$X177</f>
        <v>-0.42817297826971434</v>
      </c>
      <c r="P178">
        <f>P177-$X177</f>
        <v>-0.41007372269820208</v>
      </c>
      <c r="Q178">
        <f>Q177-$X177</f>
        <v>-0.16382081615827004</v>
      </c>
      <c r="R178">
        <f>R177-$X177</f>
        <v>3.6996675256848466E-3</v>
      </c>
      <c r="S178">
        <f>S177-$X177</f>
        <v>0.12690463644796268</v>
      </c>
      <c r="T178">
        <f>T177-$X177</f>
        <v>0.17218255048702691</v>
      </c>
      <c r="U178">
        <f>U177-$X177</f>
        <v>0.17801825878350419</v>
      </c>
      <c r="V178">
        <f>V177-$X177</f>
        <v>0.17826404447224298</v>
      </c>
      <c r="W178">
        <f>W177-$X177</f>
        <v>0.19568221053142532</v>
      </c>
    </row>
    <row r="179" spans="1:25" ht="16">
      <c r="A179" s="2"/>
      <c r="M179">
        <f>B178*M178</f>
        <v>0.14574998254799992</v>
      </c>
      <c r="N179">
        <f t="shared" ref="N179" si="178">C178*N178</f>
        <v>9.2933693127954076E-2</v>
      </c>
      <c r="O179">
        <f t="shared" ref="O179" si="179">D178*O178</f>
        <v>0.10065570379696846</v>
      </c>
      <c r="P179">
        <f t="shared" ref="P179" si="180">E178*P178</f>
        <v>6.3423990487735032E-2</v>
      </c>
      <c r="Q179">
        <f t="shared" ref="Q179" si="181">F178*Q178</f>
        <v>-1.2092749980747712E-2</v>
      </c>
      <c r="R179">
        <f t="shared" ref="R179" si="182">G178*R178</f>
        <v>7.7490045530836829E-4</v>
      </c>
      <c r="S179">
        <f t="shared" ref="S179" si="183">H178*S178</f>
        <v>3.7777233649718626E-2</v>
      </c>
      <c r="T179">
        <f t="shared" ref="T179" si="184">I178*T178</f>
        <v>5.6423767950096099E-2</v>
      </c>
      <c r="U179">
        <f t="shared" ref="U179" si="185">J178*U178</f>
        <v>6.5087050075805605E-2</v>
      </c>
      <c r="V179">
        <f t="shared" ref="V179" si="186">K178*V178</f>
        <v>6.3588486884516057E-2</v>
      </c>
      <c r="W179">
        <f t="shared" ref="W179" si="187">L178*W178</f>
        <v>6.9392889810159453E-2</v>
      </c>
      <c r="X179">
        <f>SUM(M179:W179)</f>
        <v>0.68371494880551398</v>
      </c>
      <c r="Y179">
        <f>X179/11/Y177</f>
        <v>0.75193490923356709</v>
      </c>
    </row>
    <row r="180" spans="1:25" ht="16">
      <c r="A180" s="2" t="s">
        <v>182</v>
      </c>
      <c r="B180">
        <v>0.96080059029699316</v>
      </c>
      <c r="C180">
        <v>0.99278834519142345</v>
      </c>
      <c r="D180">
        <v>1.0098159509202453</v>
      </c>
      <c r="E180">
        <v>1.0826624254025448</v>
      </c>
      <c r="F180">
        <v>1.281962466094861</v>
      </c>
      <c r="G180">
        <v>1.3722989308547788</v>
      </c>
      <c r="H180">
        <v>1.4684562533408081</v>
      </c>
      <c r="I180">
        <v>1.5168613587457731</v>
      </c>
      <c r="J180">
        <v>1.5249801744647105</v>
      </c>
      <c r="K180">
        <v>1.5444938585345194</v>
      </c>
      <c r="L180">
        <v>1.5616996786724857</v>
      </c>
      <c r="M180">
        <v>1.0414481993187645</v>
      </c>
      <c r="N180">
        <v>1.0520448258388231</v>
      </c>
      <c r="O180">
        <v>1.0739297633366651</v>
      </c>
      <c r="P180">
        <v>1.0958853379507763</v>
      </c>
      <c r="Q180">
        <v>1.3045549645837009</v>
      </c>
      <c r="R180">
        <v>1.3816139437496464</v>
      </c>
      <c r="S180">
        <v>1.4877908129246185</v>
      </c>
      <c r="T180">
        <v>1.5183810194371545</v>
      </c>
      <c r="U180">
        <v>1.5186422557797674</v>
      </c>
      <c r="V180">
        <v>1.5225167385123362</v>
      </c>
      <c r="W180">
        <v>1.5321123152027143</v>
      </c>
      <c r="X180">
        <f t="shared" si="127"/>
        <v>1.3111700095070049</v>
      </c>
      <c r="Y180">
        <f>(_xlfn.STDEV.P(B180:W180))^2</f>
        <v>4.817747595431348E-2</v>
      </c>
    </row>
    <row r="181" spans="1:25" ht="16">
      <c r="A181" s="2"/>
      <c r="B181">
        <f>B180-$X180</f>
        <v>-0.35036941921001175</v>
      </c>
      <c r="C181">
        <f>C180-$X180</f>
        <v>-0.31838166431558146</v>
      </c>
      <c r="D181">
        <f>D180-$X180</f>
        <v>-0.30135405858675957</v>
      </c>
      <c r="E181">
        <f>E180-$X180</f>
        <v>-0.22850758410446015</v>
      </c>
      <c r="F181">
        <f>F180-$X180</f>
        <v>-2.9207543412143933E-2</v>
      </c>
      <c r="G181">
        <f>G180-$X180</f>
        <v>6.1128921347773924E-2</v>
      </c>
      <c r="H181">
        <f>H180-$X180</f>
        <v>0.15728624383380319</v>
      </c>
      <c r="I181">
        <f>I180-$X180</f>
        <v>0.2056913492387682</v>
      </c>
      <c r="J181">
        <f>J180-$X180</f>
        <v>0.21381016495770555</v>
      </c>
      <c r="K181">
        <f>K180-$X180</f>
        <v>0.23332384902751446</v>
      </c>
      <c r="L181">
        <f>L180-$X180</f>
        <v>0.25052966916548081</v>
      </c>
      <c r="M181">
        <f>M180-$X180</f>
        <v>-0.26972181018824037</v>
      </c>
      <c r="N181">
        <f>N180-$X180</f>
        <v>-0.25912518366818182</v>
      </c>
      <c r="O181">
        <f>O180-$X180</f>
        <v>-0.23724024617033979</v>
      </c>
      <c r="P181">
        <f>P180-$X180</f>
        <v>-0.21528467155622866</v>
      </c>
      <c r="Q181">
        <f>Q180-$X180</f>
        <v>-6.6150449233040032E-3</v>
      </c>
      <c r="R181">
        <f>R180-$X180</f>
        <v>7.0443934242641504E-2</v>
      </c>
      <c r="S181">
        <f>S180-$X180</f>
        <v>0.17662080341761355</v>
      </c>
      <c r="T181">
        <f>T180-$X180</f>
        <v>0.20721100993014963</v>
      </c>
      <c r="U181">
        <f>U180-$X180</f>
        <v>0.20747224627276251</v>
      </c>
      <c r="V181">
        <f>V180-$X180</f>
        <v>0.21134672900533125</v>
      </c>
      <c r="W181">
        <f>W180-$X180</f>
        <v>0.22094230569570938</v>
      </c>
    </row>
    <row r="182" spans="1:25" ht="16">
      <c r="A182" s="2"/>
      <c r="M182">
        <f>B181*M181</f>
        <v>9.4502273983926813E-2</v>
      </c>
      <c r="N182">
        <f t="shared" ref="N182" si="188">C181*N181</f>
        <v>8.2500707242356461E-2</v>
      </c>
      <c r="O182">
        <f t="shared" ref="O182" si="189">D181*O181</f>
        <v>7.1493311043553831E-2</v>
      </c>
      <c r="P182">
        <f t="shared" ref="P182" si="190">E181*P181</f>
        <v>4.9194180192036002E-2</v>
      </c>
      <c r="Q182">
        <f t="shared" ref="Q182" si="191">F181*Q181</f>
        <v>1.9320921177068401E-4</v>
      </c>
      <c r="R182">
        <f t="shared" ref="R182" si="192">G181*R181</f>
        <v>4.3061617157461908E-3</v>
      </c>
      <c r="S182">
        <f t="shared" ref="S182" si="193">H181*S181</f>
        <v>2.7780022752464984E-2</v>
      </c>
      <c r="T182">
        <f t="shared" ref="T182" si="194">I181*T181</f>
        <v>4.2621512209660269E-2</v>
      </c>
      <c r="U182">
        <f t="shared" ref="U182" si="195">J181*U181</f>
        <v>4.4359675199725064E-2</v>
      </c>
      <c r="V182">
        <f t="shared" ref="V182" si="196">K181*V181</f>
        <v>4.9312232290898921E-2</v>
      </c>
      <c r="W182">
        <f t="shared" ref="W182" si="197">L181*W181</f>
        <v>5.53526027506046E-2</v>
      </c>
      <c r="X182">
        <f>SUM(M182:W182)</f>
        <v>0.52161588859274377</v>
      </c>
      <c r="Y182">
        <f>X182/11/Y180</f>
        <v>0.9842696259279301</v>
      </c>
    </row>
    <row r="183" spans="1:25" ht="16">
      <c r="A183" s="2" t="s">
        <v>183</v>
      </c>
      <c r="B183">
        <v>0.96080059029699316</v>
      </c>
      <c r="C183">
        <v>0.99278834519142345</v>
      </c>
      <c r="D183">
        <v>1.0098159509202453</v>
      </c>
      <c r="E183">
        <v>1.0826624254025448</v>
      </c>
      <c r="F183">
        <v>1.281962466094861</v>
      </c>
      <c r="G183">
        <v>1.3722989308547788</v>
      </c>
      <c r="H183">
        <v>1.4684562533408081</v>
      </c>
      <c r="I183">
        <v>1.5168613587457731</v>
      </c>
      <c r="J183">
        <v>1.5249801744647105</v>
      </c>
      <c r="K183">
        <v>1.5444938585345194</v>
      </c>
      <c r="L183">
        <v>1.5616996786724857</v>
      </c>
      <c r="M183">
        <v>0.59932073066273583</v>
      </c>
      <c r="N183">
        <v>0.65935719576945306</v>
      </c>
      <c r="O183">
        <v>0.67729228508890293</v>
      </c>
      <c r="P183">
        <v>0.6953915406604152</v>
      </c>
      <c r="Q183">
        <v>0.94164444720034723</v>
      </c>
      <c r="R183">
        <v>1.1091649308843021</v>
      </c>
      <c r="S183">
        <v>1.23236989980658</v>
      </c>
      <c r="T183">
        <v>1.2776478138456442</v>
      </c>
      <c r="U183">
        <v>1.2834835221421215</v>
      </c>
      <c r="V183">
        <v>1.2837293078308603</v>
      </c>
      <c r="W183">
        <v>1.3011474738900426</v>
      </c>
      <c r="X183">
        <f t="shared" si="127"/>
        <v>1.1535167809227522</v>
      </c>
      <c r="Y183">
        <f>(_xlfn.STDEV.P(B183:W183))^2</f>
        <v>8.8808870572242501E-2</v>
      </c>
    </row>
    <row r="184" spans="1:25" ht="16">
      <c r="A184" s="2"/>
      <c r="B184">
        <f>B183-$X183</f>
        <v>-0.19271619062575907</v>
      </c>
      <c r="C184">
        <f>C183-$X183</f>
        <v>-0.16072843573132878</v>
      </c>
      <c r="D184">
        <f>D183-$X183</f>
        <v>-0.14370083000250689</v>
      </c>
      <c r="E184">
        <f>E183-$X183</f>
        <v>-7.0854355520207468E-2</v>
      </c>
      <c r="F184">
        <f>F183-$X183</f>
        <v>0.12844568517210875</v>
      </c>
      <c r="G184">
        <f>G183-$X183</f>
        <v>0.2187821499320266</v>
      </c>
      <c r="H184">
        <f>H183-$X183</f>
        <v>0.31493947241805587</v>
      </c>
      <c r="I184">
        <f>I183-$X183</f>
        <v>0.36334457782302088</v>
      </c>
      <c r="J184">
        <f>J183-$X183</f>
        <v>0.37146339354195823</v>
      </c>
      <c r="K184">
        <f>K183-$X183</f>
        <v>0.39097707761176714</v>
      </c>
      <c r="L184">
        <f>L183-$X183</f>
        <v>0.40818289774973349</v>
      </c>
      <c r="M184">
        <f>M183-$X183</f>
        <v>-0.55419605026001639</v>
      </c>
      <c r="N184">
        <f>N183-$X183</f>
        <v>-0.49415958515329916</v>
      </c>
      <c r="O184">
        <f>O183-$X183</f>
        <v>-0.47622449583384929</v>
      </c>
      <c r="P184">
        <f>P183-$X183</f>
        <v>-0.45812524026233703</v>
      </c>
      <c r="Q184">
        <f>Q183-$X183</f>
        <v>-0.21187233372240499</v>
      </c>
      <c r="R184">
        <f>R183-$X183</f>
        <v>-4.4351850038450102E-2</v>
      </c>
      <c r="S184">
        <f>S183-$X183</f>
        <v>7.8853118883827733E-2</v>
      </c>
      <c r="T184">
        <f>T183-$X183</f>
        <v>0.12413103292289196</v>
      </c>
      <c r="U184">
        <f>U183-$X183</f>
        <v>0.12996674121936924</v>
      </c>
      <c r="V184">
        <f>V183-$X183</f>
        <v>0.13021252690810803</v>
      </c>
      <c r="W184">
        <f>W183-$X183</f>
        <v>0.14763069296729037</v>
      </c>
    </row>
    <row r="185" spans="1:25" ht="16">
      <c r="A185" s="2"/>
      <c r="M185">
        <f>B184*M184</f>
        <v>0.10680255166595207</v>
      </c>
      <c r="N185">
        <f t="shared" ref="N185" si="198">C184*N184</f>
        <v>7.9425497123332134E-2</v>
      </c>
      <c r="O185">
        <f t="shared" ref="O185" si="199">D184*O184</f>
        <v>6.8433855318849532E-2</v>
      </c>
      <c r="P185">
        <f t="shared" ref="P185" si="200">E184*P184</f>
        <v>3.2460168646328093E-2</v>
      </c>
      <c r="Q185">
        <f t="shared" ref="Q185" si="201">F184*Q184</f>
        <v>-2.7214087073987991E-2</v>
      </c>
      <c r="R185">
        <f t="shared" ref="R185" si="202">G184*R184</f>
        <v>-9.7033931048749501E-3</v>
      </c>
      <c r="S185">
        <f t="shared" ref="S185" si="203">H184*S184</f>
        <v>2.4833959659790943E-2</v>
      </c>
      <c r="T185">
        <f t="shared" ref="T185" si="204">I184*T184</f>
        <v>4.5102337752103684E-2</v>
      </c>
      <c r="U185">
        <f t="shared" ref="U185" si="205">J184*U184</f>
        <v>4.8277886740936402E-2</v>
      </c>
      <c r="V185">
        <f t="shared" ref="V185" si="206">K184*V184</f>
        <v>5.0910113238975672E-2</v>
      </c>
      <c r="W185">
        <f t="shared" ref="W185" si="207">L184*W184</f>
        <v>6.0260324052189784E-2</v>
      </c>
      <c r="X185">
        <f>SUM(M185:W185)</f>
        <v>0.47958921401959542</v>
      </c>
      <c r="Y185">
        <f>X185/11/Y183</f>
        <v>0.49093090786309207</v>
      </c>
    </row>
    <row r="186" spans="1:25" ht="16">
      <c r="A186" s="2" t="s">
        <v>184</v>
      </c>
      <c r="B186">
        <v>1.0414481993187645</v>
      </c>
      <c r="C186">
        <v>1.0520448258388231</v>
      </c>
      <c r="D186">
        <v>1.0739297633366651</v>
      </c>
      <c r="E186">
        <v>1.0958853379507763</v>
      </c>
      <c r="F186">
        <v>1.3045549645837009</v>
      </c>
      <c r="G186">
        <v>1.3816139437496464</v>
      </c>
      <c r="H186">
        <v>1.4877908129246185</v>
      </c>
      <c r="I186">
        <v>1.5183810194371545</v>
      </c>
      <c r="J186">
        <v>1.5186422557797674</v>
      </c>
      <c r="K186">
        <v>1.5225167385123362</v>
      </c>
      <c r="L186">
        <v>1.5321123152027143</v>
      </c>
      <c r="M186">
        <v>0.59932073066273583</v>
      </c>
      <c r="N186">
        <v>0.65935719576945306</v>
      </c>
      <c r="O186">
        <v>0.67729228508890293</v>
      </c>
      <c r="P186">
        <v>0.6953915406604152</v>
      </c>
      <c r="Q186">
        <v>0.94164444720034723</v>
      </c>
      <c r="R186">
        <v>1.1091649308843021</v>
      </c>
      <c r="S186">
        <v>1.23236989980658</v>
      </c>
      <c r="T186">
        <v>1.2776478138456442</v>
      </c>
      <c r="U186">
        <v>1.2834835221421215</v>
      </c>
      <c r="V186">
        <v>1.2837293078308603</v>
      </c>
      <c r="W186">
        <v>1.3011474738900426</v>
      </c>
      <c r="X186">
        <f t="shared" si="127"/>
        <v>1.1631576965643804</v>
      </c>
      <c r="Y186">
        <f>(_xlfn.STDEV.P(B186:W186))^2</f>
        <v>8.5232038747456509E-2</v>
      </c>
    </row>
    <row r="187" spans="1:25">
      <c r="B187">
        <f>B186-$X186</f>
        <v>-0.12170949724561586</v>
      </c>
      <c r="C187">
        <f>C186-$X186</f>
        <v>-0.11111287072555731</v>
      </c>
      <c r="D187">
        <f>D186-$X186</f>
        <v>-8.9227933227715273E-2</v>
      </c>
      <c r="E187">
        <f>E186-$X186</f>
        <v>-6.7272358613604144E-2</v>
      </c>
      <c r="F187">
        <f>F186-$X186</f>
        <v>0.14139726801932051</v>
      </c>
      <c r="G187">
        <f>G186-$X186</f>
        <v>0.21845624718526602</v>
      </c>
      <c r="H187">
        <f>H186-$X186</f>
        <v>0.32463311636023806</v>
      </c>
      <c r="I187">
        <f>I186-$X186</f>
        <v>0.35522332287277414</v>
      </c>
      <c r="J187">
        <f>J186-$X186</f>
        <v>0.35548455921538702</v>
      </c>
      <c r="K187">
        <f>K186-$X186</f>
        <v>0.35935904194795576</v>
      </c>
      <c r="L187">
        <f>L186-$X186</f>
        <v>0.3689546186383339</v>
      </c>
      <c r="M187">
        <f>M186-$X186</f>
        <v>-0.56383696590164456</v>
      </c>
      <c r="N187">
        <f>N186-$X186</f>
        <v>-0.50380050079492733</v>
      </c>
      <c r="O187">
        <f>O186-$X186</f>
        <v>-0.48586541147547746</v>
      </c>
      <c r="P187">
        <f>P186-$X186</f>
        <v>-0.4677661559039652</v>
      </c>
      <c r="Q187">
        <f>Q186-$X186</f>
        <v>-0.22151324936403316</v>
      </c>
      <c r="R187">
        <f>R186-$X186</f>
        <v>-5.399276568007827E-2</v>
      </c>
      <c r="S187">
        <f>S186-$X186</f>
        <v>6.9212203242199566E-2</v>
      </c>
      <c r="T187">
        <f>T186-$X186</f>
        <v>0.11449011728126379</v>
      </c>
      <c r="U187">
        <f>U186-$X186</f>
        <v>0.12032582557774107</v>
      </c>
      <c r="V187">
        <f>V186-$X186</f>
        <v>0.12057161126647986</v>
      </c>
      <c r="W187">
        <f>W186-$X186</f>
        <v>0.1379897773256622</v>
      </c>
    </row>
    <row r="188" spans="1:25">
      <c r="M188">
        <f>B187*M187</f>
        <v>6.8624313648382618E-2</v>
      </c>
      <c r="N188">
        <f t="shared" ref="N188" si="208">C187*N187</f>
        <v>5.5978719916297791E-2</v>
      </c>
      <c r="O188">
        <f t="shared" ref="O188" si="209">D187*O187</f>
        <v>4.3352766492790309E-2</v>
      </c>
      <c r="P188">
        <f t="shared" ref="P188" si="210">E187*P187</f>
        <v>3.1467732587278613E-2</v>
      </c>
      <c r="Q188">
        <f t="shared" ref="Q188" si="211">F187*Q187</f>
        <v>-3.1321368290156776E-2</v>
      </c>
      <c r="R188">
        <f t="shared" ref="R188" si="212">G187*R187</f>
        <v>-1.1795056965623326E-2</v>
      </c>
      <c r="S188">
        <f t="shared" ref="S188" si="213">H187*S187</f>
        <v>2.2468573228673419E-2</v>
      </c>
      <c r="T188">
        <f t="shared" ref="T188" si="214">I187*T187</f>
        <v>4.0669559896744145E-2</v>
      </c>
      <c r="U188">
        <f t="shared" ref="U188" si="215">J187*U187</f>
        <v>4.2773973067730828E-2</v>
      </c>
      <c r="V188">
        <f t="shared" ref="V188" si="216">K187*V187</f>
        <v>4.3328498710843551E-2</v>
      </c>
      <c r="W188">
        <f t="shared" ref="W188" si="217">L187*W187</f>
        <v>5.0911965669178313E-2</v>
      </c>
      <c r="X188">
        <f>SUM(M188:W188)</f>
        <v>0.35645967796213951</v>
      </c>
      <c r="Y188">
        <f>X188/11/Y186</f>
        <v>0.38020239507942605</v>
      </c>
    </row>
    <row r="189" spans="1:25" ht="16">
      <c r="A189" s="2" t="s">
        <v>187</v>
      </c>
      <c r="B189">
        <v>0.50863088200520212</v>
      </c>
      <c r="C189">
        <v>0.53429676368817425</v>
      </c>
      <c r="D189">
        <v>0.54641856067002126</v>
      </c>
      <c r="E189">
        <v>0.55536861847367403</v>
      </c>
      <c r="F189">
        <v>0.87664514019455575</v>
      </c>
      <c r="G189">
        <v>1.2157639806252751</v>
      </c>
      <c r="H189">
        <v>1.6465493348115299</v>
      </c>
      <c r="I189">
        <v>1.6708185053380782</v>
      </c>
      <c r="J189">
        <v>1.8261430678466077</v>
      </c>
      <c r="K189">
        <v>2.0561932874166393</v>
      </c>
      <c r="L189">
        <v>2.0658762886597937</v>
      </c>
      <c r="M189">
        <v>0.50863088200520212</v>
      </c>
      <c r="N189">
        <v>0.53429676368817425</v>
      </c>
      <c r="O189">
        <v>0.54641856067002126</v>
      </c>
      <c r="P189">
        <v>0.55536861847367403</v>
      </c>
      <c r="Q189">
        <v>0.87664514019455575</v>
      </c>
      <c r="R189">
        <v>1.2157639806252751</v>
      </c>
      <c r="S189">
        <v>1.6465493348115299</v>
      </c>
      <c r="T189">
        <v>1.6708185053380782</v>
      </c>
      <c r="U189">
        <v>1.8261430678466077</v>
      </c>
      <c r="V189">
        <v>2.0561932874166393</v>
      </c>
      <c r="W189">
        <v>2.0658762886597937</v>
      </c>
      <c r="X189">
        <f>AVERAGE(B189:W189)</f>
        <v>1.2275185845208685</v>
      </c>
      <c r="Y189">
        <f>(_xlfn.STDEV.P(B189:W189))^2</f>
        <v>0.37784431368464177</v>
      </c>
    </row>
    <row r="190" spans="1:25">
      <c r="B190">
        <f>B189-$X189</f>
        <v>-0.71888770251566636</v>
      </c>
      <c r="C190">
        <f>C189-$X189</f>
        <v>-0.69322182083269424</v>
      </c>
      <c r="D190">
        <f>D189-$X189</f>
        <v>-0.68110002385084722</v>
      </c>
      <c r="E190">
        <f>E189-$X189</f>
        <v>-0.67214996604719446</v>
      </c>
      <c r="F190">
        <f>F189-$X189</f>
        <v>-0.35087344432631273</v>
      </c>
      <c r="G190">
        <f>G189-$X189</f>
        <v>-1.1754603895593352E-2</v>
      </c>
      <c r="H190">
        <f>H189-$X189</f>
        <v>0.41903075029066139</v>
      </c>
      <c r="I190">
        <f>I189-$X189</f>
        <v>0.4432999208172097</v>
      </c>
      <c r="J190">
        <f>J189-$X189</f>
        <v>0.59862448332573925</v>
      </c>
      <c r="K190">
        <f>K189-$X189</f>
        <v>0.82867470289577083</v>
      </c>
      <c r="L190">
        <f>L189-$X189</f>
        <v>0.83835770413892519</v>
      </c>
      <c r="M190">
        <f>M189-$X189</f>
        <v>-0.71888770251566636</v>
      </c>
      <c r="N190">
        <f>N189-$X189</f>
        <v>-0.69322182083269424</v>
      </c>
      <c r="O190">
        <f>O189-$X189</f>
        <v>-0.68110002385084722</v>
      </c>
      <c r="P190">
        <f>P189-$X189</f>
        <v>-0.67214996604719446</v>
      </c>
      <c r="Q190">
        <f>Q189-$X189</f>
        <v>-0.35087344432631273</v>
      </c>
      <c r="R190">
        <f>R189-$X189</f>
        <v>-1.1754603895593352E-2</v>
      </c>
      <c r="S190">
        <f>S189-$X189</f>
        <v>0.41903075029066139</v>
      </c>
      <c r="T190">
        <f>T189-$X189</f>
        <v>0.4432999208172097</v>
      </c>
      <c r="U190">
        <f>U189-$X189</f>
        <v>0.59862448332573925</v>
      </c>
      <c r="V190">
        <f>V189-$X189</f>
        <v>0.82867470289577083</v>
      </c>
      <c r="W190">
        <f>W189-$X189</f>
        <v>0.83835770413892519</v>
      </c>
    </row>
    <row r="191" spans="1:25">
      <c r="M191">
        <f>B190*M190</f>
        <v>0.5167995288282532</v>
      </c>
      <c r="N191">
        <f t="shared" ref="N191" si="218">C190*N190</f>
        <v>0.48055649287859603</v>
      </c>
      <c r="O191">
        <f t="shared" ref="O191" si="219">D190*O190</f>
        <v>0.46389724248962466</v>
      </c>
      <c r="P191">
        <f t="shared" ref="P191" si="220">E190*P190</f>
        <v>0.45178557685724469</v>
      </c>
      <c r="Q191">
        <f t="shared" ref="Q191" si="221">F190*Q190</f>
        <v>0.12311217393341008</v>
      </c>
      <c r="R191">
        <f t="shared" ref="R191" si="222">G190*R190</f>
        <v>1.3817071274229841E-4</v>
      </c>
      <c r="S191">
        <f t="shared" ref="S191" si="223">H190*S190</f>
        <v>0.17558676968915463</v>
      </c>
      <c r="T191">
        <f t="shared" ref="T191" si="224">I190*T190</f>
        <v>0.19651481979654439</v>
      </c>
      <c r="U191">
        <f t="shared" ref="U191" si="225">J190*U190</f>
        <v>0.35835127203700828</v>
      </c>
      <c r="V191">
        <f t="shared" ref="V191" si="226">K190*V190</f>
        <v>0.68670176321939402</v>
      </c>
      <c r="W191">
        <f t="shared" ref="W191" si="227">L190*W190</f>
        <v>0.70284364008908962</v>
      </c>
      <c r="X191">
        <f>SUM(M191:W191)</f>
        <v>4.1562874505310621</v>
      </c>
      <c r="Y191">
        <f>X191/11/Y189</f>
        <v>1.0000000000000007</v>
      </c>
    </row>
  </sheetData>
  <sortState ref="A73:L81">
    <sortCondition descending="1" ref="L73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56" workbookViewId="0">
      <selection activeCell="K78" sqref="K78"/>
    </sheetView>
  </sheetViews>
  <sheetFormatPr baseColWidth="10" defaultRowHeight="15" x14ac:dyDescent="0"/>
  <cols>
    <col min="1" max="16384" width="10.83203125" style="3"/>
  </cols>
  <sheetData>
    <row r="1" spans="1:12">
      <c r="A1" s="3" t="s">
        <v>166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</row>
    <row r="2" spans="1:12">
      <c r="A2" s="3" t="s">
        <v>167</v>
      </c>
      <c r="F2" s="3">
        <v>134057</v>
      </c>
      <c r="G2" s="3">
        <v>117100</v>
      </c>
    </row>
    <row r="3" spans="1:12">
      <c r="A3" s="3" t="s">
        <v>168</v>
      </c>
      <c r="F3" s="3">
        <v>22147</v>
      </c>
      <c r="G3" s="3">
        <v>18184</v>
      </c>
      <c r="H3" s="3">
        <v>11288</v>
      </c>
      <c r="I3" s="3">
        <v>8529</v>
      </c>
      <c r="J3" s="3">
        <v>6563</v>
      </c>
      <c r="K3" s="3">
        <v>5383</v>
      </c>
      <c r="L3" s="3">
        <v>4490</v>
      </c>
    </row>
    <row r="4" spans="1:12">
      <c r="A4" s="3" t="s">
        <v>169</v>
      </c>
      <c r="F4" s="3">
        <v>8350</v>
      </c>
      <c r="G4" s="3">
        <v>7442</v>
      </c>
      <c r="H4" s="3">
        <v>6302</v>
      </c>
      <c r="I4" s="3">
        <v>5643</v>
      </c>
      <c r="J4" s="3">
        <v>4424</v>
      </c>
      <c r="K4" s="3">
        <v>3787</v>
      </c>
      <c r="L4" s="3">
        <v>3195</v>
      </c>
    </row>
    <row r="5" spans="1:12">
      <c r="A5" s="3" t="s">
        <v>170</v>
      </c>
      <c r="F5" s="3">
        <v>32304</v>
      </c>
      <c r="G5" s="3">
        <v>24794</v>
      </c>
      <c r="H5" s="3">
        <v>18209</v>
      </c>
      <c r="I5" s="3">
        <v>14357</v>
      </c>
      <c r="J5" s="3">
        <v>10596</v>
      </c>
      <c r="K5" s="3">
        <v>9157</v>
      </c>
      <c r="L5" s="3">
        <v>7766</v>
      </c>
    </row>
    <row r="6" spans="1:12">
      <c r="A6" s="3" t="s">
        <v>171</v>
      </c>
      <c r="F6" s="3">
        <v>96343</v>
      </c>
      <c r="G6" s="3">
        <v>82992</v>
      </c>
      <c r="H6" s="3">
        <f>69166+889</f>
        <v>70055</v>
      </c>
      <c r="I6" s="3">
        <f>60362+873</f>
        <v>61235</v>
      </c>
      <c r="J6" s="3">
        <f>47659+664</f>
        <v>48323</v>
      </c>
      <c r="K6" s="3">
        <f>40185+526</f>
        <v>40711</v>
      </c>
      <c r="L6" s="3">
        <f>39634+565</f>
        <v>40199</v>
      </c>
    </row>
    <row r="7" spans="1:12">
      <c r="A7" s="3" t="s">
        <v>172</v>
      </c>
      <c r="F7" s="3">
        <v>126300</v>
      </c>
      <c r="G7" s="3">
        <v>132010</v>
      </c>
      <c r="H7" s="3">
        <v>198932</v>
      </c>
      <c r="I7" s="3">
        <v>176151</v>
      </c>
      <c r="J7" s="3">
        <v>147436</v>
      </c>
      <c r="K7" s="3">
        <v>136232</v>
      </c>
      <c r="L7" s="3">
        <v>123179</v>
      </c>
    </row>
    <row r="8" spans="1:12" ht="16">
      <c r="A8" s="2" t="s">
        <v>1</v>
      </c>
      <c r="F8" s="3">
        <f>SUM(F3:F7)</f>
        <v>285444</v>
      </c>
      <c r="G8" s="3">
        <f t="shared" ref="G8:L8" si="0">SUM(G3:G7)</f>
        <v>265422</v>
      </c>
      <c r="H8" s="3">
        <f t="shared" si="0"/>
        <v>304786</v>
      </c>
      <c r="I8" s="3">
        <f t="shared" si="0"/>
        <v>265915</v>
      </c>
      <c r="J8" s="3">
        <f t="shared" si="0"/>
        <v>217342</v>
      </c>
      <c r="K8" s="3">
        <f t="shared" si="0"/>
        <v>195270</v>
      </c>
      <c r="L8" s="3">
        <f t="shared" si="0"/>
        <v>178829</v>
      </c>
    </row>
    <row r="9" spans="1:12">
      <c r="B9" s="3">
        <v>2000</v>
      </c>
      <c r="C9" s="3">
        <v>2001</v>
      </c>
      <c r="D9" s="3">
        <v>2002</v>
      </c>
      <c r="E9" s="3">
        <v>2003</v>
      </c>
      <c r="F9" s="3">
        <v>2004</v>
      </c>
      <c r="G9" s="3">
        <v>2005</v>
      </c>
      <c r="H9" s="3">
        <v>2006</v>
      </c>
      <c r="I9" s="3">
        <v>2007</v>
      </c>
      <c r="J9" s="3">
        <v>2008</v>
      </c>
      <c r="K9" s="3">
        <v>2009</v>
      </c>
      <c r="L9" s="3">
        <v>2010</v>
      </c>
    </row>
    <row r="10" spans="1:12">
      <c r="A10" s="3" t="s">
        <v>167</v>
      </c>
      <c r="F10" s="3">
        <v>21700</v>
      </c>
      <c r="G10" s="3">
        <v>20377</v>
      </c>
    </row>
    <row r="11" spans="1:12">
      <c r="A11" s="3" t="s">
        <v>168</v>
      </c>
      <c r="F11" s="3">
        <v>7117</v>
      </c>
      <c r="G11" s="3">
        <v>6373</v>
      </c>
      <c r="H11" s="3">
        <v>4344</v>
      </c>
      <c r="I11" s="3">
        <v>3566</v>
      </c>
      <c r="J11" s="3">
        <v>3125</v>
      </c>
      <c r="K11" s="3">
        <v>2650</v>
      </c>
      <c r="L11" s="3">
        <v>2310</v>
      </c>
    </row>
    <row r="12" spans="1:12">
      <c r="A12" s="3" t="s">
        <v>169</v>
      </c>
      <c r="F12" s="3">
        <v>1342</v>
      </c>
      <c r="G12" s="3">
        <v>1398</v>
      </c>
      <c r="H12" s="3">
        <v>1218</v>
      </c>
      <c r="I12" s="3">
        <v>1202</v>
      </c>
      <c r="J12" s="3">
        <v>1060</v>
      </c>
      <c r="K12" s="3">
        <v>950</v>
      </c>
      <c r="L12" s="3">
        <v>799</v>
      </c>
    </row>
    <row r="13" spans="1:12">
      <c r="A13" s="3" t="s">
        <v>170</v>
      </c>
      <c r="F13" s="3">
        <v>2931</v>
      </c>
      <c r="G13" s="3">
        <v>2526</v>
      </c>
      <c r="H13" s="3">
        <v>2006</v>
      </c>
      <c r="I13" s="3">
        <v>1715</v>
      </c>
      <c r="J13" s="3">
        <v>1421</v>
      </c>
      <c r="K13" s="3">
        <v>1200</v>
      </c>
      <c r="L13" s="3">
        <v>1049</v>
      </c>
    </row>
    <row r="14" spans="1:12">
      <c r="A14" s="3" t="s">
        <v>171</v>
      </c>
      <c r="F14" s="3">
        <v>29196</v>
      </c>
      <c r="G14" s="3">
        <v>27888</v>
      </c>
      <c r="H14" s="3">
        <f>24569+374</f>
        <v>24943</v>
      </c>
      <c r="I14" s="3">
        <f>22724+368</f>
        <v>23092</v>
      </c>
      <c r="J14" s="3">
        <f>19859+356</f>
        <v>20215</v>
      </c>
      <c r="K14" s="3">
        <f>17905+271</f>
        <v>18176</v>
      </c>
      <c r="L14" s="3">
        <f>18599+303</f>
        <v>18902</v>
      </c>
    </row>
    <row r="15" spans="1:12">
      <c r="A15" s="3" t="s">
        <v>172</v>
      </c>
      <c r="F15" s="3">
        <v>24667</v>
      </c>
      <c r="G15" s="3">
        <v>25519</v>
      </c>
      <c r="H15" s="3">
        <v>40161</v>
      </c>
      <c r="I15" s="3">
        <v>37575</v>
      </c>
      <c r="J15" s="3">
        <v>35176</v>
      </c>
      <c r="K15" s="3">
        <v>33294</v>
      </c>
      <c r="L15" s="3">
        <v>31022</v>
      </c>
    </row>
    <row r="17" spans="1:12">
      <c r="B17" s="3">
        <v>2000</v>
      </c>
      <c r="C17" s="3">
        <v>2001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>
        <v>2010</v>
      </c>
    </row>
    <row r="18" spans="1:12">
      <c r="A18" s="3" t="s">
        <v>167</v>
      </c>
      <c r="F18" s="3">
        <v>121474</v>
      </c>
      <c r="G18" s="3">
        <v>117904</v>
      </c>
    </row>
    <row r="19" spans="1:12">
      <c r="A19" s="3" t="s">
        <v>168</v>
      </c>
      <c r="F19" s="3">
        <v>30013</v>
      </c>
      <c r="G19" s="3">
        <v>26418</v>
      </c>
      <c r="H19" s="3">
        <v>19449</v>
      </c>
      <c r="I19" s="3">
        <v>15011</v>
      </c>
      <c r="J19" s="3">
        <v>11259</v>
      </c>
      <c r="K19" s="3">
        <v>9509</v>
      </c>
      <c r="L19" s="3">
        <v>8540</v>
      </c>
    </row>
    <row r="20" spans="1:12">
      <c r="A20" s="3" t="s">
        <v>169</v>
      </c>
      <c r="F20" s="3">
        <v>8403</v>
      </c>
      <c r="G20" s="3">
        <v>7995</v>
      </c>
      <c r="H20" s="3">
        <v>7524</v>
      </c>
      <c r="I20" s="3">
        <v>6938</v>
      </c>
      <c r="J20" s="3">
        <v>5135</v>
      </c>
      <c r="K20" s="3">
        <v>4405</v>
      </c>
      <c r="L20" s="3">
        <v>3753</v>
      </c>
    </row>
    <row r="21" spans="1:12">
      <c r="A21" s="3" t="s">
        <v>170</v>
      </c>
      <c r="F21" s="3">
        <v>28022</v>
      </c>
      <c r="G21" s="3">
        <v>25067</v>
      </c>
      <c r="H21" s="3">
        <v>20441</v>
      </c>
      <c r="I21" s="3">
        <v>16958</v>
      </c>
      <c r="J21" s="3">
        <v>12243</v>
      </c>
      <c r="K21" s="3">
        <v>10491</v>
      </c>
      <c r="L21" s="3">
        <v>8991</v>
      </c>
    </row>
    <row r="22" spans="1:12">
      <c r="A22" s="3" t="s">
        <v>171</v>
      </c>
      <c r="F22" s="3">
        <v>80715</v>
      </c>
      <c r="G22" s="3">
        <v>76638</v>
      </c>
      <c r="H22" s="3">
        <f>70701+963</f>
        <v>71664</v>
      </c>
      <c r="I22" s="3">
        <f>62400+986</f>
        <v>63386</v>
      </c>
      <c r="J22" s="3">
        <f>49440+644</f>
        <v>50084</v>
      </c>
      <c r="K22" s="3">
        <f>41257+562</f>
        <v>41819</v>
      </c>
      <c r="L22" s="3">
        <f>40906+666</f>
        <v>41572</v>
      </c>
    </row>
    <row r="23" spans="1:12">
      <c r="A23" s="3" t="s">
        <v>172</v>
      </c>
      <c r="F23" s="3">
        <v>130098</v>
      </c>
      <c r="G23" s="3">
        <v>145169</v>
      </c>
      <c r="H23" s="3">
        <v>231720</v>
      </c>
      <c r="I23" s="3">
        <v>210432</v>
      </c>
      <c r="J23" s="3">
        <v>173368</v>
      </c>
      <c r="K23" s="3">
        <v>160719</v>
      </c>
      <c r="L23" s="3">
        <v>145105</v>
      </c>
    </row>
    <row r="25" spans="1:12">
      <c r="A25" s="13" t="s">
        <v>3</v>
      </c>
      <c r="B25" s="3">
        <v>2000</v>
      </c>
      <c r="C25" s="3">
        <v>2001</v>
      </c>
      <c r="D25" s="3">
        <v>2002</v>
      </c>
      <c r="E25" s="3">
        <v>2003</v>
      </c>
      <c r="F25" s="3">
        <v>2004</v>
      </c>
      <c r="G25" s="3">
        <v>2005</v>
      </c>
      <c r="H25" s="3">
        <v>2006</v>
      </c>
      <c r="I25" s="3">
        <v>2007</v>
      </c>
      <c r="J25" s="3">
        <v>2008</v>
      </c>
      <c r="K25" s="3">
        <v>2009</v>
      </c>
      <c r="L25" s="3">
        <v>2010</v>
      </c>
    </row>
    <row r="26" spans="1:12">
      <c r="A26" s="3" t="s">
        <v>168</v>
      </c>
      <c r="F26" s="3">
        <f>(F11+F19)/F3</f>
        <v>1.6765250372510949</v>
      </c>
      <c r="G26" s="3">
        <f t="shared" ref="G26:L26" si="1">(G11+G19)/G3</f>
        <v>1.803288605367356</v>
      </c>
      <c r="H26" s="3">
        <f t="shared" si="1"/>
        <v>2.1078136073706593</v>
      </c>
      <c r="I26" s="3">
        <f t="shared" si="1"/>
        <v>2.1780982530191113</v>
      </c>
      <c r="J26" s="3">
        <f t="shared" si="1"/>
        <v>2.1916806338564681</v>
      </c>
      <c r="K26" s="3">
        <f t="shared" si="1"/>
        <v>2.2587776332899869</v>
      </c>
      <c r="L26" s="3">
        <f t="shared" si="1"/>
        <v>2.4164810690423164</v>
      </c>
    </row>
    <row r="27" spans="1:12">
      <c r="A27" s="3" t="s">
        <v>169</v>
      </c>
      <c r="F27" s="3">
        <f t="shared" ref="F27:L30" si="2">(F12+F20)/F4</f>
        <v>1.1670658682634731</v>
      </c>
      <c r="G27" s="3">
        <f t="shared" si="2"/>
        <v>1.2621607094866971</v>
      </c>
      <c r="H27" s="3">
        <f t="shared" si="2"/>
        <v>1.3871786734370042</v>
      </c>
      <c r="I27" s="3">
        <f t="shared" si="2"/>
        <v>1.4424951267056529</v>
      </c>
      <c r="J27" s="3">
        <f t="shared" si="2"/>
        <v>1.4003164556962024</v>
      </c>
      <c r="K27" s="3">
        <f t="shared" si="2"/>
        <v>1.4140480591497226</v>
      </c>
      <c r="L27" s="3">
        <f t="shared" si="2"/>
        <v>1.4247261345852895</v>
      </c>
    </row>
    <row r="28" spans="1:12">
      <c r="A28" s="3" t="s">
        <v>170</v>
      </c>
      <c r="F28" s="3">
        <f t="shared" si="2"/>
        <v>0.95817855373947503</v>
      </c>
      <c r="G28" s="3">
        <f t="shared" si="2"/>
        <v>1.1128902153746874</v>
      </c>
      <c r="H28" s="3">
        <f t="shared" si="2"/>
        <v>1.2327420506343016</v>
      </c>
      <c r="I28" s="3">
        <f t="shared" si="2"/>
        <v>1.300619906665738</v>
      </c>
      <c r="J28" s="3">
        <f t="shared" si="2"/>
        <v>1.2895432238580598</v>
      </c>
      <c r="K28" s="3">
        <f t="shared" si="2"/>
        <v>1.2767281860871464</v>
      </c>
      <c r="L28" s="3">
        <f t="shared" si="2"/>
        <v>1.2928148338913212</v>
      </c>
    </row>
    <row r="29" spans="1:12">
      <c r="A29" s="3" t="s">
        <v>171</v>
      </c>
      <c r="F29" s="3">
        <f t="shared" si="2"/>
        <v>1.1408301589113896</v>
      </c>
      <c r="G29" s="3">
        <f t="shared" si="2"/>
        <v>1.2594707923655293</v>
      </c>
      <c r="H29" s="3">
        <f t="shared" si="2"/>
        <v>1.3790164870458925</v>
      </c>
      <c r="I29" s="3">
        <f t="shared" si="2"/>
        <v>1.4122315669143464</v>
      </c>
      <c r="J29" s="3">
        <f t="shared" si="2"/>
        <v>1.4547730894191171</v>
      </c>
      <c r="K29" s="3">
        <f t="shared" si="2"/>
        <v>1.4736803320969762</v>
      </c>
      <c r="L29" s="3">
        <f t="shared" si="2"/>
        <v>1.5043657802432897</v>
      </c>
    </row>
    <row r="30" spans="1:12">
      <c r="A30" s="3" t="s">
        <v>172</v>
      </c>
      <c r="F30" s="3">
        <f t="shared" si="2"/>
        <v>1.2253760886777514</v>
      </c>
      <c r="G30" s="3">
        <f t="shared" si="2"/>
        <v>1.2929929550791606</v>
      </c>
      <c r="H30" s="3">
        <f t="shared" si="2"/>
        <v>1.3667031950616291</v>
      </c>
      <c r="I30" s="3">
        <f t="shared" si="2"/>
        <v>1.4079227480968033</v>
      </c>
      <c r="J30" s="3">
        <f t="shared" si="2"/>
        <v>1.4144713638460078</v>
      </c>
      <c r="K30" s="3">
        <f t="shared" si="2"/>
        <v>1.4241367666921134</v>
      </c>
      <c r="L30" s="3">
        <f t="shared" si="2"/>
        <v>1.4298459964766721</v>
      </c>
    </row>
    <row r="31" spans="1:12" ht="16">
      <c r="A31" s="2" t="s">
        <v>173</v>
      </c>
      <c r="F31">
        <v>1.1352645064869114</v>
      </c>
      <c r="G31">
        <v>1.2629515784423904</v>
      </c>
      <c r="H31">
        <v>1.3743931189790406</v>
      </c>
      <c r="I31">
        <v>1.4122197127829614</v>
      </c>
      <c r="J31">
        <v>1.4268374534320749</v>
      </c>
      <c r="K31">
        <v>1.4385674908013812</v>
      </c>
      <c r="L31">
        <v>1.4545305460525417</v>
      </c>
    </row>
    <row r="33" spans="1:12">
      <c r="A33" s="13" t="s">
        <v>4</v>
      </c>
      <c r="B33" s="3">
        <v>2000</v>
      </c>
      <c r="C33" s="3">
        <v>2001</v>
      </c>
      <c r="D33" s="3">
        <v>2002</v>
      </c>
      <c r="E33" s="3">
        <v>2003</v>
      </c>
      <c r="F33" s="3">
        <v>2004</v>
      </c>
      <c r="G33" s="3">
        <v>2005</v>
      </c>
      <c r="H33" s="3">
        <v>2006</v>
      </c>
      <c r="I33" s="3">
        <v>2007</v>
      </c>
      <c r="J33" s="3">
        <v>2008</v>
      </c>
      <c r="K33" s="3">
        <v>2009</v>
      </c>
      <c r="L33" s="3">
        <v>2010</v>
      </c>
    </row>
    <row r="34" spans="1:12">
      <c r="A34" s="3" t="s">
        <v>168</v>
      </c>
      <c r="F34" s="3">
        <f t="shared" ref="F34:L38" si="3">F11/(F11+F19)</f>
        <v>0.19167788849986533</v>
      </c>
      <c r="G34" s="3">
        <f t="shared" si="3"/>
        <v>0.19435210881034432</v>
      </c>
      <c r="H34" s="3">
        <f t="shared" si="3"/>
        <v>0.1825747068465515</v>
      </c>
      <c r="I34" s="3">
        <f t="shared" si="3"/>
        <v>0.19195779727620174</v>
      </c>
      <c r="J34" s="3">
        <f t="shared" si="3"/>
        <v>0.21725528364849833</v>
      </c>
      <c r="K34" s="3">
        <f t="shared" si="3"/>
        <v>0.2179455547331195</v>
      </c>
      <c r="L34" s="3">
        <f t="shared" si="3"/>
        <v>0.2129032258064516</v>
      </c>
    </row>
    <row r="35" spans="1:12">
      <c r="A35" s="3" t="s">
        <v>169</v>
      </c>
      <c r="F35" s="3">
        <f t="shared" si="3"/>
        <v>0.13771164699846075</v>
      </c>
      <c r="G35" s="3">
        <f t="shared" si="3"/>
        <v>0.14883423826253592</v>
      </c>
      <c r="H35" s="3">
        <f t="shared" si="3"/>
        <v>0.1393273850377488</v>
      </c>
      <c r="I35" s="3">
        <f t="shared" si="3"/>
        <v>0.14766584766584767</v>
      </c>
      <c r="J35" s="3">
        <f t="shared" si="3"/>
        <v>0.17110573042776434</v>
      </c>
      <c r="K35" s="3">
        <f t="shared" si="3"/>
        <v>0.17740429505135388</v>
      </c>
      <c r="L35" s="3">
        <f t="shared" si="3"/>
        <v>0.17552724077328646</v>
      </c>
    </row>
    <row r="36" spans="1:12">
      <c r="A36" s="3" t="s">
        <v>170</v>
      </c>
      <c r="F36" s="3">
        <f t="shared" si="3"/>
        <v>9.4691952314799863E-2</v>
      </c>
      <c r="G36" s="3">
        <f t="shared" si="3"/>
        <v>9.1544957054325374E-2</v>
      </c>
      <c r="H36" s="3">
        <f t="shared" si="3"/>
        <v>8.936606228003742E-2</v>
      </c>
      <c r="I36" s="3">
        <f t="shared" si="3"/>
        <v>9.1843838697584751E-2</v>
      </c>
      <c r="J36" s="3">
        <f t="shared" si="3"/>
        <v>0.10399590163934426</v>
      </c>
      <c r="K36" s="3">
        <f t="shared" si="3"/>
        <v>0.10264305876315115</v>
      </c>
      <c r="L36" s="3">
        <f t="shared" si="3"/>
        <v>0.10448207171314741</v>
      </c>
    </row>
    <row r="37" spans="1:12">
      <c r="A37" s="3" t="s">
        <v>171</v>
      </c>
      <c r="F37" s="3">
        <f t="shared" si="3"/>
        <v>0.26563310314709176</v>
      </c>
      <c r="G37" s="3">
        <f t="shared" si="3"/>
        <v>0.2668044314333276</v>
      </c>
      <c r="H37" s="3">
        <f t="shared" si="3"/>
        <v>0.2581904002815531</v>
      </c>
      <c r="I37" s="3">
        <f t="shared" si="3"/>
        <v>0.26702745206873424</v>
      </c>
      <c r="J37" s="3">
        <f t="shared" si="3"/>
        <v>0.28755743324940614</v>
      </c>
      <c r="K37" s="3">
        <f t="shared" si="3"/>
        <v>0.30295857988165681</v>
      </c>
      <c r="L37" s="3">
        <f t="shared" si="3"/>
        <v>0.31256407712405332</v>
      </c>
    </row>
    <row r="38" spans="1:12">
      <c r="A38" s="3" t="s">
        <v>172</v>
      </c>
      <c r="F38" s="3">
        <f t="shared" si="3"/>
        <v>0.15938358155913804</v>
      </c>
      <c r="G38" s="3">
        <f t="shared" si="3"/>
        <v>0.1495067022872141</v>
      </c>
      <c r="H38" s="3">
        <f t="shared" si="3"/>
        <v>0.1477153607644521</v>
      </c>
      <c r="I38" s="3">
        <f t="shared" si="3"/>
        <v>0.15150782034378063</v>
      </c>
      <c r="J38" s="3">
        <f t="shared" si="3"/>
        <v>0.16867423661193801</v>
      </c>
      <c r="K38" s="3">
        <f t="shared" si="3"/>
        <v>0.17160705725904965</v>
      </c>
      <c r="L38" s="3">
        <f t="shared" si="3"/>
        <v>0.17613426675069693</v>
      </c>
    </row>
    <row r="39" spans="1:12" ht="16">
      <c r="A39" s="2" t="s">
        <v>173</v>
      </c>
      <c r="F39">
        <v>0.1821220156444269</v>
      </c>
      <c r="G39">
        <v>0.17363610944536964</v>
      </c>
      <c r="H39">
        <v>0.17183256049820014</v>
      </c>
      <c r="I39">
        <v>0.17669463374097311</v>
      </c>
      <c r="J39">
        <v>0.19419507773458455</v>
      </c>
      <c r="K39">
        <v>0.19761493682994832</v>
      </c>
      <c r="L39">
        <v>0.20427497651111806</v>
      </c>
    </row>
    <row r="40" spans="1:12" ht="16">
      <c r="B40" s="2"/>
      <c r="C40" s="2"/>
      <c r="D40" s="2"/>
      <c r="E40" s="2"/>
    </row>
    <row r="61" spans="1:12">
      <c r="B61" s="3">
        <v>2000</v>
      </c>
      <c r="C61" s="3">
        <v>2001</v>
      </c>
      <c r="D61" s="3">
        <v>2002</v>
      </c>
      <c r="E61" s="3">
        <v>2003</v>
      </c>
      <c r="F61" s="3">
        <v>2004</v>
      </c>
      <c r="G61" s="3">
        <v>2005</v>
      </c>
      <c r="H61" s="3">
        <v>2006</v>
      </c>
      <c r="I61" s="3">
        <v>2007</v>
      </c>
      <c r="J61" s="3">
        <v>2008</v>
      </c>
      <c r="K61" s="3">
        <v>2009</v>
      </c>
      <c r="L61" s="3">
        <v>2010</v>
      </c>
    </row>
    <row r="62" spans="1:12">
      <c r="A62" s="3" t="s">
        <v>172</v>
      </c>
      <c r="F62" s="3">
        <v>24667</v>
      </c>
      <c r="G62" s="3">
        <v>25519</v>
      </c>
      <c r="H62" s="3">
        <v>40161</v>
      </c>
      <c r="I62" s="3">
        <v>37575</v>
      </c>
      <c r="J62" s="3">
        <v>35176</v>
      </c>
      <c r="K62" s="3">
        <v>33294</v>
      </c>
      <c r="L62" s="3">
        <v>31022</v>
      </c>
    </row>
    <row r="63" spans="1:12">
      <c r="A63" s="3" t="s">
        <v>171</v>
      </c>
      <c r="F63" s="3">
        <v>29196</v>
      </c>
      <c r="G63" s="3">
        <v>27888</v>
      </c>
      <c r="H63" s="3">
        <f>24569+374</f>
        <v>24943</v>
      </c>
      <c r="I63" s="3">
        <f>22724+368</f>
        <v>23092</v>
      </c>
      <c r="J63" s="3">
        <f>19859+356</f>
        <v>20215</v>
      </c>
      <c r="K63" s="3">
        <f>17905+271</f>
        <v>18176</v>
      </c>
      <c r="L63" s="3">
        <f>18599+303</f>
        <v>18902</v>
      </c>
    </row>
    <row r="64" spans="1:12">
      <c r="A64" s="3" t="s">
        <v>168</v>
      </c>
      <c r="F64" s="3">
        <v>7117</v>
      </c>
      <c r="G64" s="3">
        <v>6373</v>
      </c>
      <c r="H64" s="3">
        <v>4344</v>
      </c>
      <c r="I64" s="3">
        <v>3566</v>
      </c>
      <c r="J64" s="3">
        <v>3125</v>
      </c>
      <c r="K64" s="3">
        <v>2650</v>
      </c>
      <c r="L64" s="3">
        <v>2310</v>
      </c>
    </row>
    <row r="65" spans="1:12">
      <c r="A65" s="3" t="s">
        <v>170</v>
      </c>
      <c r="F65" s="3">
        <v>2931</v>
      </c>
      <c r="G65" s="3">
        <v>2526</v>
      </c>
      <c r="H65" s="3">
        <v>2006</v>
      </c>
      <c r="I65" s="3">
        <v>1715</v>
      </c>
      <c r="J65" s="3">
        <v>1421</v>
      </c>
      <c r="K65" s="3">
        <v>1200</v>
      </c>
      <c r="L65" s="3">
        <v>1049</v>
      </c>
    </row>
    <row r="66" spans="1:12">
      <c r="A66" s="3" t="s">
        <v>169</v>
      </c>
      <c r="F66" s="3">
        <v>1342</v>
      </c>
      <c r="G66" s="3">
        <v>1398</v>
      </c>
      <c r="H66" s="3">
        <v>1218</v>
      </c>
      <c r="I66" s="3">
        <v>1202</v>
      </c>
      <c r="J66" s="3">
        <v>1060</v>
      </c>
      <c r="K66" s="3">
        <v>950</v>
      </c>
      <c r="L66" s="3">
        <v>799</v>
      </c>
    </row>
    <row r="71" spans="1:12">
      <c r="A71" s="3" t="s">
        <v>3</v>
      </c>
      <c r="B71" s="3">
        <v>2004</v>
      </c>
      <c r="C71" s="3">
        <v>2005</v>
      </c>
      <c r="D71" s="3">
        <v>2006</v>
      </c>
      <c r="E71" s="3">
        <v>2007</v>
      </c>
      <c r="F71" s="3">
        <v>2008</v>
      </c>
      <c r="G71" s="3">
        <v>2009</v>
      </c>
      <c r="H71" s="3">
        <v>2010</v>
      </c>
      <c r="J71" s="3" t="s">
        <v>3</v>
      </c>
      <c r="K71" s="3" t="s">
        <v>171</v>
      </c>
      <c r="L71" s="3" t="s">
        <v>172</v>
      </c>
    </row>
    <row r="72" spans="1:12">
      <c r="A72" s="3" t="s">
        <v>171</v>
      </c>
      <c r="B72" s="3">
        <v>1.1408301589113896</v>
      </c>
      <c r="C72" s="3">
        <v>1.2594707923655293</v>
      </c>
      <c r="D72" s="3">
        <v>1.3790164870458925</v>
      </c>
      <c r="E72" s="3">
        <v>1.4122315669143464</v>
      </c>
      <c r="F72" s="3">
        <v>1.4547730894191171</v>
      </c>
      <c r="G72" s="3">
        <v>1.4736803320969762</v>
      </c>
      <c r="H72" s="3">
        <v>1.5043657802432897</v>
      </c>
      <c r="J72" s="3" t="s">
        <v>171</v>
      </c>
      <c r="K72" s="3">
        <v>1</v>
      </c>
    </row>
    <row r="73" spans="1:12">
      <c r="A73" s="3" t="s">
        <v>172</v>
      </c>
      <c r="B73" s="3">
        <v>1.2253760886777514</v>
      </c>
      <c r="C73" s="3">
        <v>1.2929929550791606</v>
      </c>
      <c r="D73" s="3">
        <v>1.3667031950616291</v>
      </c>
      <c r="E73" s="3">
        <v>1.4079227480968033</v>
      </c>
      <c r="F73" s="3">
        <v>1.4144713638460078</v>
      </c>
      <c r="G73" s="3">
        <v>1.4241367666921134</v>
      </c>
      <c r="H73" s="3">
        <v>1.4298459964766721</v>
      </c>
      <c r="J73" s="3" t="s">
        <v>172</v>
      </c>
      <c r="K73" s="3">
        <v>0.87032008691706753</v>
      </c>
      <c r="L73" s="3">
        <v>1</v>
      </c>
    </row>
    <row r="74" spans="1:12">
      <c r="A74" s="3" t="s">
        <v>173</v>
      </c>
      <c r="B74" s="3">
        <v>1.1352645064869114</v>
      </c>
      <c r="C74" s="3">
        <v>1.2629515784423904</v>
      </c>
      <c r="D74" s="3">
        <v>1.3743931189790406</v>
      </c>
      <c r="E74" s="3">
        <v>1.4122197127829614</v>
      </c>
      <c r="F74" s="3">
        <v>1.4268374534320749</v>
      </c>
      <c r="G74" s="3">
        <v>1.4385674908013812</v>
      </c>
      <c r="H74" s="3">
        <v>1.4545305460525417</v>
      </c>
    </row>
    <row r="76" spans="1:12">
      <c r="A76" s="3" t="s">
        <v>4</v>
      </c>
      <c r="B76" s="3">
        <v>2004</v>
      </c>
      <c r="C76" s="3">
        <v>2005</v>
      </c>
      <c r="D76" s="3">
        <v>2006</v>
      </c>
      <c r="E76" s="3">
        <v>2007</v>
      </c>
      <c r="F76" s="3">
        <v>2008</v>
      </c>
      <c r="G76" s="3">
        <v>2009</v>
      </c>
      <c r="H76" s="3">
        <v>2010</v>
      </c>
      <c r="J76" s="3" t="s">
        <v>4</v>
      </c>
      <c r="K76" s="3" t="s">
        <v>171</v>
      </c>
      <c r="L76" s="3" t="s">
        <v>172</v>
      </c>
    </row>
    <row r="77" spans="1:12">
      <c r="A77" s="3" t="s">
        <v>171</v>
      </c>
      <c r="B77" s="3">
        <v>0.26563310314709176</v>
      </c>
      <c r="C77" s="3">
        <v>0.2668044314333276</v>
      </c>
      <c r="D77" s="3">
        <v>0.2581904002815531</v>
      </c>
      <c r="E77" s="3">
        <v>0.26702745206873424</v>
      </c>
      <c r="F77" s="3">
        <v>0.28755743324940614</v>
      </c>
      <c r="G77" s="3">
        <v>0.30295857988165681</v>
      </c>
      <c r="H77" s="3">
        <v>0.31256407712405332</v>
      </c>
      <c r="J77" s="3" t="s">
        <v>171</v>
      </c>
      <c r="K77" s="3">
        <v>1</v>
      </c>
    </row>
    <row r="78" spans="1:12">
      <c r="A78" s="3" t="s">
        <v>172</v>
      </c>
      <c r="B78" s="3">
        <v>0.15938358155913804</v>
      </c>
      <c r="C78" s="3">
        <v>0.1495067022872141</v>
      </c>
      <c r="D78" s="3">
        <v>0.1477153607644521</v>
      </c>
      <c r="E78" s="3">
        <v>0.15150782034378063</v>
      </c>
      <c r="F78" s="3">
        <v>0.16867423661193801</v>
      </c>
      <c r="G78" s="3">
        <v>0.17160705725904965</v>
      </c>
      <c r="H78" s="3">
        <v>0.17613426675069693</v>
      </c>
      <c r="J78" s="3" t="s">
        <v>172</v>
      </c>
      <c r="K78" s="3">
        <v>-0.88328088018274842</v>
      </c>
      <c r="L78" s="3">
        <v>1</v>
      </c>
    </row>
    <row r="79" spans="1:12">
      <c r="A79" s="3" t="s">
        <v>173</v>
      </c>
      <c r="B79" s="3">
        <v>0.1821220156444269</v>
      </c>
      <c r="C79" s="3">
        <v>0.17363610944536964</v>
      </c>
      <c r="D79" s="3">
        <v>0.17183256049820014</v>
      </c>
      <c r="E79" s="3">
        <v>0.17669463374097311</v>
      </c>
      <c r="F79" s="3">
        <v>0.19419507773458455</v>
      </c>
      <c r="G79" s="3">
        <v>0.19761493682994832</v>
      </c>
      <c r="H79" s="3">
        <v>0.20427497651111806</v>
      </c>
    </row>
    <row r="83" spans="1:1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t="s">
        <v>185</v>
      </c>
      <c r="Q83" t="s">
        <v>186</v>
      </c>
    </row>
    <row r="84" spans="1:17" ht="16">
      <c r="A84" s="2" t="s">
        <v>188</v>
      </c>
      <c r="B84" s="3">
        <v>1.1408301589113896</v>
      </c>
      <c r="C84" s="3">
        <v>1.2594707923655293</v>
      </c>
      <c r="D84" s="3">
        <v>1.3790164870458925</v>
      </c>
      <c r="E84" s="3">
        <v>1.4122315669143464</v>
      </c>
      <c r="F84" s="3">
        <v>1.4547730894191171</v>
      </c>
      <c r="G84" s="3">
        <v>1.4736803320969762</v>
      </c>
      <c r="H84" s="3">
        <v>1.5043657802432897</v>
      </c>
      <c r="I84" s="3">
        <v>1.2253760886777514</v>
      </c>
      <c r="J84" s="3">
        <v>1.2929929550791606</v>
      </c>
      <c r="K84" s="3">
        <v>1.3667031950616291</v>
      </c>
      <c r="L84" s="3">
        <v>1.4079227480968033</v>
      </c>
      <c r="M84" s="3">
        <v>1.4144713638460078</v>
      </c>
      <c r="N84" s="3">
        <v>1.4241367666921134</v>
      </c>
      <c r="O84" s="3">
        <v>1.4298459964766721</v>
      </c>
      <c r="P84">
        <f>AVERAGE(B84:O84)</f>
        <v>1.3704155229233344</v>
      </c>
      <c r="Q84">
        <f>(_xlfn.STDEV.P(B84:O84))^2</f>
        <v>9.9552397968036659E-3</v>
      </c>
    </row>
    <row r="85" spans="1:17" ht="16">
      <c r="A85" s="2"/>
      <c r="B85">
        <f>B84-$P84</f>
        <v>-0.22958536401194474</v>
      </c>
      <c r="C85">
        <f>C84-$P84</f>
        <v>-0.11094473055780507</v>
      </c>
      <c r="D85">
        <f>D84-$P84</f>
        <v>8.6009641225581746E-3</v>
      </c>
      <c r="E85">
        <f>E84-$P84</f>
        <v>4.181604399101202E-2</v>
      </c>
      <c r="F85">
        <f>F84-$P84</f>
        <v>8.4357566495782743E-2</v>
      </c>
      <c r="G85">
        <f>G84-$P84</f>
        <v>0.10326480917364189</v>
      </c>
      <c r="H85">
        <f>H84-$P84</f>
        <v>0.13395025731995536</v>
      </c>
      <c r="I85">
        <f>I84-$P84</f>
        <v>-0.14503943424558297</v>
      </c>
      <c r="J85">
        <f>J84-$P84</f>
        <v>-7.7422567844173784E-2</v>
      </c>
      <c r="K85">
        <f>K84-$P84</f>
        <v>-3.712327861705278E-3</v>
      </c>
      <c r="L85">
        <f>L84-$P84</f>
        <v>3.7507225173468939E-2</v>
      </c>
      <c r="M85">
        <f>M84-$P84</f>
        <v>4.405584092267345E-2</v>
      </c>
      <c r="N85">
        <f>N84-$P84</f>
        <v>5.372124376877907E-2</v>
      </c>
      <c r="O85">
        <f>O84-$P84</f>
        <v>5.9430473553337748E-2</v>
      </c>
      <c r="P85"/>
      <c r="Q85"/>
    </row>
    <row r="86" spans="1:17" ht="16">
      <c r="A86" s="2"/>
      <c r="B86"/>
      <c r="C86"/>
      <c r="D86"/>
      <c r="E86"/>
      <c r="F86"/>
      <c r="G86"/>
      <c r="H86"/>
      <c r="I86">
        <f>B85*I85</f>
        <v>3.3298931307358691E-2</v>
      </c>
      <c r="J86">
        <f>C85*J85</f>
        <v>8.5896259285652438E-3</v>
      </c>
      <c r="K86">
        <f>D85*K85</f>
        <v>-3.1929598749700203E-5</v>
      </c>
      <c r="L86">
        <f>E85*L85</f>
        <v>1.5684037778345705E-3</v>
      </c>
      <c r="M86">
        <f>F85*M85</f>
        <v>3.7164435301620521E-3</v>
      </c>
      <c r="N86">
        <f>G85*N85</f>
        <v>5.5475139863536693E-3</v>
      </c>
      <c r="O86">
        <f>H85*O85</f>
        <v>7.9607272251163933E-3</v>
      </c>
      <c r="P86">
        <f>SUM(I86:O86)</f>
        <v>6.0649716156640915E-2</v>
      </c>
      <c r="Q86">
        <f>P86/COUNT(B85:H85)/Q84</f>
        <v>0.87032008691706753</v>
      </c>
    </row>
    <row r="88" spans="1:1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t="s">
        <v>185</v>
      </c>
      <c r="Q88" t="s">
        <v>186</v>
      </c>
    </row>
    <row r="89" spans="1:17" ht="16">
      <c r="A89" s="2" t="s">
        <v>188</v>
      </c>
      <c r="B89" s="3">
        <v>0.26563310314709176</v>
      </c>
      <c r="C89" s="3">
        <v>0.2668044314333276</v>
      </c>
      <c r="D89" s="3">
        <v>0.2581904002815531</v>
      </c>
      <c r="E89" s="3">
        <v>0.26702745206873424</v>
      </c>
      <c r="F89" s="3">
        <v>0.28755743324940614</v>
      </c>
      <c r="G89" s="3">
        <v>0.30295857988165681</v>
      </c>
      <c r="H89" s="3">
        <v>0.31256407712405332</v>
      </c>
      <c r="I89" s="3">
        <v>0.15938358155913804</v>
      </c>
      <c r="J89" s="3">
        <v>0.1495067022872141</v>
      </c>
      <c r="K89" s="3">
        <v>0.1477153607644521</v>
      </c>
      <c r="L89" s="3">
        <v>0.15150782034378063</v>
      </c>
      <c r="M89" s="3">
        <v>0.16867423661193801</v>
      </c>
      <c r="N89" s="3">
        <v>0.17160705725904965</v>
      </c>
      <c r="O89" s="3">
        <v>0.17613426675069693</v>
      </c>
      <c r="P89">
        <f>AVERAGE(B89:O89)</f>
        <v>0.22037603591157803</v>
      </c>
      <c r="Q89">
        <f>(_xlfn.STDEV.P(B89:O89))^2</f>
        <v>3.8154071942731404E-3</v>
      </c>
    </row>
    <row r="90" spans="1:17" ht="16">
      <c r="A90" s="2"/>
      <c r="B90">
        <f>B89-$P89</f>
        <v>4.5257067235513732E-2</v>
      </c>
      <c r="C90">
        <f>C89-$P89</f>
        <v>4.6428395521749571E-2</v>
      </c>
      <c r="D90">
        <f>D89-$P89</f>
        <v>3.7814364369975068E-2</v>
      </c>
      <c r="E90">
        <f>E89-$P89</f>
        <v>4.6651416157156206E-2</v>
      </c>
      <c r="F90">
        <f>F89-$P89</f>
        <v>6.7181397337828103E-2</v>
      </c>
      <c r="G90">
        <f>G89-$P89</f>
        <v>8.2582543970078776E-2</v>
      </c>
      <c r="H90">
        <f>H89-$P89</f>
        <v>9.2188041212475286E-2</v>
      </c>
      <c r="I90">
        <f>I89-$P89</f>
        <v>-6.0992454352439995E-2</v>
      </c>
      <c r="J90">
        <f>J89-$P89</f>
        <v>-7.0869333624363928E-2</v>
      </c>
      <c r="K90">
        <f>K89-$P89</f>
        <v>-7.266067514712593E-2</v>
      </c>
      <c r="L90">
        <f>L89-$P89</f>
        <v>-6.8868215567797403E-2</v>
      </c>
      <c r="M90">
        <f>M89-$P89</f>
        <v>-5.1701799299640028E-2</v>
      </c>
      <c r="N90">
        <f>N89-$P89</f>
        <v>-4.8768978652528383E-2</v>
      </c>
      <c r="O90">
        <f>O89-$P89</f>
        <v>-4.42417691608811E-2</v>
      </c>
      <c r="P90"/>
      <c r="Q90"/>
    </row>
    <row r="91" spans="1:17" ht="16">
      <c r="A91" s="2"/>
      <c r="B91"/>
      <c r="C91"/>
      <c r="D91"/>
      <c r="E91"/>
      <c r="F91"/>
      <c r="G91"/>
      <c r="H91"/>
      <c r="I91">
        <f>B90*I90</f>
        <v>-2.7603396074873791E-3</v>
      </c>
      <c r="J91">
        <f>C90*J90</f>
        <v>-3.2903494518747947E-3</v>
      </c>
      <c r="K91">
        <f>D90*K90</f>
        <v>-2.7476172453818116E-3</v>
      </c>
      <c r="L91">
        <f>E90*L90</f>
        <v>-3.2127997844540604E-3</v>
      </c>
      <c r="M91">
        <f>F90*M90</f>
        <v>-3.4733991218297592E-3</v>
      </c>
      <c r="N91">
        <f>G90*N90</f>
        <v>-4.0274663239482584E-3</v>
      </c>
      <c r="O91">
        <f>H90*O90</f>
        <v>-4.0785620387161249E-3</v>
      </c>
      <c r="P91">
        <f>SUM(I91:O91)</f>
        <v>-2.3590533573692188E-2</v>
      </c>
      <c r="Q91">
        <f>P91/COUNT(B90:H90)/Q89</f>
        <v>-0.88328088018274842</v>
      </c>
    </row>
    <row r="95" spans="1:1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6">
      <c r="A96" s="2"/>
      <c r="P96"/>
      <c r="Q96"/>
    </row>
    <row r="97" spans="1:17" ht="16">
      <c r="A97" s="2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6">
      <c r="A98" s="2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</sheetData>
  <sortState ref="A62:L66">
    <sortCondition descending="1" ref="L6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opLeftCell="A114" workbookViewId="0">
      <selection activeCell="P136" sqref="P136"/>
    </sheetView>
  </sheetViews>
  <sheetFormatPr baseColWidth="10" defaultColWidth="11.1640625" defaultRowHeight="15" x14ac:dyDescent="0"/>
  <sheetData>
    <row r="1" spans="1:15">
      <c r="A1" s="15" t="s">
        <v>65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N1" s="15" t="s">
        <v>137</v>
      </c>
      <c r="O1" s="15"/>
    </row>
    <row r="2" spans="1:15">
      <c r="A2" s="21" t="s">
        <v>116</v>
      </c>
      <c r="B2" s="14">
        <v>27694</v>
      </c>
      <c r="C2" s="14">
        <v>31143</v>
      </c>
      <c r="D2" s="14">
        <v>32388</v>
      </c>
      <c r="E2" s="14">
        <v>30182</v>
      </c>
      <c r="F2" s="14">
        <v>31715</v>
      </c>
      <c r="G2" s="14">
        <v>29881</v>
      </c>
      <c r="H2" s="14">
        <v>25429</v>
      </c>
      <c r="I2" s="14">
        <v>23683</v>
      </c>
      <c r="J2" s="14">
        <v>20676</v>
      </c>
      <c r="K2" s="14">
        <v>18258</v>
      </c>
      <c r="N2" s="21" t="s">
        <v>116</v>
      </c>
      <c r="O2" s="14">
        <v>17531</v>
      </c>
    </row>
    <row r="3" spans="1:15">
      <c r="A3" s="21" t="s">
        <v>115</v>
      </c>
      <c r="B3" s="14">
        <v>23684</v>
      </c>
      <c r="C3" s="14">
        <v>28389</v>
      </c>
      <c r="D3" s="14">
        <v>29620</v>
      </c>
      <c r="E3" s="14">
        <v>29095</v>
      </c>
      <c r="F3" s="14">
        <v>29900</v>
      </c>
      <c r="G3" s="14">
        <v>27180</v>
      </c>
      <c r="H3" s="14">
        <v>22742</v>
      </c>
      <c r="I3" s="14">
        <v>20966</v>
      </c>
      <c r="J3" s="14">
        <v>18820</v>
      </c>
      <c r="K3" s="14">
        <v>17247</v>
      </c>
      <c r="N3" s="21" t="s">
        <v>115</v>
      </c>
      <c r="O3" s="14">
        <v>16497</v>
      </c>
    </row>
    <row r="4" spans="1:15">
      <c r="A4" s="21" t="s">
        <v>117</v>
      </c>
      <c r="B4" s="14">
        <v>12533</v>
      </c>
      <c r="C4" s="14">
        <v>14195</v>
      </c>
      <c r="D4" s="14">
        <v>15521</v>
      </c>
      <c r="E4" s="14">
        <v>15545</v>
      </c>
      <c r="F4" s="14">
        <v>15466</v>
      </c>
      <c r="G4" s="14">
        <v>14580</v>
      </c>
      <c r="H4" s="14">
        <v>13362</v>
      </c>
      <c r="I4" s="14">
        <v>12306</v>
      </c>
      <c r="J4" s="14">
        <v>11050</v>
      </c>
      <c r="K4" s="14">
        <v>9276</v>
      </c>
      <c r="N4" s="21" t="s">
        <v>117</v>
      </c>
      <c r="O4" s="14">
        <v>8957</v>
      </c>
    </row>
    <row r="5" spans="1:15">
      <c r="A5" s="21" t="s">
        <v>69</v>
      </c>
      <c r="B5" s="14"/>
      <c r="C5" s="14"/>
      <c r="D5" s="14"/>
      <c r="E5" s="14"/>
      <c r="F5" s="14"/>
      <c r="G5" s="14"/>
      <c r="H5" s="14">
        <v>5972</v>
      </c>
      <c r="I5" s="14">
        <v>6188</v>
      </c>
      <c r="J5" s="14">
        <v>6240</v>
      </c>
      <c r="K5" s="14">
        <v>7203</v>
      </c>
      <c r="N5" s="21" t="s">
        <v>69</v>
      </c>
      <c r="O5" s="14">
        <v>7484</v>
      </c>
    </row>
    <row r="6" spans="1:15">
      <c r="A6" s="21" t="s">
        <v>119</v>
      </c>
      <c r="B6" s="14">
        <v>6432</v>
      </c>
      <c r="C6" s="14">
        <v>6748</v>
      </c>
      <c r="D6" s="14">
        <v>7077</v>
      </c>
      <c r="E6" s="14">
        <v>6217</v>
      </c>
      <c r="F6" s="14">
        <v>6791</v>
      </c>
      <c r="G6" s="14">
        <v>6245</v>
      </c>
      <c r="H6" s="14">
        <v>5706</v>
      </c>
      <c r="I6" s="14">
        <v>4811</v>
      </c>
      <c r="J6" s="14">
        <v>4313</v>
      </c>
      <c r="K6" s="14">
        <v>4056</v>
      </c>
      <c r="N6" s="21" t="s">
        <v>119</v>
      </c>
      <c r="O6" s="14">
        <v>3570</v>
      </c>
    </row>
    <row r="7" spans="1:15">
      <c r="A7" s="21" t="s">
        <v>124</v>
      </c>
      <c r="B7" s="14">
        <v>2915</v>
      </c>
      <c r="C7" s="14">
        <v>3464</v>
      </c>
      <c r="D7" s="14">
        <v>3697</v>
      </c>
      <c r="E7" s="14">
        <v>3874</v>
      </c>
      <c r="F7" s="14">
        <v>3704</v>
      </c>
      <c r="G7" s="14">
        <v>3526</v>
      </c>
      <c r="H7" s="14">
        <v>3321</v>
      </c>
      <c r="I7" s="14">
        <v>2810</v>
      </c>
      <c r="J7" s="14">
        <v>2791</v>
      </c>
      <c r="K7" s="14">
        <v>2970</v>
      </c>
      <c r="N7" s="21" t="s">
        <v>124</v>
      </c>
      <c r="O7" s="14">
        <v>2697</v>
      </c>
    </row>
    <row r="8" spans="1:15">
      <c r="A8" s="21" t="s">
        <v>121</v>
      </c>
      <c r="B8" s="14">
        <v>5105</v>
      </c>
      <c r="C8" s="14">
        <v>4905</v>
      </c>
      <c r="D8" s="14">
        <v>4452</v>
      </c>
      <c r="E8" s="14">
        <v>4263</v>
      </c>
      <c r="F8" s="14">
        <v>4479</v>
      </c>
      <c r="G8" s="14">
        <v>3977</v>
      </c>
      <c r="H8" s="14">
        <v>3480</v>
      </c>
      <c r="I8" s="14">
        <v>2891</v>
      </c>
      <c r="J8" s="14">
        <v>2489</v>
      </c>
      <c r="K8" s="14">
        <v>2164</v>
      </c>
      <c r="N8" s="21" t="s">
        <v>121</v>
      </c>
      <c r="O8" s="14">
        <v>2173</v>
      </c>
    </row>
    <row r="9" spans="1:15">
      <c r="A9" s="21" t="s">
        <v>58</v>
      </c>
      <c r="B9" s="14">
        <v>8078</v>
      </c>
      <c r="C9" s="14">
        <v>9555</v>
      </c>
      <c r="D9" s="14">
        <v>9319</v>
      </c>
      <c r="E9" s="14">
        <v>7766</v>
      </c>
      <c r="F9" s="14">
        <v>6680</v>
      </c>
      <c r="G9" s="14">
        <v>5603</v>
      </c>
      <c r="H9" s="14">
        <v>2717</v>
      </c>
      <c r="I9" s="14">
        <v>2224</v>
      </c>
      <c r="J9" s="14">
        <v>1852</v>
      </c>
      <c r="K9" s="14">
        <v>1735</v>
      </c>
      <c r="N9" s="21" t="s">
        <v>58</v>
      </c>
      <c r="O9" s="14">
        <v>1617</v>
      </c>
    </row>
    <row r="10" spans="1:15">
      <c r="A10" s="21" t="s">
        <v>118</v>
      </c>
      <c r="B10" s="14">
        <v>2774</v>
      </c>
      <c r="C10" s="14">
        <v>3051</v>
      </c>
      <c r="D10" s="14">
        <v>3085</v>
      </c>
      <c r="E10" s="14">
        <v>2778</v>
      </c>
      <c r="F10" s="14">
        <v>2576</v>
      </c>
      <c r="G10" s="14">
        <v>2238</v>
      </c>
      <c r="H10" s="14">
        <v>1984</v>
      </c>
      <c r="I10" s="14">
        <v>1856</v>
      </c>
      <c r="J10" s="14">
        <v>1854</v>
      </c>
      <c r="K10" s="14">
        <v>1585</v>
      </c>
      <c r="N10" s="21" t="s">
        <v>118</v>
      </c>
      <c r="O10" s="14">
        <v>1588</v>
      </c>
    </row>
    <row r="11" spans="1:15">
      <c r="A11" s="21" t="s">
        <v>70</v>
      </c>
      <c r="B11" s="14"/>
      <c r="C11" s="14"/>
      <c r="D11" s="14"/>
      <c r="E11" s="14">
        <v>126</v>
      </c>
      <c r="F11" s="14">
        <v>1347</v>
      </c>
      <c r="G11" s="14">
        <v>1664</v>
      </c>
      <c r="H11" s="14">
        <v>1449</v>
      </c>
      <c r="I11" s="14">
        <v>1201</v>
      </c>
      <c r="J11" s="14">
        <v>1119</v>
      </c>
      <c r="K11" s="14">
        <v>1111</v>
      </c>
      <c r="N11" s="21" t="s">
        <v>70</v>
      </c>
      <c r="O11" s="14">
        <v>1130</v>
      </c>
    </row>
    <row r="12" spans="1:15">
      <c r="A12" s="21" t="s">
        <v>120</v>
      </c>
      <c r="B12" s="14">
        <v>2327</v>
      </c>
      <c r="C12" s="14">
        <v>2352</v>
      </c>
      <c r="D12" s="14">
        <v>2155</v>
      </c>
      <c r="E12" s="14">
        <v>2106</v>
      </c>
      <c r="F12" s="14">
        <v>1960</v>
      </c>
      <c r="G12" s="14">
        <v>1615</v>
      </c>
      <c r="H12" s="14">
        <v>1486</v>
      </c>
      <c r="I12" s="14">
        <v>1241</v>
      </c>
      <c r="J12" s="14">
        <v>1098</v>
      </c>
      <c r="K12" s="14">
        <v>1054</v>
      </c>
      <c r="N12" s="21" t="s">
        <v>120</v>
      </c>
      <c r="O12" s="14">
        <v>1009</v>
      </c>
    </row>
    <row r="13" spans="1:15">
      <c r="A13" s="21" t="s">
        <v>122</v>
      </c>
      <c r="B13" s="14">
        <v>2230</v>
      </c>
      <c r="C13" s="14">
        <v>2087</v>
      </c>
      <c r="D13" s="14">
        <v>2013</v>
      </c>
      <c r="E13" s="14">
        <v>2353</v>
      </c>
      <c r="F13" s="14">
        <v>2383</v>
      </c>
      <c r="G13" s="14">
        <v>2177</v>
      </c>
      <c r="H13" s="14">
        <v>1732</v>
      </c>
      <c r="I13" s="14">
        <v>1419</v>
      </c>
      <c r="J13" s="14">
        <v>1130</v>
      </c>
      <c r="K13" s="14">
        <v>1072</v>
      </c>
      <c r="N13" s="21" t="s">
        <v>122</v>
      </c>
      <c r="O13" s="14">
        <v>916</v>
      </c>
    </row>
    <row r="14" spans="1:15">
      <c r="A14" s="21" t="s">
        <v>123</v>
      </c>
      <c r="B14" s="14">
        <v>80</v>
      </c>
      <c r="C14" s="14">
        <v>42</v>
      </c>
      <c r="D14" s="14">
        <v>55</v>
      </c>
      <c r="E14" s="14">
        <v>66</v>
      </c>
      <c r="F14" s="14">
        <v>77</v>
      </c>
      <c r="G14" s="14">
        <v>52</v>
      </c>
      <c r="H14" s="14">
        <v>47</v>
      </c>
      <c r="I14" s="14">
        <v>34</v>
      </c>
      <c r="J14" s="14">
        <v>41</v>
      </c>
      <c r="K14" s="14">
        <v>19</v>
      </c>
      <c r="N14" s="21" t="s">
        <v>123</v>
      </c>
      <c r="O14" s="14">
        <v>38</v>
      </c>
    </row>
    <row r="15" spans="1:15">
      <c r="A15" s="21" t="s">
        <v>71</v>
      </c>
      <c r="B15" s="14"/>
      <c r="C15" s="14"/>
      <c r="D15" s="14"/>
      <c r="E15" s="14"/>
      <c r="F15" s="14"/>
      <c r="G15" s="14"/>
      <c r="H15" s="14">
        <v>28</v>
      </c>
      <c r="I15" s="14">
        <v>19</v>
      </c>
      <c r="J15" s="14">
        <v>11</v>
      </c>
      <c r="K15" s="14">
        <v>9</v>
      </c>
      <c r="N15" s="21" t="s">
        <v>71</v>
      </c>
      <c r="O15" s="14">
        <v>18</v>
      </c>
    </row>
    <row r="17" spans="1:12">
      <c r="A17" t="s">
        <v>1</v>
      </c>
      <c r="B17" s="16">
        <v>2000</v>
      </c>
      <c r="C17" s="16">
        <v>2001</v>
      </c>
      <c r="D17" s="16">
        <v>2002</v>
      </c>
      <c r="E17" s="16">
        <v>2003</v>
      </c>
      <c r="F17" s="16">
        <v>2004</v>
      </c>
      <c r="G17" s="16">
        <v>2005</v>
      </c>
      <c r="H17" s="16">
        <v>2006</v>
      </c>
      <c r="I17" s="16">
        <v>2007</v>
      </c>
      <c r="J17" s="16">
        <v>2008</v>
      </c>
      <c r="K17" s="16">
        <v>2009</v>
      </c>
      <c r="L17" s="16">
        <v>2010</v>
      </c>
    </row>
    <row r="18" spans="1:12" ht="16">
      <c r="A18" s="2" t="s">
        <v>116</v>
      </c>
      <c r="B18">
        <v>128520</v>
      </c>
      <c r="C18" s="13">
        <v>157023</v>
      </c>
      <c r="D18" s="13">
        <v>158416</v>
      </c>
      <c r="E18" s="13">
        <v>133690</v>
      </c>
      <c r="F18" s="13">
        <v>123577</v>
      </c>
      <c r="G18" s="13">
        <v>118997</v>
      </c>
      <c r="H18">
        <v>102504</v>
      </c>
      <c r="I18">
        <v>92315</v>
      </c>
      <c r="J18">
        <v>72436</v>
      </c>
      <c r="K18">
        <v>60580</v>
      </c>
      <c r="L18">
        <v>54491</v>
      </c>
    </row>
    <row r="19" spans="1:12" ht="16">
      <c r="A19" s="2" t="s">
        <v>115</v>
      </c>
      <c r="B19">
        <v>212292</v>
      </c>
      <c r="C19" s="13">
        <v>255918</v>
      </c>
      <c r="D19" s="13">
        <v>258846</v>
      </c>
      <c r="E19" s="13">
        <v>228589</v>
      </c>
      <c r="F19" s="13">
        <v>196798</v>
      </c>
      <c r="G19" s="13">
        <v>177844</v>
      </c>
      <c r="H19">
        <v>140075</v>
      </c>
      <c r="I19">
        <v>120547</v>
      </c>
      <c r="J19">
        <v>97742</v>
      </c>
      <c r="K19">
        <v>88892</v>
      </c>
      <c r="L19">
        <v>81862</v>
      </c>
    </row>
    <row r="20" spans="1:12" ht="16">
      <c r="A20" s="2" t="s">
        <v>117</v>
      </c>
      <c r="B20">
        <v>120038</v>
      </c>
      <c r="C20" s="13">
        <v>127279</v>
      </c>
      <c r="D20" s="13">
        <v>129655</v>
      </c>
      <c r="E20" s="13">
        <v>121130</v>
      </c>
      <c r="F20" s="13">
        <v>80014</v>
      </c>
      <c r="G20" s="13">
        <v>57977</v>
      </c>
      <c r="H20">
        <v>44859</v>
      </c>
      <c r="I20">
        <v>38064</v>
      </c>
      <c r="J20">
        <v>30680</v>
      </c>
      <c r="K20">
        <v>25033</v>
      </c>
      <c r="L20">
        <v>22273</v>
      </c>
    </row>
    <row r="21" spans="1:12">
      <c r="A21" t="s">
        <v>69</v>
      </c>
      <c r="B21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>
        <v>26018</v>
      </c>
      <c r="I21">
        <v>25282</v>
      </c>
      <c r="J21">
        <v>22917</v>
      </c>
      <c r="K21">
        <v>26278</v>
      </c>
      <c r="L21">
        <v>26422</v>
      </c>
    </row>
    <row r="22" spans="1:12" ht="16">
      <c r="A22" s="2" t="s">
        <v>119</v>
      </c>
      <c r="B22">
        <v>25526</v>
      </c>
      <c r="C22" s="13">
        <v>28385</v>
      </c>
      <c r="D22" s="13">
        <v>28297</v>
      </c>
      <c r="E22" s="13">
        <v>23963</v>
      </c>
      <c r="F22" s="13">
        <v>17192</v>
      </c>
      <c r="G22" s="13">
        <v>13371</v>
      </c>
      <c r="H22">
        <v>11087</v>
      </c>
      <c r="I22">
        <v>8889</v>
      </c>
      <c r="J22">
        <v>7087</v>
      </c>
      <c r="K22">
        <v>6361</v>
      </c>
      <c r="L22">
        <v>5440</v>
      </c>
    </row>
    <row r="23" spans="1:12" ht="16">
      <c r="A23" s="2" t="s">
        <v>124</v>
      </c>
      <c r="B23">
        <v>27537</v>
      </c>
      <c r="C23" s="13">
        <v>32235</v>
      </c>
      <c r="D23" s="13">
        <v>32472</v>
      </c>
      <c r="E23" s="13">
        <v>33697</v>
      </c>
      <c r="F23" s="13">
        <v>21298</v>
      </c>
      <c r="G23" s="13">
        <v>13431</v>
      </c>
      <c r="H23">
        <v>10050</v>
      </c>
      <c r="I23">
        <v>7906</v>
      </c>
      <c r="J23">
        <v>6610</v>
      </c>
      <c r="K23">
        <v>6551</v>
      </c>
      <c r="L23">
        <v>5993</v>
      </c>
    </row>
    <row r="24" spans="1:12" ht="16">
      <c r="A24" s="2" t="s">
        <v>121</v>
      </c>
      <c r="B24">
        <v>7978</v>
      </c>
      <c r="C24" s="13">
        <v>8002</v>
      </c>
      <c r="D24" s="13">
        <v>7422</v>
      </c>
      <c r="E24" s="13">
        <v>6705</v>
      </c>
      <c r="F24" s="13">
        <v>7568</v>
      </c>
      <c r="G24" s="13">
        <v>7401</v>
      </c>
      <c r="H24">
        <v>5390</v>
      </c>
      <c r="I24">
        <v>4472</v>
      </c>
      <c r="J24">
        <v>3764</v>
      </c>
      <c r="K24">
        <v>3166</v>
      </c>
      <c r="L24">
        <v>3174</v>
      </c>
    </row>
    <row r="25" spans="1:12">
      <c r="A25" t="s">
        <v>58</v>
      </c>
      <c r="B25">
        <v>35898</v>
      </c>
      <c r="C25" s="13">
        <v>83645</v>
      </c>
      <c r="D25" s="13">
        <v>99967</v>
      </c>
      <c r="E25" s="13">
        <v>70806</v>
      </c>
      <c r="F25" s="13">
        <v>29801</v>
      </c>
      <c r="G25" s="13">
        <v>25231</v>
      </c>
      <c r="H25">
        <v>10447</v>
      </c>
      <c r="I25">
        <v>7730</v>
      </c>
      <c r="J25">
        <v>6063</v>
      </c>
      <c r="K25">
        <v>5447</v>
      </c>
      <c r="L25">
        <v>4805</v>
      </c>
    </row>
    <row r="26" spans="1:12" ht="16">
      <c r="A26" s="2" t="s">
        <v>118</v>
      </c>
      <c r="B26">
        <v>31078</v>
      </c>
      <c r="C26" s="13">
        <v>33141</v>
      </c>
      <c r="D26" s="13">
        <v>32317</v>
      </c>
      <c r="E26" s="13">
        <v>25955</v>
      </c>
      <c r="F26" s="13">
        <v>20607</v>
      </c>
      <c r="G26" s="13">
        <v>17502</v>
      </c>
      <c r="H26">
        <v>13334</v>
      </c>
      <c r="I26">
        <v>10448</v>
      </c>
      <c r="J26">
        <v>8627</v>
      </c>
      <c r="K26">
        <v>7528</v>
      </c>
      <c r="L26">
        <v>6948</v>
      </c>
    </row>
    <row r="27" spans="1:12">
      <c r="A27" t="s">
        <v>70</v>
      </c>
      <c r="B27">
        <v>0</v>
      </c>
      <c r="C27" s="13">
        <v>0</v>
      </c>
      <c r="D27" s="13">
        <v>0</v>
      </c>
      <c r="E27" s="13">
        <v>906</v>
      </c>
      <c r="F27" s="13">
        <v>4414</v>
      </c>
      <c r="G27" s="13">
        <v>4398</v>
      </c>
      <c r="H27">
        <v>3318</v>
      </c>
      <c r="I27">
        <v>2617</v>
      </c>
      <c r="J27">
        <v>2328</v>
      </c>
      <c r="K27">
        <v>2165</v>
      </c>
      <c r="L27">
        <v>2355</v>
      </c>
    </row>
    <row r="28" spans="1:12" ht="16">
      <c r="A28" s="2" t="s">
        <v>120</v>
      </c>
      <c r="B28">
        <v>23645</v>
      </c>
      <c r="C28" s="13">
        <v>24761</v>
      </c>
      <c r="D28" s="13">
        <v>21571</v>
      </c>
      <c r="E28" s="13">
        <v>17619</v>
      </c>
      <c r="F28" s="13">
        <v>13080</v>
      </c>
      <c r="G28" s="13">
        <v>11106</v>
      </c>
      <c r="H28">
        <v>9162</v>
      </c>
      <c r="I28">
        <v>7039</v>
      </c>
      <c r="J28">
        <v>5586</v>
      </c>
      <c r="K28">
        <v>5126</v>
      </c>
      <c r="L28">
        <v>4696</v>
      </c>
    </row>
    <row r="29" spans="1:12" ht="16">
      <c r="A29" s="2" t="s">
        <v>122</v>
      </c>
      <c r="B29">
        <v>4119</v>
      </c>
      <c r="C29" s="13">
        <v>4152</v>
      </c>
      <c r="D29" s="13">
        <v>3866</v>
      </c>
      <c r="E29" s="13">
        <v>4148</v>
      </c>
      <c r="F29" s="13">
        <v>3303</v>
      </c>
      <c r="G29" s="13">
        <v>2761</v>
      </c>
      <c r="H29">
        <v>2175</v>
      </c>
      <c r="I29">
        <v>1678</v>
      </c>
      <c r="J29">
        <v>1207</v>
      </c>
      <c r="K29">
        <v>1107</v>
      </c>
      <c r="L29">
        <v>956</v>
      </c>
    </row>
    <row r="30" spans="1:12" ht="16">
      <c r="A30" s="2" t="s">
        <v>123</v>
      </c>
      <c r="B30">
        <v>338</v>
      </c>
      <c r="C30" s="13">
        <v>377</v>
      </c>
      <c r="D30" s="13">
        <v>309</v>
      </c>
      <c r="E30" s="13">
        <v>298</v>
      </c>
      <c r="F30" s="13">
        <v>238</v>
      </c>
      <c r="G30" s="13">
        <v>235</v>
      </c>
      <c r="H30">
        <v>218</v>
      </c>
      <c r="I30">
        <v>144</v>
      </c>
      <c r="J30">
        <v>87</v>
      </c>
      <c r="K30">
        <v>56</v>
      </c>
      <c r="L30">
        <v>53</v>
      </c>
    </row>
    <row r="31" spans="1:12">
      <c r="A31" t="s">
        <v>71</v>
      </c>
      <c r="B31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>
        <v>144</v>
      </c>
      <c r="I31">
        <v>78</v>
      </c>
      <c r="J31">
        <v>70</v>
      </c>
      <c r="K31">
        <v>61</v>
      </c>
      <c r="L31">
        <v>53</v>
      </c>
    </row>
    <row r="32" spans="1:12" ht="16">
      <c r="A32" s="2" t="s">
        <v>1</v>
      </c>
      <c r="B32">
        <f>SUM(B18:B31)</f>
        <v>616969</v>
      </c>
      <c r="C32">
        <f t="shared" ref="C32:L32" si="0">SUM(C18:C31)</f>
        <v>754918</v>
      </c>
      <c r="D32">
        <f t="shared" si="0"/>
        <v>773138</v>
      </c>
      <c r="E32">
        <f t="shared" si="0"/>
        <v>667506</v>
      </c>
      <c r="F32">
        <f t="shared" si="0"/>
        <v>517890</v>
      </c>
      <c r="G32">
        <f t="shared" si="0"/>
        <v>450254</v>
      </c>
      <c r="H32">
        <f t="shared" si="0"/>
        <v>378781</v>
      </c>
      <c r="I32">
        <f t="shared" si="0"/>
        <v>327209</v>
      </c>
      <c r="J32">
        <f t="shared" si="0"/>
        <v>265204</v>
      </c>
      <c r="K32">
        <f t="shared" si="0"/>
        <v>238351</v>
      </c>
      <c r="L32">
        <f t="shared" si="0"/>
        <v>219521</v>
      </c>
    </row>
    <row r="34" spans="1:12">
      <c r="A34" s="16" t="s">
        <v>68</v>
      </c>
      <c r="B34" s="16">
        <v>616969</v>
      </c>
      <c r="C34" s="16">
        <v>754918</v>
      </c>
      <c r="D34" s="16">
        <v>773138</v>
      </c>
      <c r="E34" s="16">
        <v>667506</v>
      </c>
      <c r="F34" s="16">
        <v>517890</v>
      </c>
      <c r="G34" s="16">
        <v>450254</v>
      </c>
      <c r="H34" s="16">
        <v>378781</v>
      </c>
      <c r="I34" s="16">
        <v>327209</v>
      </c>
      <c r="J34" s="16">
        <v>265204</v>
      </c>
      <c r="K34" s="16">
        <v>238351</v>
      </c>
      <c r="L34" s="16">
        <v>219521</v>
      </c>
    </row>
    <row r="36" spans="1:12" ht="16">
      <c r="A36" s="2" t="s">
        <v>113</v>
      </c>
      <c r="B36">
        <v>2000</v>
      </c>
      <c r="C36">
        <v>2001</v>
      </c>
      <c r="D36">
        <v>2002</v>
      </c>
      <c r="E36">
        <v>2003</v>
      </c>
      <c r="F36">
        <v>2004</v>
      </c>
      <c r="G36">
        <v>2005</v>
      </c>
      <c r="H36">
        <v>2006</v>
      </c>
      <c r="I36">
        <v>2007</v>
      </c>
      <c r="J36">
        <v>2008</v>
      </c>
      <c r="K36">
        <v>2009</v>
      </c>
      <c r="L36">
        <v>2010</v>
      </c>
    </row>
    <row r="37" spans="1:12" ht="16">
      <c r="A37" s="2" t="s">
        <v>116</v>
      </c>
      <c r="B37">
        <v>110203</v>
      </c>
      <c r="C37">
        <v>144272</v>
      </c>
      <c r="D37">
        <v>149905</v>
      </c>
      <c r="E37">
        <v>128357</v>
      </c>
      <c r="F37">
        <v>128447</v>
      </c>
      <c r="G37">
        <v>127832</v>
      </c>
      <c r="H37">
        <v>120767</v>
      </c>
      <c r="I37">
        <v>111152</v>
      </c>
      <c r="J37">
        <v>86093</v>
      </c>
      <c r="K37">
        <v>73314</v>
      </c>
      <c r="L37">
        <v>65622</v>
      </c>
    </row>
    <row r="38" spans="1:12" ht="16">
      <c r="A38" s="2" t="s">
        <v>115</v>
      </c>
      <c r="B38">
        <v>141974</v>
      </c>
      <c r="C38">
        <v>195478</v>
      </c>
      <c r="D38">
        <v>206169</v>
      </c>
      <c r="E38">
        <v>187118</v>
      </c>
      <c r="F38">
        <v>186683</v>
      </c>
      <c r="G38">
        <v>185242</v>
      </c>
      <c r="H38">
        <v>157192</v>
      </c>
      <c r="I38">
        <v>139601</v>
      </c>
      <c r="J38">
        <v>112881</v>
      </c>
      <c r="K38">
        <v>103788</v>
      </c>
      <c r="L38">
        <v>96285</v>
      </c>
    </row>
    <row r="39" spans="1:12" ht="16">
      <c r="A39" s="2" t="s">
        <v>117</v>
      </c>
      <c r="B39">
        <v>58127</v>
      </c>
      <c r="C39">
        <v>72464</v>
      </c>
      <c r="D39">
        <v>75655</v>
      </c>
      <c r="E39">
        <v>67758</v>
      </c>
      <c r="F39">
        <v>60490</v>
      </c>
      <c r="G39">
        <v>58827</v>
      </c>
      <c r="H39">
        <v>51253</v>
      </c>
      <c r="I39">
        <v>44380</v>
      </c>
      <c r="J39">
        <v>35261</v>
      </c>
      <c r="K39">
        <v>29370</v>
      </c>
      <c r="L39">
        <v>26686</v>
      </c>
    </row>
    <row r="40" spans="1:12">
      <c r="A40" t="s">
        <v>69</v>
      </c>
      <c r="H40">
        <v>25755</v>
      </c>
      <c r="I40">
        <v>24854</v>
      </c>
      <c r="J40">
        <v>21967</v>
      </c>
      <c r="K40">
        <v>24606</v>
      </c>
      <c r="L40">
        <v>24855</v>
      </c>
    </row>
    <row r="41" spans="1:12" ht="16">
      <c r="A41" s="2" t="s">
        <v>119</v>
      </c>
      <c r="B41">
        <v>26654</v>
      </c>
      <c r="C41">
        <v>31150</v>
      </c>
      <c r="D41">
        <v>30296</v>
      </c>
      <c r="E41">
        <v>25027</v>
      </c>
      <c r="F41">
        <v>22681</v>
      </c>
      <c r="G41">
        <v>20221</v>
      </c>
      <c r="H41">
        <v>19198</v>
      </c>
      <c r="I41">
        <v>15159</v>
      </c>
      <c r="J41">
        <v>12001</v>
      </c>
      <c r="K41">
        <v>9988</v>
      </c>
      <c r="L41">
        <v>9013</v>
      </c>
    </row>
    <row r="42" spans="1:12" ht="16">
      <c r="A42" s="2" t="s">
        <v>124</v>
      </c>
      <c r="B42">
        <v>11343</v>
      </c>
      <c r="C42">
        <v>14373</v>
      </c>
      <c r="D42">
        <v>14445</v>
      </c>
      <c r="E42">
        <v>14295</v>
      </c>
      <c r="F42">
        <v>12250</v>
      </c>
      <c r="G42">
        <v>10645</v>
      </c>
      <c r="H42">
        <v>10349</v>
      </c>
      <c r="I42">
        <v>8463</v>
      </c>
      <c r="J42">
        <v>7149</v>
      </c>
      <c r="K42">
        <v>7275</v>
      </c>
      <c r="L42">
        <v>6618</v>
      </c>
    </row>
    <row r="43" spans="1:12" ht="16">
      <c r="A43" s="2" t="s">
        <v>121</v>
      </c>
      <c r="B43">
        <v>3473</v>
      </c>
      <c r="C43">
        <v>3716</v>
      </c>
      <c r="D43">
        <v>3485</v>
      </c>
      <c r="E43">
        <v>3150</v>
      </c>
      <c r="F43">
        <v>4027</v>
      </c>
      <c r="G43">
        <v>4054</v>
      </c>
      <c r="H43">
        <v>2710</v>
      </c>
      <c r="I43">
        <v>2335</v>
      </c>
      <c r="J43">
        <v>1836</v>
      </c>
      <c r="K43">
        <v>1448</v>
      </c>
      <c r="L43">
        <v>1690</v>
      </c>
    </row>
    <row r="44" spans="1:12">
      <c r="A44" t="s">
        <v>58</v>
      </c>
      <c r="B44">
        <v>25236</v>
      </c>
      <c r="C44">
        <v>34265</v>
      </c>
      <c r="D44">
        <v>35186</v>
      </c>
      <c r="E44">
        <v>27805</v>
      </c>
      <c r="F44">
        <v>25875</v>
      </c>
      <c r="G44">
        <v>24264</v>
      </c>
      <c r="H44">
        <v>10811</v>
      </c>
      <c r="I44">
        <v>7921</v>
      </c>
      <c r="J44">
        <v>6782</v>
      </c>
      <c r="K44">
        <v>5753</v>
      </c>
      <c r="L44">
        <v>5145</v>
      </c>
    </row>
    <row r="45" spans="1:12" ht="16">
      <c r="A45" s="2" t="s">
        <v>118</v>
      </c>
      <c r="B45">
        <v>19129</v>
      </c>
      <c r="C45">
        <v>24045</v>
      </c>
      <c r="D45">
        <v>23270</v>
      </c>
      <c r="E45">
        <v>18817</v>
      </c>
      <c r="F45">
        <v>17738</v>
      </c>
      <c r="G45">
        <v>17352</v>
      </c>
      <c r="H45">
        <v>14228</v>
      </c>
      <c r="I45">
        <v>11377</v>
      </c>
      <c r="J45">
        <v>9133</v>
      </c>
      <c r="K45">
        <v>8311</v>
      </c>
      <c r="L45">
        <v>7736</v>
      </c>
    </row>
    <row r="46" spans="1:12">
      <c r="A46" t="s">
        <v>70</v>
      </c>
      <c r="E46">
        <v>473</v>
      </c>
      <c r="F46">
        <v>3730</v>
      </c>
      <c r="G46">
        <v>4280</v>
      </c>
      <c r="H46">
        <v>3526</v>
      </c>
      <c r="I46">
        <v>2881</v>
      </c>
      <c r="J46">
        <v>2588</v>
      </c>
      <c r="K46">
        <v>2428</v>
      </c>
      <c r="L46">
        <v>2716</v>
      </c>
    </row>
    <row r="47" spans="1:12" ht="16">
      <c r="A47" s="2" t="s">
        <v>120</v>
      </c>
      <c r="B47">
        <v>17078</v>
      </c>
      <c r="C47">
        <v>21149</v>
      </c>
      <c r="D47">
        <v>18605</v>
      </c>
      <c r="E47">
        <v>15644</v>
      </c>
      <c r="F47">
        <v>13646</v>
      </c>
      <c r="G47">
        <v>12608</v>
      </c>
      <c r="H47">
        <v>11510</v>
      </c>
      <c r="I47">
        <v>9399</v>
      </c>
      <c r="J47">
        <v>7160</v>
      </c>
      <c r="K47">
        <v>6913</v>
      </c>
      <c r="L47">
        <v>6149</v>
      </c>
    </row>
    <row r="48" spans="1:12" ht="16">
      <c r="A48" s="2" t="s">
        <v>122</v>
      </c>
      <c r="B48">
        <v>5337</v>
      </c>
      <c r="C48">
        <v>5410</v>
      </c>
      <c r="D48">
        <v>4946</v>
      </c>
      <c r="E48">
        <v>5608</v>
      </c>
      <c r="F48">
        <v>5200</v>
      </c>
      <c r="G48">
        <v>4464</v>
      </c>
      <c r="H48">
        <v>3633</v>
      </c>
      <c r="I48">
        <v>2781</v>
      </c>
      <c r="J48">
        <v>1969</v>
      </c>
      <c r="K48">
        <v>1860</v>
      </c>
      <c r="L48">
        <v>1471</v>
      </c>
    </row>
    <row r="49" spans="1:12" ht="16">
      <c r="A49" s="2" t="s">
        <v>123</v>
      </c>
      <c r="B49">
        <v>165</v>
      </c>
      <c r="C49">
        <v>164</v>
      </c>
      <c r="D49">
        <v>112</v>
      </c>
      <c r="E49">
        <v>122</v>
      </c>
      <c r="F49">
        <v>98</v>
      </c>
      <c r="G49">
        <v>122</v>
      </c>
      <c r="H49">
        <v>81</v>
      </c>
      <c r="I49">
        <v>68</v>
      </c>
      <c r="J49">
        <v>45</v>
      </c>
      <c r="K49">
        <v>19</v>
      </c>
      <c r="L49">
        <v>36</v>
      </c>
    </row>
    <row r="50" spans="1:12">
      <c r="A50" t="s">
        <v>71</v>
      </c>
      <c r="H50">
        <v>126</v>
      </c>
      <c r="I50">
        <v>71</v>
      </c>
      <c r="J50">
        <v>54</v>
      </c>
      <c r="K50">
        <v>52</v>
      </c>
      <c r="L50">
        <v>53</v>
      </c>
    </row>
    <row r="51" spans="1:12" ht="16">
      <c r="A51" s="2" t="s">
        <v>125</v>
      </c>
      <c r="B51">
        <f>SUM(B37:B50)</f>
        <v>418719</v>
      </c>
      <c r="C51">
        <f t="shared" ref="C51:L51" si="1">SUM(C37:C50)</f>
        <v>546486</v>
      </c>
      <c r="D51">
        <f t="shared" si="1"/>
        <v>562074</v>
      </c>
      <c r="E51">
        <f t="shared" si="1"/>
        <v>494174</v>
      </c>
      <c r="F51">
        <f t="shared" si="1"/>
        <v>480865</v>
      </c>
      <c r="G51">
        <f t="shared" si="1"/>
        <v>469911</v>
      </c>
      <c r="H51">
        <f t="shared" si="1"/>
        <v>431139</v>
      </c>
      <c r="I51">
        <f t="shared" si="1"/>
        <v>380442</v>
      </c>
      <c r="J51">
        <f t="shared" si="1"/>
        <v>304919</v>
      </c>
      <c r="K51">
        <f t="shared" si="1"/>
        <v>275125</v>
      </c>
      <c r="L51">
        <f t="shared" si="1"/>
        <v>254075</v>
      </c>
    </row>
    <row r="53" spans="1:12">
      <c r="A53" s="13" t="s">
        <v>3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</row>
    <row r="54" spans="1:12">
      <c r="A54" s="21" t="s">
        <v>116</v>
      </c>
      <c r="B54">
        <f>(B2+B37)/B18</f>
        <v>1.0729614067849362</v>
      </c>
      <c r="C54">
        <f t="shared" ref="C54:K54" si="2">(C2+C37)/C18</f>
        <v>1.1171293377403311</v>
      </c>
      <c r="D54">
        <f t="shared" si="2"/>
        <v>1.1507234117765883</v>
      </c>
      <c r="E54">
        <f t="shared" si="2"/>
        <v>1.1858702969556436</v>
      </c>
      <c r="F54">
        <f t="shared" si="2"/>
        <v>1.2960502358853185</v>
      </c>
      <c r="G54">
        <f t="shared" si="2"/>
        <v>1.3253527399850416</v>
      </c>
      <c r="H54">
        <f t="shared" si="2"/>
        <v>1.4262467806134396</v>
      </c>
      <c r="I54">
        <f t="shared" si="2"/>
        <v>1.4605968694145046</v>
      </c>
      <c r="J54">
        <f t="shared" si="2"/>
        <v>1.4739770279971285</v>
      </c>
      <c r="K54">
        <f t="shared" si="2"/>
        <v>1.511587982832618</v>
      </c>
      <c r="L54">
        <f t="shared" ref="L54:L67" si="3">(O2+L37)/L18</f>
        <v>1.5259951184599292</v>
      </c>
    </row>
    <row r="55" spans="1:12">
      <c r="A55" s="21" t="s">
        <v>115</v>
      </c>
      <c r="B55">
        <f t="shared" ref="B55:K67" si="4">(B3+B38)/B19</f>
        <v>0.78033086503495186</v>
      </c>
      <c r="C55">
        <f t="shared" si="4"/>
        <v>0.87476066552567622</v>
      </c>
      <c r="D55">
        <f t="shared" si="4"/>
        <v>0.91092386979130446</v>
      </c>
      <c r="E55">
        <f t="shared" si="4"/>
        <v>0.94585916207691534</v>
      </c>
      <c r="F55">
        <f t="shared" si="4"/>
        <v>1.1005345582780313</v>
      </c>
      <c r="G55">
        <f t="shared" si="4"/>
        <v>1.1944288252625896</v>
      </c>
      <c r="H55">
        <f t="shared" si="4"/>
        <v>1.2845547028377655</v>
      </c>
      <c r="I55">
        <f t="shared" si="4"/>
        <v>1.3319866939865779</v>
      </c>
      <c r="J55">
        <f t="shared" si="4"/>
        <v>1.3474350842012646</v>
      </c>
      <c r="K55">
        <f t="shared" si="4"/>
        <v>1.3615960941367051</v>
      </c>
      <c r="L55">
        <f t="shared" si="3"/>
        <v>1.3777088270504019</v>
      </c>
    </row>
    <row r="56" spans="1:12">
      <c r="A56" s="21" t="s">
        <v>117</v>
      </c>
      <c r="B56">
        <f t="shared" si="4"/>
        <v>0.58864692847265032</v>
      </c>
      <c r="C56">
        <f t="shared" si="4"/>
        <v>0.68085858625539175</v>
      </c>
      <c r="D56">
        <f t="shared" si="4"/>
        <v>0.70322008406926073</v>
      </c>
      <c r="E56">
        <f t="shared" si="4"/>
        <v>0.68771567737141914</v>
      </c>
      <c r="F56">
        <f t="shared" si="4"/>
        <v>0.94928387532181868</v>
      </c>
      <c r="G56">
        <f t="shared" si="4"/>
        <v>1.2661400210428273</v>
      </c>
      <c r="H56">
        <f t="shared" si="4"/>
        <v>1.4404021489556165</v>
      </c>
      <c r="I56">
        <f t="shared" si="4"/>
        <v>1.4892286675073561</v>
      </c>
      <c r="J56">
        <f t="shared" si="4"/>
        <v>1.5094850065189047</v>
      </c>
      <c r="K56">
        <f t="shared" si="4"/>
        <v>1.5438021811209204</v>
      </c>
      <c r="L56">
        <f t="shared" si="3"/>
        <v>1.6002783639384008</v>
      </c>
    </row>
    <row r="57" spans="1:12">
      <c r="A57" s="21" t="s">
        <v>69</v>
      </c>
      <c r="H57">
        <f t="shared" si="4"/>
        <v>1.2194250134522253</v>
      </c>
      <c r="I57">
        <f t="shared" si="4"/>
        <v>1.2278300767344357</v>
      </c>
      <c r="J57">
        <f t="shared" si="4"/>
        <v>1.2308330060653663</v>
      </c>
      <c r="K57">
        <f t="shared" si="4"/>
        <v>1.2104802496384808</v>
      </c>
      <c r="L57">
        <f t="shared" si="3"/>
        <v>1.2239421694042842</v>
      </c>
    </row>
    <row r="58" spans="1:12">
      <c r="A58" s="21" t="s">
        <v>119</v>
      </c>
      <c r="B58">
        <f t="shared" si="4"/>
        <v>1.296168612395205</v>
      </c>
      <c r="C58">
        <f t="shared" si="4"/>
        <v>1.3351418002466091</v>
      </c>
      <c r="D58">
        <f t="shared" si="4"/>
        <v>1.3207407145633814</v>
      </c>
      <c r="E58">
        <f t="shared" si="4"/>
        <v>1.303843425280641</v>
      </c>
      <c r="F58">
        <f t="shared" si="4"/>
        <v>1.7142857142857142</v>
      </c>
      <c r="G58">
        <f t="shared" si="4"/>
        <v>1.9793583127664349</v>
      </c>
      <c r="H58">
        <f t="shared" si="4"/>
        <v>2.2462343284928292</v>
      </c>
      <c r="I58">
        <f t="shared" si="4"/>
        <v>2.2465969175385307</v>
      </c>
      <c r="J58">
        <f t="shared" si="4"/>
        <v>2.3019613376605053</v>
      </c>
      <c r="K58">
        <f t="shared" si="4"/>
        <v>2.2078289577110519</v>
      </c>
      <c r="L58">
        <f t="shared" si="3"/>
        <v>2.3130514705882352</v>
      </c>
    </row>
    <row r="59" spans="1:12">
      <c r="A59" s="21" t="s">
        <v>124</v>
      </c>
      <c r="B59">
        <f t="shared" si="4"/>
        <v>0.51777608308820855</v>
      </c>
      <c r="C59">
        <f t="shared" si="4"/>
        <v>0.55334263998759115</v>
      </c>
      <c r="D59">
        <f t="shared" si="4"/>
        <v>0.55869672333086973</v>
      </c>
      <c r="E59">
        <f t="shared" si="4"/>
        <v>0.5391874647594741</v>
      </c>
      <c r="F59">
        <f t="shared" si="4"/>
        <v>0.74908442107240114</v>
      </c>
      <c r="G59">
        <f t="shared" si="4"/>
        <v>1.0550964187327823</v>
      </c>
      <c r="H59">
        <f t="shared" si="4"/>
        <v>1.3601990049751245</v>
      </c>
      <c r="I59">
        <f t="shared" si="4"/>
        <v>1.4258790791803693</v>
      </c>
      <c r="J59">
        <f t="shared" si="4"/>
        <v>1.5037821482602118</v>
      </c>
      <c r="K59">
        <f t="shared" si="4"/>
        <v>1.5638833765837277</v>
      </c>
      <c r="L59">
        <f t="shared" si="3"/>
        <v>1.554313365593192</v>
      </c>
    </row>
    <row r="60" spans="1:12">
      <c r="A60" s="21" t="s">
        <v>121</v>
      </c>
      <c r="B60">
        <f t="shared" si="4"/>
        <v>1.0752068187515669</v>
      </c>
      <c r="C60">
        <f t="shared" si="4"/>
        <v>1.0773556610847288</v>
      </c>
      <c r="D60">
        <f t="shared" si="4"/>
        <v>1.0693883050390731</v>
      </c>
      <c r="E60">
        <f t="shared" si="4"/>
        <v>1.1055928411633109</v>
      </c>
      <c r="F60">
        <f t="shared" si="4"/>
        <v>1.1239429175475688</v>
      </c>
      <c r="G60">
        <f t="shared" si="4"/>
        <v>1.0851236319416295</v>
      </c>
      <c r="H60">
        <f t="shared" si="4"/>
        <v>1.1484230055658626</v>
      </c>
      <c r="I60">
        <f t="shared" si="4"/>
        <v>1.1686046511627908</v>
      </c>
      <c r="J60">
        <f t="shared" si="4"/>
        <v>1.1490435706695006</v>
      </c>
      <c r="K60">
        <f t="shared" si="4"/>
        <v>1.1408717624763107</v>
      </c>
      <c r="L60">
        <f t="shared" si="3"/>
        <v>1.2170762444864525</v>
      </c>
    </row>
    <row r="61" spans="1:12">
      <c r="A61" s="21" t="s">
        <v>58</v>
      </c>
      <c r="B61">
        <f t="shared" si="4"/>
        <v>0.92801827399855141</v>
      </c>
      <c r="C61">
        <f t="shared" si="4"/>
        <v>0.52388068623348671</v>
      </c>
      <c r="D61">
        <f t="shared" si="4"/>
        <v>0.44519691498194403</v>
      </c>
      <c r="E61">
        <f t="shared" si="4"/>
        <v>0.50237268028133208</v>
      </c>
      <c r="F61">
        <f t="shared" si="4"/>
        <v>1.0924130062749573</v>
      </c>
      <c r="G61">
        <f t="shared" si="4"/>
        <v>1.1837422218699218</v>
      </c>
      <c r="H61">
        <f t="shared" si="4"/>
        <v>1.2949172011103667</v>
      </c>
      <c r="I61">
        <f t="shared" si="4"/>
        <v>1.3124191461836998</v>
      </c>
      <c r="J61">
        <f t="shared" si="4"/>
        <v>1.4240475012370113</v>
      </c>
      <c r="K61">
        <f t="shared" si="4"/>
        <v>1.3747016706443913</v>
      </c>
      <c r="L61">
        <f t="shared" si="3"/>
        <v>1.4072840790842871</v>
      </c>
    </row>
    <row r="62" spans="1:12">
      <c r="A62" s="21" t="s">
        <v>118</v>
      </c>
      <c r="B62">
        <f t="shared" si="4"/>
        <v>0.7047750820516121</v>
      </c>
      <c r="C62">
        <f t="shared" si="4"/>
        <v>0.81759753779306599</v>
      </c>
      <c r="D62">
        <f t="shared" si="4"/>
        <v>0.81551505399634872</v>
      </c>
      <c r="E62">
        <f t="shared" si="4"/>
        <v>0.83201695241764595</v>
      </c>
      <c r="F62">
        <f t="shared" si="4"/>
        <v>0.9857815305478721</v>
      </c>
      <c r="G62">
        <f t="shared" si="4"/>
        <v>1.119300651354131</v>
      </c>
      <c r="H62">
        <f t="shared" si="4"/>
        <v>1.2158392080395981</v>
      </c>
      <c r="I62">
        <f t="shared" si="4"/>
        <v>1.2665581929555896</v>
      </c>
      <c r="J62">
        <f t="shared" si="4"/>
        <v>1.2735597542598818</v>
      </c>
      <c r="K62">
        <f t="shared" si="4"/>
        <v>1.3145589798087141</v>
      </c>
      <c r="L62">
        <f t="shared" si="3"/>
        <v>1.3419689119170986</v>
      </c>
    </row>
    <row r="63" spans="1:12">
      <c r="A63" s="21" t="s">
        <v>70</v>
      </c>
      <c r="E63">
        <f t="shared" si="4"/>
        <v>0.66114790286975722</v>
      </c>
      <c r="F63">
        <f t="shared" si="4"/>
        <v>1.1502038966923425</v>
      </c>
      <c r="G63">
        <f t="shared" si="4"/>
        <v>1.3515234197362438</v>
      </c>
      <c r="H63">
        <f t="shared" si="4"/>
        <v>1.4993972272453284</v>
      </c>
      <c r="I63">
        <f t="shared" si="4"/>
        <v>1.5598012991975545</v>
      </c>
      <c r="J63">
        <f t="shared" si="4"/>
        <v>1.5923539518900343</v>
      </c>
      <c r="K63">
        <f t="shared" si="4"/>
        <v>1.6346420323325634</v>
      </c>
      <c r="L63">
        <f t="shared" si="3"/>
        <v>1.6331210191082803</v>
      </c>
    </row>
    <row r="64" spans="1:12">
      <c r="A64" s="21" t="s">
        <v>120</v>
      </c>
      <c r="B64">
        <f t="shared" si="4"/>
        <v>0.82068090505392266</v>
      </c>
      <c r="C64">
        <f t="shared" si="4"/>
        <v>0.94911352530188609</v>
      </c>
      <c r="D64">
        <f t="shared" si="4"/>
        <v>0.96240322655416999</v>
      </c>
      <c r="E64">
        <f t="shared" si="4"/>
        <v>1.0074351552301493</v>
      </c>
      <c r="F64">
        <f t="shared" si="4"/>
        <v>1.1931192660550458</v>
      </c>
      <c r="G64">
        <f t="shared" si="4"/>
        <v>1.2806591031874663</v>
      </c>
      <c r="H64">
        <f t="shared" si="4"/>
        <v>1.418467583497053</v>
      </c>
      <c r="I64">
        <f t="shared" si="4"/>
        <v>1.5115783491973291</v>
      </c>
      <c r="J64">
        <f t="shared" si="4"/>
        <v>1.4783387039026137</v>
      </c>
      <c r="K64">
        <f t="shared" si="4"/>
        <v>1.554233320327741</v>
      </c>
      <c r="L64">
        <f t="shared" si="3"/>
        <v>1.5242759795570699</v>
      </c>
    </row>
    <row r="65" spans="1:12">
      <c r="A65" s="21" t="s">
        <v>122</v>
      </c>
      <c r="B65">
        <f t="shared" si="4"/>
        <v>1.83709638261714</v>
      </c>
      <c r="C65">
        <f t="shared" si="4"/>
        <v>1.8056358381502891</v>
      </c>
      <c r="D65">
        <f t="shared" si="4"/>
        <v>1.8000517330574237</v>
      </c>
      <c r="E65">
        <f t="shared" si="4"/>
        <v>1.9192381870781099</v>
      </c>
      <c r="F65">
        <f t="shared" si="4"/>
        <v>2.2957917045110507</v>
      </c>
      <c r="G65">
        <f t="shared" si="4"/>
        <v>2.4052879391524811</v>
      </c>
      <c r="H65">
        <f t="shared" si="4"/>
        <v>2.4666666666666668</v>
      </c>
      <c r="I65">
        <f t="shared" si="4"/>
        <v>2.5029797377830749</v>
      </c>
      <c r="J65">
        <f t="shared" si="4"/>
        <v>2.5675227837613921</v>
      </c>
      <c r="K65">
        <f t="shared" si="4"/>
        <v>2.6485998193315266</v>
      </c>
      <c r="L65">
        <f t="shared" si="3"/>
        <v>2.4968619246861925</v>
      </c>
    </row>
    <row r="66" spans="1:12">
      <c r="A66" s="21" t="s">
        <v>123</v>
      </c>
      <c r="B66">
        <f t="shared" si="4"/>
        <v>0.7248520710059172</v>
      </c>
      <c r="C66">
        <f t="shared" si="4"/>
        <v>0.54641909814323608</v>
      </c>
      <c r="D66">
        <f t="shared" si="4"/>
        <v>0.54045307443365698</v>
      </c>
      <c r="E66">
        <f t="shared" si="4"/>
        <v>0.63087248322147649</v>
      </c>
      <c r="F66">
        <f t="shared" si="4"/>
        <v>0.73529411764705888</v>
      </c>
      <c r="G66">
        <f t="shared" si="4"/>
        <v>0.74042553191489358</v>
      </c>
      <c r="H66">
        <f t="shared" si="4"/>
        <v>0.58715596330275233</v>
      </c>
      <c r="I66">
        <f t="shared" si="4"/>
        <v>0.70833333333333337</v>
      </c>
      <c r="J66">
        <f t="shared" si="4"/>
        <v>0.9885057471264368</v>
      </c>
      <c r="K66">
        <f t="shared" si="4"/>
        <v>0.6785714285714286</v>
      </c>
      <c r="L66">
        <f t="shared" si="3"/>
        <v>1.3962264150943395</v>
      </c>
    </row>
    <row r="67" spans="1:12">
      <c r="A67" s="21" t="s">
        <v>71</v>
      </c>
      <c r="H67">
        <f t="shared" si="4"/>
        <v>1.0694444444444444</v>
      </c>
      <c r="I67">
        <f t="shared" si="4"/>
        <v>1.1538461538461537</v>
      </c>
      <c r="J67">
        <f t="shared" si="4"/>
        <v>0.9285714285714286</v>
      </c>
      <c r="K67">
        <f t="shared" si="4"/>
        <v>1</v>
      </c>
      <c r="L67">
        <f t="shared" si="3"/>
        <v>1.3396226415094339</v>
      </c>
    </row>
    <row r="69" spans="1:12">
      <c r="A69" s="13" t="s">
        <v>4</v>
      </c>
      <c r="B69">
        <v>2000</v>
      </c>
      <c r="C69">
        <v>2001</v>
      </c>
      <c r="D69">
        <v>2002</v>
      </c>
      <c r="E69">
        <v>2003</v>
      </c>
      <c r="F69">
        <v>2004</v>
      </c>
      <c r="G69">
        <v>2005</v>
      </c>
      <c r="H69">
        <v>2006</v>
      </c>
      <c r="I69">
        <v>2007</v>
      </c>
      <c r="J69">
        <v>2008</v>
      </c>
      <c r="K69">
        <v>2009</v>
      </c>
      <c r="L69">
        <v>2010</v>
      </c>
    </row>
    <row r="70" spans="1:12">
      <c r="A70" s="21" t="s">
        <v>116</v>
      </c>
      <c r="B70">
        <f>B2/(B2+B37)</f>
        <v>0.20083105506283674</v>
      </c>
      <c r="C70">
        <f t="shared" ref="C70:K70" si="5">C2/(C2+C37)</f>
        <v>0.17753897899267451</v>
      </c>
      <c r="D70">
        <f t="shared" si="5"/>
        <v>0.17767001475646349</v>
      </c>
      <c r="E70">
        <f t="shared" si="5"/>
        <v>0.19037586965983133</v>
      </c>
      <c r="F70">
        <f t="shared" si="5"/>
        <v>0.19801825651527827</v>
      </c>
      <c r="G70">
        <f t="shared" si="5"/>
        <v>0.18946440686563568</v>
      </c>
      <c r="H70">
        <f t="shared" si="5"/>
        <v>0.17393772743440314</v>
      </c>
      <c r="I70">
        <f t="shared" si="5"/>
        <v>0.17564430600363407</v>
      </c>
      <c r="J70">
        <f t="shared" si="5"/>
        <v>0.19365171538555198</v>
      </c>
      <c r="K70">
        <f t="shared" si="5"/>
        <v>0.19938409120691913</v>
      </c>
      <c r="L70">
        <f t="shared" ref="L70:L83" si="6">O2/(O2+L37)</f>
        <v>0.2108282322946857</v>
      </c>
    </row>
    <row r="71" spans="1:12">
      <c r="A71" s="21" t="s">
        <v>115</v>
      </c>
      <c r="B71">
        <f t="shared" ref="B71:K83" si="7">B3/(B3+B38)</f>
        <v>0.14296924990039719</v>
      </c>
      <c r="C71">
        <f t="shared" si="7"/>
        <v>0.12681190170949716</v>
      </c>
      <c r="D71">
        <f t="shared" si="7"/>
        <v>0.12562078807747604</v>
      </c>
      <c r="E71">
        <f t="shared" si="7"/>
        <v>0.13456637667485305</v>
      </c>
      <c r="F71">
        <f t="shared" si="7"/>
        <v>0.13805330981655994</v>
      </c>
      <c r="G71">
        <f t="shared" si="7"/>
        <v>0.12795284857500636</v>
      </c>
      <c r="H71">
        <f t="shared" si="7"/>
        <v>0.12639078773327997</v>
      </c>
      <c r="I71">
        <f t="shared" si="7"/>
        <v>0.13057477563882991</v>
      </c>
      <c r="J71">
        <f t="shared" si="7"/>
        <v>0.14289944647345124</v>
      </c>
      <c r="K71">
        <f t="shared" si="7"/>
        <v>0.14249597223943489</v>
      </c>
      <c r="L71">
        <f t="shared" si="6"/>
        <v>0.1462733414906634</v>
      </c>
    </row>
    <row r="72" spans="1:12">
      <c r="A72" s="21" t="s">
        <v>117</v>
      </c>
      <c r="B72">
        <f t="shared" si="7"/>
        <v>0.17737050665157089</v>
      </c>
      <c r="C72">
        <f t="shared" si="7"/>
        <v>0.16380295179958226</v>
      </c>
      <c r="D72">
        <f t="shared" si="7"/>
        <v>0.17023120119329649</v>
      </c>
      <c r="E72">
        <f t="shared" si="7"/>
        <v>0.18660792528480366</v>
      </c>
      <c r="F72">
        <f t="shared" si="7"/>
        <v>0.20361788403812733</v>
      </c>
      <c r="G72">
        <f t="shared" si="7"/>
        <v>0.1986186603457436</v>
      </c>
      <c r="H72">
        <f t="shared" si="7"/>
        <v>0.20679408806004798</v>
      </c>
      <c r="I72">
        <f t="shared" si="7"/>
        <v>0.2170906396641146</v>
      </c>
      <c r="J72">
        <f t="shared" si="7"/>
        <v>0.23860421929995035</v>
      </c>
      <c r="K72">
        <f t="shared" si="7"/>
        <v>0.24002484086321998</v>
      </c>
      <c r="L72">
        <f t="shared" si="6"/>
        <v>0.25129758998961926</v>
      </c>
    </row>
    <row r="73" spans="1:12">
      <c r="A73" s="21" t="s">
        <v>69</v>
      </c>
      <c r="H73">
        <f t="shared" si="7"/>
        <v>0.18823084439121254</v>
      </c>
      <c r="I73">
        <f t="shared" si="7"/>
        <v>0.19934282584884994</v>
      </c>
      <c r="J73">
        <f t="shared" si="7"/>
        <v>0.22122168256106639</v>
      </c>
      <c r="K73">
        <f t="shared" si="7"/>
        <v>0.22644534565688956</v>
      </c>
      <c r="L73">
        <f t="shared" si="6"/>
        <v>0.23142335879278889</v>
      </c>
    </row>
    <row r="74" spans="1:12">
      <c r="A74" s="21" t="s">
        <v>119</v>
      </c>
      <c r="B74">
        <f t="shared" si="7"/>
        <v>0.19440246629994559</v>
      </c>
      <c r="C74">
        <f t="shared" si="7"/>
        <v>0.17805688954562246</v>
      </c>
      <c r="D74">
        <f t="shared" si="7"/>
        <v>0.18936130361490916</v>
      </c>
      <c r="E74">
        <f t="shared" si="7"/>
        <v>0.19898220458328</v>
      </c>
      <c r="F74">
        <f t="shared" si="7"/>
        <v>0.23042209554831705</v>
      </c>
      <c r="G74">
        <f t="shared" si="7"/>
        <v>0.23596312249678833</v>
      </c>
      <c r="H74">
        <f t="shared" si="7"/>
        <v>0.22911982010921941</v>
      </c>
      <c r="I74">
        <f t="shared" si="7"/>
        <v>0.24091136705057586</v>
      </c>
      <c r="J74">
        <f t="shared" si="7"/>
        <v>0.26437415716562462</v>
      </c>
      <c r="K74">
        <f t="shared" si="7"/>
        <v>0.28880660780404444</v>
      </c>
      <c r="L74">
        <f t="shared" si="6"/>
        <v>0.28371612493046172</v>
      </c>
    </row>
    <row r="75" spans="1:12">
      <c r="A75" s="21" t="s">
        <v>124</v>
      </c>
      <c r="B75">
        <f t="shared" si="7"/>
        <v>0.20444662645532333</v>
      </c>
      <c r="C75">
        <f t="shared" si="7"/>
        <v>0.19420306105286764</v>
      </c>
      <c r="D75">
        <f t="shared" si="7"/>
        <v>0.20378128100540183</v>
      </c>
      <c r="E75">
        <f t="shared" si="7"/>
        <v>0.21322032032582972</v>
      </c>
      <c r="F75">
        <f t="shared" si="7"/>
        <v>0.23216748150933936</v>
      </c>
      <c r="G75">
        <f t="shared" si="7"/>
        <v>0.24881800860913134</v>
      </c>
      <c r="H75">
        <f t="shared" si="7"/>
        <v>0.24294074615947331</v>
      </c>
      <c r="I75">
        <f t="shared" si="7"/>
        <v>0.24926816286702741</v>
      </c>
      <c r="J75">
        <f t="shared" si="7"/>
        <v>0.28078470824949697</v>
      </c>
      <c r="K75">
        <f t="shared" si="7"/>
        <v>0.28989751098096633</v>
      </c>
      <c r="L75">
        <f t="shared" si="6"/>
        <v>0.2895330112721417</v>
      </c>
    </row>
    <row r="76" spans="1:12">
      <c r="A76" s="21" t="s">
        <v>121</v>
      </c>
      <c r="B76">
        <f t="shared" si="7"/>
        <v>0.59512706924691072</v>
      </c>
      <c r="C76">
        <f t="shared" si="7"/>
        <v>0.5689595174573715</v>
      </c>
      <c r="D76">
        <f t="shared" si="7"/>
        <v>0.56091722313216585</v>
      </c>
      <c r="E76">
        <f t="shared" si="7"/>
        <v>0.57507082152974509</v>
      </c>
      <c r="F76">
        <f t="shared" si="7"/>
        <v>0.52656948036679996</v>
      </c>
      <c r="G76">
        <f t="shared" si="7"/>
        <v>0.49520607645374176</v>
      </c>
      <c r="H76">
        <f t="shared" si="7"/>
        <v>0.56219709208400648</v>
      </c>
      <c r="I76">
        <f t="shared" si="7"/>
        <v>0.55319556065824727</v>
      </c>
      <c r="J76">
        <f t="shared" si="7"/>
        <v>0.57549132947976878</v>
      </c>
      <c r="K76">
        <f t="shared" si="7"/>
        <v>0.5991140642303433</v>
      </c>
      <c r="L76">
        <f t="shared" si="6"/>
        <v>0.56251617913538698</v>
      </c>
    </row>
    <row r="77" spans="1:12">
      <c r="A77" s="21" t="s">
        <v>58</v>
      </c>
      <c r="B77">
        <f t="shared" si="7"/>
        <v>0.24248063877048689</v>
      </c>
      <c r="C77">
        <f t="shared" si="7"/>
        <v>0.21805111821086262</v>
      </c>
      <c r="D77">
        <f t="shared" si="7"/>
        <v>0.20939220312324458</v>
      </c>
      <c r="E77">
        <f t="shared" si="7"/>
        <v>0.21832391554918332</v>
      </c>
      <c r="F77">
        <f t="shared" si="7"/>
        <v>0.20519121486714789</v>
      </c>
      <c r="G77">
        <f t="shared" si="7"/>
        <v>0.18759835269695652</v>
      </c>
      <c r="H77">
        <f t="shared" si="7"/>
        <v>0.20084269662921347</v>
      </c>
      <c r="I77">
        <f t="shared" si="7"/>
        <v>0.21922129127649087</v>
      </c>
      <c r="J77">
        <f t="shared" si="7"/>
        <v>0.21450081074820476</v>
      </c>
      <c r="K77">
        <f t="shared" si="7"/>
        <v>0.23170405982905984</v>
      </c>
      <c r="L77">
        <f t="shared" si="6"/>
        <v>0.2391304347826087</v>
      </c>
    </row>
    <row r="78" spans="1:12">
      <c r="A78" s="21" t="s">
        <v>118</v>
      </c>
      <c r="B78">
        <f t="shared" si="7"/>
        <v>0.12664931744509886</v>
      </c>
      <c r="C78">
        <f t="shared" si="7"/>
        <v>0.11259964570416298</v>
      </c>
      <c r="D78">
        <f t="shared" si="7"/>
        <v>0.11705558717510908</v>
      </c>
      <c r="E78">
        <f t="shared" si="7"/>
        <v>0.12864088909469784</v>
      </c>
      <c r="F78">
        <f t="shared" si="7"/>
        <v>0.12680909717436251</v>
      </c>
      <c r="G78">
        <f t="shared" si="7"/>
        <v>0.11424196018376723</v>
      </c>
      <c r="H78">
        <f t="shared" si="7"/>
        <v>0.12237848507278559</v>
      </c>
      <c r="I78">
        <f t="shared" si="7"/>
        <v>0.14025542205093328</v>
      </c>
      <c r="J78">
        <f t="shared" si="7"/>
        <v>0.16874488031309728</v>
      </c>
      <c r="K78">
        <f t="shared" si="7"/>
        <v>0.16016572352465644</v>
      </c>
      <c r="L78">
        <f t="shared" si="6"/>
        <v>0.17031317031317031</v>
      </c>
    </row>
    <row r="79" spans="1:12">
      <c r="A79" s="21" t="s">
        <v>70</v>
      </c>
      <c r="E79">
        <f t="shared" si="7"/>
        <v>0.21035058430717862</v>
      </c>
      <c r="F79">
        <f t="shared" si="7"/>
        <v>0.26531416190663776</v>
      </c>
      <c r="G79">
        <f t="shared" si="7"/>
        <v>0.27994616419919244</v>
      </c>
      <c r="H79">
        <f t="shared" si="7"/>
        <v>0.29125628140703519</v>
      </c>
      <c r="I79">
        <f t="shared" si="7"/>
        <v>0.29421852033317003</v>
      </c>
      <c r="J79">
        <f t="shared" si="7"/>
        <v>0.3018613434043701</v>
      </c>
      <c r="K79">
        <f t="shared" si="7"/>
        <v>0.31393048883865499</v>
      </c>
      <c r="L79">
        <f t="shared" si="6"/>
        <v>0.29381175247009883</v>
      </c>
    </row>
    <row r="80" spans="1:12">
      <c r="A80" s="21" t="s">
        <v>120</v>
      </c>
      <c r="B80">
        <f t="shared" si="7"/>
        <v>0.1199175470239629</v>
      </c>
      <c r="C80">
        <f t="shared" si="7"/>
        <v>0.10008084762350539</v>
      </c>
      <c r="D80">
        <f t="shared" si="7"/>
        <v>0.10380539499036609</v>
      </c>
      <c r="E80">
        <f t="shared" si="7"/>
        <v>0.11864788732394366</v>
      </c>
      <c r="F80">
        <f t="shared" si="7"/>
        <v>0.12559272074843009</v>
      </c>
      <c r="G80">
        <f t="shared" si="7"/>
        <v>0.11354847781761934</v>
      </c>
      <c r="H80">
        <f t="shared" si="7"/>
        <v>0.11434287473068637</v>
      </c>
      <c r="I80">
        <f t="shared" si="7"/>
        <v>0.11663533834586466</v>
      </c>
      <c r="J80">
        <f t="shared" si="7"/>
        <v>0.13296197626543957</v>
      </c>
      <c r="K80">
        <f t="shared" si="7"/>
        <v>0.13229571984435798</v>
      </c>
      <c r="L80">
        <f t="shared" si="6"/>
        <v>0.14096116233584799</v>
      </c>
    </row>
    <row r="81" spans="1:12">
      <c r="A81" s="21" t="s">
        <v>122</v>
      </c>
      <c r="B81">
        <f t="shared" si="7"/>
        <v>0.29470067397911986</v>
      </c>
      <c r="C81">
        <f t="shared" si="7"/>
        <v>0.27837801787381622</v>
      </c>
      <c r="D81">
        <f t="shared" si="7"/>
        <v>0.28926569909469751</v>
      </c>
      <c r="E81">
        <f t="shared" si="7"/>
        <v>0.29556588368295439</v>
      </c>
      <c r="F81">
        <f t="shared" si="7"/>
        <v>0.31425557167348017</v>
      </c>
      <c r="G81">
        <f t="shared" si="7"/>
        <v>0.32781207649450383</v>
      </c>
      <c r="H81">
        <f t="shared" si="7"/>
        <v>0.3228331780055918</v>
      </c>
      <c r="I81">
        <f t="shared" si="7"/>
        <v>0.33785714285714286</v>
      </c>
      <c r="J81">
        <f t="shared" si="7"/>
        <v>0.36463375282349147</v>
      </c>
      <c r="K81">
        <f t="shared" si="7"/>
        <v>0.36562073669849932</v>
      </c>
      <c r="L81">
        <f t="shared" si="6"/>
        <v>0.38374528697109345</v>
      </c>
    </row>
    <row r="82" spans="1:12">
      <c r="A82" s="21" t="s">
        <v>123</v>
      </c>
      <c r="B82">
        <f t="shared" si="7"/>
        <v>0.32653061224489793</v>
      </c>
      <c r="C82">
        <f t="shared" si="7"/>
        <v>0.20388349514563106</v>
      </c>
      <c r="D82">
        <f t="shared" si="7"/>
        <v>0.32934131736526945</v>
      </c>
      <c r="E82">
        <f t="shared" si="7"/>
        <v>0.35106382978723405</v>
      </c>
      <c r="F82">
        <f t="shared" si="7"/>
        <v>0.44</v>
      </c>
      <c r="G82">
        <f t="shared" si="7"/>
        <v>0.2988505747126437</v>
      </c>
      <c r="H82">
        <f t="shared" si="7"/>
        <v>0.3671875</v>
      </c>
      <c r="I82">
        <f t="shared" si="7"/>
        <v>0.33333333333333331</v>
      </c>
      <c r="J82">
        <f t="shared" si="7"/>
        <v>0.47674418604651164</v>
      </c>
      <c r="K82">
        <f t="shared" si="7"/>
        <v>0.5</v>
      </c>
      <c r="L82">
        <f t="shared" si="6"/>
        <v>0.51351351351351349</v>
      </c>
    </row>
    <row r="83" spans="1:12">
      <c r="A83" s="21" t="s">
        <v>71</v>
      </c>
      <c r="H83">
        <f t="shared" si="7"/>
        <v>0.18181818181818182</v>
      </c>
      <c r="I83">
        <f t="shared" si="7"/>
        <v>0.21111111111111111</v>
      </c>
      <c r="J83">
        <f t="shared" si="7"/>
        <v>0.16923076923076924</v>
      </c>
      <c r="K83">
        <f t="shared" si="7"/>
        <v>0.14754098360655737</v>
      </c>
      <c r="L83">
        <f t="shared" si="6"/>
        <v>0.25352112676056338</v>
      </c>
    </row>
    <row r="85" spans="1:12" ht="16">
      <c r="A85" s="2" t="s">
        <v>173</v>
      </c>
      <c r="B85">
        <v>0.83079107445892919</v>
      </c>
      <c r="C85">
        <v>0.8642185453008866</v>
      </c>
      <c r="D85">
        <v>0.86848126528674741</v>
      </c>
      <c r="E85">
        <v>0.89668872386357001</v>
      </c>
      <c r="F85">
        <v>1.1352645064869114</v>
      </c>
      <c r="G85">
        <v>1.2629515784423904</v>
      </c>
      <c r="H85">
        <v>1.3743931189790406</v>
      </c>
      <c r="I85">
        <v>1.4122197127829614</v>
      </c>
      <c r="J85">
        <v>1.4268374534320749</v>
      </c>
      <c r="K85">
        <v>1.4385674908013812</v>
      </c>
      <c r="L85">
        <v>1.4545305460525417</v>
      </c>
    </row>
    <row r="86" spans="1:12" ht="16">
      <c r="A86" s="2" t="s">
        <v>173</v>
      </c>
      <c r="B86">
        <v>0.18310136682703376</v>
      </c>
      <c r="C86">
        <v>0.16236597870987024</v>
      </c>
      <c r="D86">
        <v>0.16290146026167054</v>
      </c>
      <c r="E86">
        <v>0.17437590427469235</v>
      </c>
      <c r="F86">
        <v>0.1821220156444269</v>
      </c>
      <c r="G86">
        <v>0.17363610944536964</v>
      </c>
      <c r="H86">
        <v>0.17183256049820014</v>
      </c>
      <c r="I86">
        <v>0.17669463374097311</v>
      </c>
      <c r="J86">
        <v>0.19419507773458455</v>
      </c>
      <c r="K86">
        <v>0.19761493682994832</v>
      </c>
      <c r="L86">
        <v>0.20427497651111806</v>
      </c>
    </row>
    <row r="88" spans="1:12">
      <c r="A88" s="15" t="s">
        <v>65</v>
      </c>
      <c r="B88" s="15">
        <v>2000</v>
      </c>
      <c r="C88" s="15">
        <v>2001</v>
      </c>
      <c r="D88" s="15">
        <v>2002</v>
      </c>
      <c r="E88" s="15">
        <v>2003</v>
      </c>
      <c r="F88" s="15">
        <v>2004</v>
      </c>
      <c r="G88" s="15">
        <v>2005</v>
      </c>
      <c r="H88" s="15">
        <v>2006</v>
      </c>
      <c r="I88" s="15">
        <v>2007</v>
      </c>
      <c r="J88" s="15">
        <v>2008</v>
      </c>
      <c r="K88" s="15">
        <v>2009</v>
      </c>
    </row>
    <row r="89" spans="1:12">
      <c r="A89" s="21" t="s">
        <v>116</v>
      </c>
      <c r="B89" s="14">
        <v>27694</v>
      </c>
      <c r="C89" s="14">
        <v>31143</v>
      </c>
      <c r="D89" s="14">
        <v>32388</v>
      </c>
      <c r="E89" s="14">
        <v>30182</v>
      </c>
      <c r="F89" s="14">
        <v>31715</v>
      </c>
      <c r="G89" s="14">
        <v>29881</v>
      </c>
      <c r="H89" s="14">
        <v>25429</v>
      </c>
      <c r="I89" s="14">
        <v>23683</v>
      </c>
      <c r="J89" s="14">
        <v>20676</v>
      </c>
      <c r="K89" s="14">
        <v>18258</v>
      </c>
    </row>
    <row r="90" spans="1:12">
      <c r="A90" s="21" t="s">
        <v>115</v>
      </c>
      <c r="B90" s="14">
        <v>23684</v>
      </c>
      <c r="C90" s="14">
        <v>28389</v>
      </c>
      <c r="D90" s="14">
        <v>29620</v>
      </c>
      <c r="E90" s="14">
        <v>29095</v>
      </c>
      <c r="F90" s="14">
        <v>29900</v>
      </c>
      <c r="G90" s="14">
        <v>27180</v>
      </c>
      <c r="H90" s="14">
        <v>22742</v>
      </c>
      <c r="I90" s="14">
        <v>20966</v>
      </c>
      <c r="J90" s="14">
        <v>18820</v>
      </c>
      <c r="K90" s="14">
        <v>17247</v>
      </c>
    </row>
    <row r="91" spans="1:12">
      <c r="A91" s="21" t="s">
        <v>117</v>
      </c>
      <c r="B91" s="14">
        <v>12533</v>
      </c>
      <c r="C91" s="14">
        <v>14195</v>
      </c>
      <c r="D91" s="14">
        <v>15521</v>
      </c>
      <c r="E91" s="14">
        <v>15545</v>
      </c>
      <c r="F91" s="14">
        <v>15466</v>
      </c>
      <c r="G91" s="14">
        <v>14580</v>
      </c>
      <c r="H91" s="14">
        <v>13362</v>
      </c>
      <c r="I91" s="14">
        <v>12306</v>
      </c>
      <c r="J91" s="14">
        <v>11050</v>
      </c>
      <c r="K91" s="14">
        <v>9276</v>
      </c>
    </row>
    <row r="92" spans="1:12">
      <c r="A92" s="21" t="s">
        <v>69</v>
      </c>
      <c r="B92" s="14"/>
      <c r="C92" s="14"/>
      <c r="D92" s="14"/>
      <c r="E92" s="14"/>
      <c r="F92" s="14"/>
      <c r="G92" s="14"/>
      <c r="H92" s="14">
        <v>5972</v>
      </c>
      <c r="I92" s="14">
        <v>6188</v>
      </c>
      <c r="J92" s="14">
        <v>6240</v>
      </c>
      <c r="K92" s="14">
        <v>7203</v>
      </c>
    </row>
    <row r="93" spans="1:12">
      <c r="A93" s="21" t="s">
        <v>119</v>
      </c>
      <c r="B93" s="14">
        <v>6432</v>
      </c>
      <c r="C93" s="14">
        <v>6748</v>
      </c>
      <c r="D93" s="14">
        <v>7077</v>
      </c>
      <c r="E93" s="14">
        <v>6217</v>
      </c>
      <c r="F93" s="14">
        <v>6791</v>
      </c>
      <c r="G93" s="14">
        <v>6245</v>
      </c>
      <c r="H93" s="14">
        <v>5706</v>
      </c>
      <c r="I93" s="14">
        <v>4811</v>
      </c>
      <c r="J93" s="14">
        <v>4313</v>
      </c>
      <c r="K93" s="14">
        <v>4056</v>
      </c>
    </row>
    <row r="94" spans="1:12">
      <c r="A94" s="21" t="s">
        <v>124</v>
      </c>
      <c r="B94" s="14">
        <v>2915</v>
      </c>
      <c r="C94" s="14">
        <v>3464</v>
      </c>
      <c r="D94" s="14">
        <v>3697</v>
      </c>
      <c r="E94" s="14">
        <v>3874</v>
      </c>
      <c r="F94" s="14">
        <v>3704</v>
      </c>
      <c r="G94" s="14">
        <v>3526</v>
      </c>
      <c r="H94" s="14">
        <v>3321</v>
      </c>
      <c r="I94" s="14">
        <v>2810</v>
      </c>
      <c r="J94" s="14">
        <v>2791</v>
      </c>
      <c r="K94" s="14">
        <v>2970</v>
      </c>
    </row>
    <row r="95" spans="1:12">
      <c r="A95" s="21" t="s">
        <v>121</v>
      </c>
      <c r="B95" s="14">
        <v>5105</v>
      </c>
      <c r="C95" s="14">
        <v>4905</v>
      </c>
      <c r="D95" s="14">
        <v>4452</v>
      </c>
      <c r="E95" s="14">
        <v>4263</v>
      </c>
      <c r="F95" s="14">
        <v>4479</v>
      </c>
      <c r="G95" s="14">
        <v>3977</v>
      </c>
      <c r="H95" s="14">
        <v>3480</v>
      </c>
      <c r="I95" s="14">
        <v>2891</v>
      </c>
      <c r="J95" s="14">
        <v>2489</v>
      </c>
      <c r="K95" s="14">
        <v>2164</v>
      </c>
    </row>
    <row r="96" spans="1:12">
      <c r="A96" s="21" t="s">
        <v>58</v>
      </c>
      <c r="B96" s="14">
        <v>8078</v>
      </c>
      <c r="C96" s="14">
        <v>9555</v>
      </c>
      <c r="D96" s="14">
        <v>9319</v>
      </c>
      <c r="E96" s="14">
        <v>7766</v>
      </c>
      <c r="F96" s="14">
        <v>6680</v>
      </c>
      <c r="G96" s="14">
        <v>5603</v>
      </c>
      <c r="H96" s="14">
        <v>2717</v>
      </c>
      <c r="I96" s="14">
        <v>2224</v>
      </c>
      <c r="J96" s="14">
        <v>1852</v>
      </c>
      <c r="K96" s="14">
        <v>1735</v>
      </c>
    </row>
    <row r="97" spans="1:11">
      <c r="A97" s="21" t="s">
        <v>118</v>
      </c>
      <c r="B97" s="14">
        <v>2774</v>
      </c>
      <c r="C97" s="14">
        <v>3051</v>
      </c>
      <c r="D97" s="14">
        <v>3085</v>
      </c>
      <c r="E97" s="14">
        <v>2778</v>
      </c>
      <c r="F97" s="14">
        <v>2576</v>
      </c>
      <c r="G97" s="14">
        <v>2238</v>
      </c>
      <c r="H97" s="14">
        <v>1984</v>
      </c>
      <c r="I97" s="14">
        <v>1856</v>
      </c>
      <c r="J97" s="14">
        <v>1854</v>
      </c>
      <c r="K97" s="14">
        <v>1585</v>
      </c>
    </row>
    <row r="98" spans="1:11">
      <c r="A98" s="21" t="s">
        <v>70</v>
      </c>
      <c r="B98" s="14"/>
      <c r="C98" s="14"/>
      <c r="D98" s="14"/>
      <c r="E98" s="14">
        <v>126</v>
      </c>
      <c r="F98" s="14">
        <v>1347</v>
      </c>
      <c r="G98" s="14">
        <v>1664</v>
      </c>
      <c r="H98" s="14">
        <v>1449</v>
      </c>
      <c r="I98" s="14">
        <v>1201</v>
      </c>
      <c r="J98" s="14">
        <v>1119</v>
      </c>
      <c r="K98" s="14">
        <v>1111</v>
      </c>
    </row>
    <row r="99" spans="1:11">
      <c r="A99" s="21" t="s">
        <v>120</v>
      </c>
      <c r="B99" s="14">
        <v>2327</v>
      </c>
      <c r="C99" s="14">
        <v>2352</v>
      </c>
      <c r="D99" s="14">
        <v>2155</v>
      </c>
      <c r="E99" s="14">
        <v>2106</v>
      </c>
      <c r="F99" s="14">
        <v>1960</v>
      </c>
      <c r="G99" s="14">
        <v>1615</v>
      </c>
      <c r="H99" s="14">
        <v>1486</v>
      </c>
      <c r="I99" s="14">
        <v>1241</v>
      </c>
      <c r="J99" s="14">
        <v>1098</v>
      </c>
      <c r="K99" s="14">
        <v>1054</v>
      </c>
    </row>
    <row r="100" spans="1:11">
      <c r="A100" s="21" t="s">
        <v>122</v>
      </c>
      <c r="B100" s="14">
        <v>2230</v>
      </c>
      <c r="C100" s="14">
        <v>2087</v>
      </c>
      <c r="D100" s="14">
        <v>2013</v>
      </c>
      <c r="E100" s="14">
        <v>2353</v>
      </c>
      <c r="F100" s="14">
        <v>2383</v>
      </c>
      <c r="G100" s="14">
        <v>2177</v>
      </c>
      <c r="H100" s="14">
        <v>1732</v>
      </c>
      <c r="I100" s="14">
        <v>1419</v>
      </c>
      <c r="J100" s="14">
        <v>1130</v>
      </c>
      <c r="K100" s="14">
        <v>1072</v>
      </c>
    </row>
    <row r="101" spans="1:11">
      <c r="A101" s="21" t="s">
        <v>123</v>
      </c>
      <c r="B101" s="14">
        <v>80</v>
      </c>
      <c r="C101" s="14">
        <v>42</v>
      </c>
      <c r="D101" s="14">
        <v>55</v>
      </c>
      <c r="E101" s="14">
        <v>66</v>
      </c>
      <c r="F101" s="14">
        <v>77</v>
      </c>
      <c r="G101" s="14">
        <v>52</v>
      </c>
      <c r="H101" s="14">
        <v>47</v>
      </c>
      <c r="I101" s="14">
        <v>34</v>
      </c>
      <c r="J101" s="14">
        <v>41</v>
      </c>
      <c r="K101" s="14">
        <v>19</v>
      </c>
    </row>
    <row r="102" spans="1:11">
      <c r="A102" s="21" t="s">
        <v>71</v>
      </c>
      <c r="B102" s="14"/>
      <c r="C102" s="14"/>
      <c r="D102" s="14"/>
      <c r="E102" s="14"/>
      <c r="F102" s="14"/>
      <c r="G102" s="14"/>
      <c r="H102" s="14">
        <v>28</v>
      </c>
      <c r="I102" s="14">
        <v>19</v>
      </c>
      <c r="J102" s="14">
        <v>11</v>
      </c>
      <c r="K102" s="14">
        <v>9</v>
      </c>
    </row>
    <row r="128" spans="1:17">
      <c r="A128" t="s">
        <v>3</v>
      </c>
      <c r="B128">
        <v>2000</v>
      </c>
      <c r="C128">
        <v>2001</v>
      </c>
      <c r="D128">
        <v>2002</v>
      </c>
      <c r="E128">
        <v>2003</v>
      </c>
      <c r="F128">
        <v>2004</v>
      </c>
      <c r="G128">
        <v>2005</v>
      </c>
      <c r="H128">
        <v>2006</v>
      </c>
      <c r="I128">
        <v>2007</v>
      </c>
      <c r="J128">
        <v>2008</v>
      </c>
      <c r="K128">
        <v>2009</v>
      </c>
      <c r="L128">
        <v>2010</v>
      </c>
      <c r="N128" t="s">
        <v>3</v>
      </c>
      <c r="O128" t="s">
        <v>116</v>
      </c>
      <c r="P128" t="s">
        <v>115</v>
      </c>
      <c r="Q128" t="s">
        <v>117</v>
      </c>
    </row>
    <row r="129" spans="1:25">
      <c r="A129" t="s">
        <v>116</v>
      </c>
      <c r="B129">
        <v>1.0729614067849362</v>
      </c>
      <c r="C129">
        <v>1.1171293377403311</v>
      </c>
      <c r="D129">
        <v>1.1507234117765883</v>
      </c>
      <c r="E129">
        <v>1.1858702969556436</v>
      </c>
      <c r="F129">
        <v>1.2960502358853185</v>
      </c>
      <c r="G129">
        <v>1.3253527399850416</v>
      </c>
      <c r="H129">
        <v>1.4262467806134396</v>
      </c>
      <c r="I129">
        <v>1.4605968694145046</v>
      </c>
      <c r="J129">
        <v>1.4739770279971285</v>
      </c>
      <c r="K129">
        <v>1.511587982832618</v>
      </c>
      <c r="L129">
        <v>1.5259951184599292</v>
      </c>
      <c r="N129" t="s">
        <v>116</v>
      </c>
      <c r="O129">
        <v>1</v>
      </c>
    </row>
    <row r="130" spans="1:25">
      <c r="A130" t="s">
        <v>115</v>
      </c>
      <c r="B130">
        <v>0.78033086503495186</v>
      </c>
      <c r="C130">
        <v>0.87476066552567622</v>
      </c>
      <c r="D130">
        <v>0.91092386979130446</v>
      </c>
      <c r="E130">
        <v>0.94585916207691534</v>
      </c>
      <c r="F130">
        <v>1.1005345582780313</v>
      </c>
      <c r="G130">
        <v>1.1944288252625896</v>
      </c>
      <c r="H130">
        <v>1.2845547028377655</v>
      </c>
      <c r="I130">
        <v>1.3319866939865779</v>
      </c>
      <c r="J130">
        <v>1.3474350842012646</v>
      </c>
      <c r="K130">
        <v>1.3615960941367051</v>
      </c>
      <c r="L130">
        <v>1.3777088270504019</v>
      </c>
      <c r="N130" t="s">
        <v>115</v>
      </c>
      <c r="O130">
        <v>0.57637272508504689</v>
      </c>
      <c r="P130">
        <v>1</v>
      </c>
    </row>
    <row r="131" spans="1:25">
      <c r="A131" t="s">
        <v>117</v>
      </c>
      <c r="B131">
        <v>0.58864692847265032</v>
      </c>
      <c r="C131">
        <v>0.68085858625539175</v>
      </c>
      <c r="D131">
        <v>0.70322008406926073</v>
      </c>
      <c r="E131">
        <v>0.68771567737141914</v>
      </c>
      <c r="F131">
        <v>0.94928387532181868</v>
      </c>
      <c r="G131">
        <v>1.2661400210428273</v>
      </c>
      <c r="H131">
        <v>1.4404021489556165</v>
      </c>
      <c r="I131">
        <v>1.4892286675073561</v>
      </c>
      <c r="J131">
        <v>1.5094850065189047</v>
      </c>
      <c r="K131">
        <v>1.5438021811209204</v>
      </c>
      <c r="L131">
        <v>1.6002783639384008</v>
      </c>
      <c r="N131" t="s">
        <v>117</v>
      </c>
      <c r="O131">
        <v>0.53576628762111911</v>
      </c>
      <c r="P131">
        <v>0.83069570023240746</v>
      </c>
      <c r="Q131">
        <v>1</v>
      </c>
    </row>
    <row r="133" spans="1:25">
      <c r="A133" t="s">
        <v>4</v>
      </c>
      <c r="B133">
        <v>2000</v>
      </c>
      <c r="C133">
        <v>2001</v>
      </c>
      <c r="D133">
        <v>2002</v>
      </c>
      <c r="E133">
        <v>2003</v>
      </c>
      <c r="F133">
        <v>2004</v>
      </c>
      <c r="G133">
        <v>2005</v>
      </c>
      <c r="H133">
        <v>2006</v>
      </c>
      <c r="I133">
        <v>2007</v>
      </c>
      <c r="J133">
        <v>2008</v>
      </c>
      <c r="K133">
        <v>2009</v>
      </c>
      <c r="L133">
        <v>2010</v>
      </c>
      <c r="N133" t="s">
        <v>4</v>
      </c>
      <c r="O133" t="s">
        <v>116</v>
      </c>
      <c r="P133" t="s">
        <v>115</v>
      </c>
      <c r="Q133" t="s">
        <v>117</v>
      </c>
    </row>
    <row r="134" spans="1:25">
      <c r="A134" t="s">
        <v>116</v>
      </c>
      <c r="B134">
        <v>0.20083105506283674</v>
      </c>
      <c r="C134">
        <v>0.17753897899267451</v>
      </c>
      <c r="D134">
        <v>0.17767001475646349</v>
      </c>
      <c r="E134">
        <v>0.19037586965983133</v>
      </c>
      <c r="F134">
        <v>0.19801825651527827</v>
      </c>
      <c r="G134">
        <v>0.18946440686563568</v>
      </c>
      <c r="H134">
        <v>0.17393772743440314</v>
      </c>
      <c r="I134">
        <v>0.17564430600363407</v>
      </c>
      <c r="J134">
        <v>0.19365171538555198</v>
      </c>
      <c r="K134">
        <v>0.19938409120691913</v>
      </c>
      <c r="L134">
        <v>0.2108282322946857</v>
      </c>
      <c r="N134" t="s">
        <v>116</v>
      </c>
      <c r="O134">
        <v>1</v>
      </c>
    </row>
    <row r="135" spans="1:25">
      <c r="A135" t="s">
        <v>115</v>
      </c>
      <c r="B135">
        <v>0.14296924990039719</v>
      </c>
      <c r="C135">
        <v>0.12681190170949716</v>
      </c>
      <c r="D135">
        <v>0.12562078807747604</v>
      </c>
      <c r="E135">
        <v>0.13456637667485305</v>
      </c>
      <c r="F135">
        <v>0.13805330981655994</v>
      </c>
      <c r="G135">
        <v>0.12795284857500636</v>
      </c>
      <c r="H135">
        <v>0.12639078773327997</v>
      </c>
      <c r="I135">
        <v>0.13057477563882991</v>
      </c>
      <c r="J135">
        <v>0.14289944647345124</v>
      </c>
      <c r="K135">
        <v>0.14249597223943489</v>
      </c>
      <c r="L135">
        <v>0.1462733414906634</v>
      </c>
      <c r="N135" t="s">
        <v>115</v>
      </c>
      <c r="O135">
        <v>-0.79371615808574836</v>
      </c>
      <c r="P135">
        <v>1</v>
      </c>
    </row>
    <row r="136" spans="1:25">
      <c r="A136" t="s">
        <v>117</v>
      </c>
      <c r="B136">
        <v>0.17737050665157089</v>
      </c>
      <c r="C136">
        <v>0.16380295179958226</v>
      </c>
      <c r="D136">
        <v>0.17023120119329649</v>
      </c>
      <c r="E136">
        <v>0.18660792528480366</v>
      </c>
      <c r="F136">
        <v>0.20361788403812733</v>
      </c>
      <c r="G136">
        <v>0.1986186603457436</v>
      </c>
      <c r="H136">
        <v>0.20679408806004798</v>
      </c>
      <c r="I136">
        <v>0.2170906396641146</v>
      </c>
      <c r="J136">
        <v>0.23860421929995035</v>
      </c>
      <c r="K136">
        <v>0.24002484086321998</v>
      </c>
      <c r="L136">
        <v>0.25129758998961926</v>
      </c>
      <c r="N136" t="s">
        <v>117</v>
      </c>
      <c r="O136">
        <v>0.21127640764243871</v>
      </c>
      <c r="P136">
        <v>-0.66153035822895478</v>
      </c>
      <c r="Q136">
        <v>1</v>
      </c>
    </row>
    <row r="140" spans="1:25">
      <c r="X140" t="s">
        <v>185</v>
      </c>
      <c r="Y140" t="s">
        <v>186</v>
      </c>
    </row>
    <row r="141" spans="1:25" ht="16">
      <c r="A141" s="2" t="s">
        <v>189</v>
      </c>
      <c r="B141">
        <v>1.0729614067849362</v>
      </c>
      <c r="C141">
        <v>1.1171293377403311</v>
      </c>
      <c r="D141">
        <v>1.1507234117765883</v>
      </c>
      <c r="E141">
        <v>1.1858702969556436</v>
      </c>
      <c r="F141">
        <v>1.2960502358853185</v>
      </c>
      <c r="G141">
        <v>1.3253527399850416</v>
      </c>
      <c r="H141">
        <v>1.4262467806134396</v>
      </c>
      <c r="I141">
        <v>1.4605968694145046</v>
      </c>
      <c r="J141">
        <v>1.4739770279971285</v>
      </c>
      <c r="K141">
        <v>1.511587982832618</v>
      </c>
      <c r="L141">
        <v>1.5259951184599292</v>
      </c>
      <c r="M141">
        <v>0.78033086503495186</v>
      </c>
      <c r="N141">
        <v>0.87476066552567622</v>
      </c>
      <c r="O141">
        <v>0.91092386979130446</v>
      </c>
      <c r="P141">
        <v>0.94585916207691534</v>
      </c>
      <c r="Q141">
        <v>1.1005345582780313</v>
      </c>
      <c r="R141">
        <v>1.1944288252625896</v>
      </c>
      <c r="S141">
        <v>1.2845547028377655</v>
      </c>
      <c r="T141">
        <v>1.3319866939865779</v>
      </c>
      <c r="U141">
        <v>1.3474350842012646</v>
      </c>
      <c r="V141">
        <v>1.3615960941367051</v>
      </c>
      <c r="W141">
        <v>1.3777088270504019</v>
      </c>
      <c r="X141">
        <f>AVERAGE(B141:W141)</f>
        <v>1.2298459343921666</v>
      </c>
      <c r="Y141">
        <f>(_xlfn.STDEV.P(B141:W141))^2</f>
        <v>4.420355571034798E-2</v>
      </c>
    </row>
    <row r="142" spans="1:25" ht="16">
      <c r="A142" s="2"/>
      <c r="B142">
        <f>B141-$X141</f>
        <v>-0.15688452760723037</v>
      </c>
      <c r="C142">
        <f>C141-$X141</f>
        <v>-0.11271659665183553</v>
      </c>
      <c r="D142">
        <f>D141-$X141</f>
        <v>-7.9122522615578283E-2</v>
      </c>
      <c r="E142">
        <f>E141-$X141</f>
        <v>-4.3975637436522996E-2</v>
      </c>
      <c r="F142">
        <f>F141-$X141</f>
        <v>6.6204301493151929E-2</v>
      </c>
      <c r="G142">
        <f>G141-$X141</f>
        <v>9.5506805592874944E-2</v>
      </c>
      <c r="H142">
        <f>H141-$X141</f>
        <v>0.19640084622127296</v>
      </c>
      <c r="I142">
        <f>I141-$X141</f>
        <v>0.23075093502233801</v>
      </c>
      <c r="J142">
        <f>J141-$X141</f>
        <v>0.24413109360496188</v>
      </c>
      <c r="K142">
        <f>K141-$X141</f>
        <v>0.28174204844045136</v>
      </c>
      <c r="L142">
        <f>L141-$X141</f>
        <v>0.29614918406776258</v>
      </c>
      <c r="M142">
        <f>M141-$X141</f>
        <v>-0.44951506935721475</v>
      </c>
      <c r="N142">
        <f>N141-$X141</f>
        <v>-0.35508526886649039</v>
      </c>
      <c r="O142">
        <f>O141-$X141</f>
        <v>-0.31892206460086214</v>
      </c>
      <c r="P142">
        <f>P141-$X141</f>
        <v>-0.28398677231525127</v>
      </c>
      <c r="Q142">
        <f>Q141-$X141</f>
        <v>-0.12931137611413535</v>
      </c>
      <c r="R142">
        <f>R141-$X141</f>
        <v>-3.5417109129576962E-2</v>
      </c>
      <c r="S142">
        <f>S141-$X141</f>
        <v>5.470876844559891E-2</v>
      </c>
      <c r="T142">
        <f>T141-$X141</f>
        <v>0.10214075959441127</v>
      </c>
      <c r="U142">
        <f>U141-$X141</f>
        <v>0.11758914980909796</v>
      </c>
      <c r="V142">
        <f>V141-$X141</f>
        <v>0.13175015974453852</v>
      </c>
      <c r="W142">
        <f>W141-$X141</f>
        <v>0.14786289265823527</v>
      </c>
    </row>
    <row r="143" spans="1:25" ht="16">
      <c r="A143" s="2"/>
      <c r="M143">
        <f>B142*M142</f>
        <v>7.0521959308438034E-2</v>
      </c>
      <c r="N143">
        <f t="shared" ref="N143:W143" si="8">C142*N142</f>
        <v>4.0024003027832773E-2</v>
      </c>
      <c r="O143">
        <f t="shared" si="8"/>
        <v>2.5233918268988634E-2</v>
      </c>
      <c r="P143">
        <f t="shared" si="8"/>
        <v>1.2488499336103897E-2</v>
      </c>
      <c r="Q143">
        <f t="shared" si="8"/>
        <v>-8.5609693307545816E-3</v>
      </c>
      <c r="R143">
        <f t="shared" si="8"/>
        <v>-3.3825749563001434E-3</v>
      </c>
      <c r="S143">
        <f t="shared" si="8"/>
        <v>1.0744848418439302E-2</v>
      </c>
      <c r="T143">
        <f t="shared" si="8"/>
        <v>2.3569075780302241E-2</v>
      </c>
      <c r="U143">
        <f t="shared" si="8"/>
        <v>2.8707167738972778E-2</v>
      </c>
      <c r="V143">
        <f t="shared" si="8"/>
        <v>3.7119559888782974E-2</v>
      </c>
      <c r="W143">
        <f t="shared" si="8"/>
        <v>4.3789475014635537E-2</v>
      </c>
      <c r="X143">
        <f>SUM(M143:W143)</f>
        <v>0.28025496249544146</v>
      </c>
      <c r="Y143">
        <f>X143/COUNT(B141:L141)/Y141</f>
        <v>0.57637272508504689</v>
      </c>
    </row>
    <row r="144" spans="1:25" ht="16">
      <c r="A144" s="2" t="s">
        <v>190</v>
      </c>
      <c r="B144">
        <v>1.0729614067849362</v>
      </c>
      <c r="C144">
        <v>1.1171293377403311</v>
      </c>
      <c r="D144">
        <v>1.1507234117765883</v>
      </c>
      <c r="E144">
        <v>1.1858702969556436</v>
      </c>
      <c r="F144">
        <v>1.2960502358853185</v>
      </c>
      <c r="G144">
        <v>1.3253527399850416</v>
      </c>
      <c r="H144">
        <v>1.4262467806134396</v>
      </c>
      <c r="I144">
        <v>1.4605968694145046</v>
      </c>
      <c r="J144">
        <v>1.4739770279971285</v>
      </c>
      <c r="K144">
        <v>1.511587982832618</v>
      </c>
      <c r="L144">
        <v>1.5259951184599292</v>
      </c>
      <c r="M144">
        <v>0.58864692847265032</v>
      </c>
      <c r="N144">
        <v>0.68085858625539175</v>
      </c>
      <c r="O144">
        <v>0.70322008406926073</v>
      </c>
      <c r="P144">
        <v>0.68771567737141914</v>
      </c>
      <c r="Q144">
        <v>0.94928387532181868</v>
      </c>
      <c r="R144">
        <v>1.2661400210428273</v>
      </c>
      <c r="S144">
        <v>1.4404021489556165</v>
      </c>
      <c r="T144">
        <v>1.4892286675073561</v>
      </c>
      <c r="U144">
        <v>1.5094850065189047</v>
      </c>
      <c r="V144">
        <v>1.5438021811209204</v>
      </c>
      <c r="W144">
        <v>1.6002783639384008</v>
      </c>
      <c r="X144">
        <f>AVERAGE(B144:W144)</f>
        <v>1.2275251249554564</v>
      </c>
      <c r="Y144">
        <f>(_xlfn.STDEV.P(B144:W144))^2</f>
        <v>9.8490723910928432E-2</v>
      </c>
    </row>
    <row r="145" spans="1:25" ht="16">
      <c r="A145" s="2"/>
      <c r="B145">
        <f>B144-$X144</f>
        <v>-0.15456371817052017</v>
      </c>
      <c r="C145">
        <f>C144-$X144</f>
        <v>-0.11039578721512533</v>
      </c>
      <c r="D145">
        <f>D144-$X144</f>
        <v>-7.6801713178868081E-2</v>
      </c>
      <c r="E145">
        <f>E144-$X144</f>
        <v>-4.1654827999812793E-2</v>
      </c>
      <c r="F145">
        <f>F144-$X144</f>
        <v>6.8525110929862132E-2</v>
      </c>
      <c r="G145">
        <f>G144-$X144</f>
        <v>9.7827615029585147E-2</v>
      </c>
      <c r="H145">
        <f>H144-$X144</f>
        <v>0.19872165565798316</v>
      </c>
      <c r="I145">
        <f>I144-$X144</f>
        <v>0.23307174445904821</v>
      </c>
      <c r="J145">
        <f>J144-$X144</f>
        <v>0.24645190304167208</v>
      </c>
      <c r="K145">
        <f>K144-$X144</f>
        <v>0.28406285787716157</v>
      </c>
      <c r="L145">
        <f>L144-$X144</f>
        <v>0.29846999350447279</v>
      </c>
      <c r="M145">
        <f>M144-$X144</f>
        <v>-0.63887819648280608</v>
      </c>
      <c r="N145">
        <f>N144-$X144</f>
        <v>-0.54666653870006465</v>
      </c>
      <c r="O145">
        <f>O144-$X144</f>
        <v>-0.52430504088619567</v>
      </c>
      <c r="P145">
        <f>P144-$X144</f>
        <v>-0.53980944758403726</v>
      </c>
      <c r="Q145">
        <f>Q144-$X144</f>
        <v>-0.27824124963363772</v>
      </c>
      <c r="R145">
        <f>R144-$X144</f>
        <v>3.8614896087370898E-2</v>
      </c>
      <c r="S145">
        <f>S144-$X144</f>
        <v>0.21287702400016006</v>
      </c>
      <c r="T145">
        <f>T144-$X144</f>
        <v>0.26170354255189965</v>
      </c>
      <c r="U145">
        <f>U144-$X144</f>
        <v>0.28195988156344831</v>
      </c>
      <c r="V145">
        <f>V144-$X144</f>
        <v>0.31627705616546398</v>
      </c>
      <c r="W145">
        <f>W144-$X144</f>
        <v>0.37275323898294443</v>
      </c>
    </row>
    <row r="146" spans="1:25" ht="16">
      <c r="A146" s="2"/>
      <c r="M146">
        <f>B145*M145</f>
        <v>9.8747389506458644E-2</v>
      </c>
      <c r="N146">
        <f t="shared" ref="N146" si="9">C145*N145</f>
        <v>6.0349682883961413E-2</v>
      </c>
      <c r="O146">
        <f t="shared" ref="O146" si="10">D145*O145</f>
        <v>4.02675253683763E-2</v>
      </c>
      <c r="P146">
        <f t="shared" ref="P146" si="11">E145*P145</f>
        <v>2.248566969178703E-2</v>
      </c>
      <c r="Q146">
        <f t="shared" ref="Q146" si="12">F145*Q145</f>
        <v>-1.9066512496408485E-2</v>
      </c>
      <c r="R146">
        <f t="shared" ref="R146" si="13">G145*R145</f>
        <v>3.777603188842754E-3</v>
      </c>
      <c r="S146">
        <f t="shared" ref="S146" si="14">H145*S145</f>
        <v>4.2303274660856025E-2</v>
      </c>
      <c r="T146">
        <f t="shared" ref="T146" si="15">I145*T145</f>
        <v>6.0995701193684006E-2</v>
      </c>
      <c r="U146">
        <f t="shared" ref="U146" si="16">J145*U145</f>
        <v>6.9489549392716302E-2</v>
      </c>
      <c r="V146">
        <f t="shared" ref="V146" si="17">K145*V145</f>
        <v>8.984256445533724E-2</v>
      </c>
      <c r="W146">
        <f t="shared" ref="W146" si="18">L145*W145</f>
        <v>0.11125565681801061</v>
      </c>
      <c r="X146">
        <f>SUM(M146:W146)</f>
        <v>0.58044810466362184</v>
      </c>
      <c r="Y146">
        <f>X146/COUNT(B144:L144)/Y144</f>
        <v>0.53576628762111911</v>
      </c>
    </row>
    <row r="147" spans="1:25" ht="16">
      <c r="A147" s="2" t="s">
        <v>191</v>
      </c>
      <c r="B147">
        <v>0.78033086503495186</v>
      </c>
      <c r="C147">
        <v>0.87476066552567622</v>
      </c>
      <c r="D147">
        <v>0.91092386979130446</v>
      </c>
      <c r="E147">
        <v>0.94585916207691534</v>
      </c>
      <c r="F147">
        <v>1.1005345582780313</v>
      </c>
      <c r="G147">
        <v>1.1944288252625896</v>
      </c>
      <c r="H147">
        <v>1.2845547028377655</v>
      </c>
      <c r="I147">
        <v>1.3319866939865779</v>
      </c>
      <c r="J147">
        <v>1.3474350842012646</v>
      </c>
      <c r="K147">
        <v>1.3615960941367051</v>
      </c>
      <c r="L147">
        <v>1.3777088270504019</v>
      </c>
      <c r="M147">
        <v>0.58864692847265032</v>
      </c>
      <c r="N147">
        <v>0.68085858625539175</v>
      </c>
      <c r="O147">
        <v>0.70322008406926073</v>
      </c>
      <c r="P147">
        <v>0.68771567737141914</v>
      </c>
      <c r="Q147">
        <v>0.94928387532181868</v>
      </c>
      <c r="R147">
        <v>1.2661400210428273</v>
      </c>
      <c r="S147">
        <v>1.4404021489556165</v>
      </c>
      <c r="T147">
        <v>1.4892286675073561</v>
      </c>
      <c r="U147">
        <v>1.5094850065189047</v>
      </c>
      <c r="V147">
        <v>1.5438021811209204</v>
      </c>
      <c r="W147">
        <v>1.6002783639384008</v>
      </c>
      <c r="X147">
        <f>AVERAGE(B147:W147)</f>
        <v>1.1349627676707612</v>
      </c>
      <c r="Y147">
        <f>(_xlfn.STDEV.P(B147:W147))^2</f>
        <v>9.9376961882875786E-2</v>
      </c>
    </row>
    <row r="148" spans="1:25" ht="16">
      <c r="A148" s="2"/>
      <c r="B148">
        <f>B147-$X147</f>
        <v>-0.35463190263580935</v>
      </c>
      <c r="C148">
        <f>C147-$X147</f>
        <v>-0.26020210214508499</v>
      </c>
      <c r="D148">
        <f>D147-$X147</f>
        <v>-0.22403889787945674</v>
      </c>
      <c r="E148">
        <f>E147-$X147</f>
        <v>-0.18910360559384587</v>
      </c>
      <c r="F148">
        <f>F147-$X147</f>
        <v>-3.4428209392729947E-2</v>
      </c>
      <c r="G148">
        <f>G147-$X147</f>
        <v>5.9466057591828436E-2</v>
      </c>
      <c r="H148">
        <f>H147-$X147</f>
        <v>0.14959193516700431</v>
      </c>
      <c r="I148">
        <f>I147-$X147</f>
        <v>0.19702392631581667</v>
      </c>
      <c r="J148">
        <f>J147-$X147</f>
        <v>0.21247231653050336</v>
      </c>
      <c r="K148">
        <f>K147-$X147</f>
        <v>0.22663332646594392</v>
      </c>
      <c r="L148">
        <f>L147-$X147</f>
        <v>0.24274605937964067</v>
      </c>
      <c r="M148">
        <f>M147-$X147</f>
        <v>-0.54631583919811089</v>
      </c>
      <c r="N148">
        <f>N147-$X147</f>
        <v>-0.45410418141536946</v>
      </c>
      <c r="O148">
        <f>O147-$X147</f>
        <v>-0.43174268360150048</v>
      </c>
      <c r="P148">
        <f>P147-$X147</f>
        <v>-0.44724709029934206</v>
      </c>
      <c r="Q148">
        <f>Q147-$X147</f>
        <v>-0.18567889234894253</v>
      </c>
      <c r="R148">
        <f>R147-$X147</f>
        <v>0.13117725337206609</v>
      </c>
      <c r="S148">
        <f>S147-$X147</f>
        <v>0.30543938128485526</v>
      </c>
      <c r="T148">
        <f>T147-$X147</f>
        <v>0.35426589983659484</v>
      </c>
      <c r="U148">
        <f>U147-$X147</f>
        <v>0.37452223884814351</v>
      </c>
      <c r="V148">
        <f>V147-$X147</f>
        <v>0.40883941345015917</v>
      </c>
      <c r="W148">
        <f>W147-$X147</f>
        <v>0.46531559626763963</v>
      </c>
    </row>
    <row r="149" spans="1:25" ht="16">
      <c r="A149" s="2"/>
      <c r="M149">
        <f>B148*M148</f>
        <v>0.19374102549490493</v>
      </c>
      <c r="N149">
        <f t="shared" ref="N149" si="19">C148*N148</f>
        <v>0.11815886259715216</v>
      </c>
      <c r="O149">
        <f t="shared" ref="O149" si="20">D148*O148</f>
        <v>9.6727155001599174E-2</v>
      </c>
      <c r="P149">
        <f t="shared" ref="P149" si="21">E148*P148</f>
        <v>8.4576037366961954E-2</v>
      </c>
      <c r="Q149">
        <f t="shared" ref="Q149" si="22">F148*Q148</f>
        <v>6.3925917855995554E-3</v>
      </c>
      <c r="R149">
        <f t="shared" ref="R149" si="23">G148*R148</f>
        <v>7.8005941037611534E-3</v>
      </c>
      <c r="S149">
        <f t="shared" ref="S149" si="24">H148*S148</f>
        <v>4.5691268122613975E-2</v>
      </c>
      <c r="T149">
        <f t="shared" ref="T149" si="25">I148*T148</f>
        <v>6.9798858545611756E-2</v>
      </c>
      <c r="U149">
        <f t="shared" ref="U149" si="26">J148*U148</f>
        <v>7.9575607680255525E-2</v>
      </c>
      <c r="V149">
        <f t="shared" ref="V149" si="27">K148*V148</f>
        <v>9.2656636260594949E-2</v>
      </c>
      <c r="W149">
        <f t="shared" ref="W149" si="28">L148*W148</f>
        <v>0.11295352736185735</v>
      </c>
      <c r="X149">
        <f>SUM(M149:W149)</f>
        <v>0.90807216432091242</v>
      </c>
      <c r="Y149">
        <f>X149/COUNT(B147:L147)/Y147</f>
        <v>0.83069570023240746</v>
      </c>
    </row>
    <row r="152" spans="1:25">
      <c r="X152" t="s">
        <v>185</v>
      </c>
      <c r="Y152" t="s">
        <v>186</v>
      </c>
    </row>
    <row r="153" spans="1:25" ht="16">
      <c r="A153" s="2" t="s">
        <v>189</v>
      </c>
      <c r="B153">
        <v>0.20083105506283674</v>
      </c>
      <c r="C153">
        <v>0.17753897899267451</v>
      </c>
      <c r="D153">
        <v>0.17767001475646349</v>
      </c>
      <c r="E153">
        <v>0.19037586965983133</v>
      </c>
      <c r="F153">
        <v>0.19801825651527827</v>
      </c>
      <c r="G153">
        <v>0.18946440686563568</v>
      </c>
      <c r="H153">
        <v>0.17393772743440314</v>
      </c>
      <c r="I153">
        <v>0.17564430600363407</v>
      </c>
      <c r="J153">
        <v>0.19365171538555198</v>
      </c>
      <c r="K153">
        <v>0.19938409120691913</v>
      </c>
      <c r="L153">
        <v>0.2108282322946857</v>
      </c>
      <c r="M153">
        <v>0.14296924990039719</v>
      </c>
      <c r="N153">
        <v>0.12681190170949716</v>
      </c>
      <c r="O153">
        <v>0.12562078807747604</v>
      </c>
      <c r="P153">
        <v>0.13456637667485305</v>
      </c>
      <c r="Q153">
        <v>0.13805330981655994</v>
      </c>
      <c r="R153">
        <v>0.12795284857500636</v>
      </c>
      <c r="S153">
        <v>0.12639078773327997</v>
      </c>
      <c r="T153">
        <v>0.13057477563882991</v>
      </c>
      <c r="U153">
        <v>0.14289944647345124</v>
      </c>
      <c r="V153">
        <v>0.14249597223943489</v>
      </c>
      <c r="W153">
        <v>0.1462733414906634</v>
      </c>
      <c r="X153">
        <f>AVERAGE(B153:W153)</f>
        <v>0.16236152056851652</v>
      </c>
      <c r="Y153">
        <f>(_xlfn.STDEV.P(B153:W153))^2</f>
        <v>8.4628449624995919E-4</v>
      </c>
    </row>
    <row r="154" spans="1:25" ht="16">
      <c r="A154" s="2"/>
      <c r="B154">
        <f>B153-$X153</f>
        <v>3.8469534494320223E-2</v>
      </c>
      <c r="C154">
        <f>C153-$X153</f>
        <v>1.5177458424157991E-2</v>
      </c>
      <c r="D154">
        <f>D153-$X153</f>
        <v>1.5308494187946969E-2</v>
      </c>
      <c r="E154">
        <f>E153-$X153</f>
        <v>2.8014349091314811E-2</v>
      </c>
      <c r="F154">
        <f>F153-$X153</f>
        <v>3.5656735946761747E-2</v>
      </c>
      <c r="G154">
        <f>G153-$X153</f>
        <v>2.7102886297119155E-2</v>
      </c>
      <c r="H154">
        <f>H153-$X153</f>
        <v>1.1576206865886618E-2</v>
      </c>
      <c r="I154">
        <f>I153-$X153</f>
        <v>1.3282785435117545E-2</v>
      </c>
      <c r="J154">
        <f>J153-$X153</f>
        <v>3.129019481703546E-2</v>
      </c>
      <c r="K154">
        <f>K153-$X153</f>
        <v>3.7022570638402613E-2</v>
      </c>
      <c r="L154">
        <f>L153-$X153</f>
        <v>4.8466711726169176E-2</v>
      </c>
      <c r="M154">
        <f>M153-$X153</f>
        <v>-1.9392270668119327E-2</v>
      </c>
      <c r="N154">
        <f>N153-$X153</f>
        <v>-3.5549618859019361E-2</v>
      </c>
      <c r="O154">
        <f>O153-$X153</f>
        <v>-3.6740732491040484E-2</v>
      </c>
      <c r="P154">
        <f>P153-$X153</f>
        <v>-2.7795143893663471E-2</v>
      </c>
      <c r="Q154">
        <f>Q153-$X153</f>
        <v>-2.4308210751956577E-2</v>
      </c>
      <c r="R154">
        <f>R153-$X153</f>
        <v>-3.4408671993510165E-2</v>
      </c>
      <c r="S154">
        <f>S153-$X153</f>
        <v>-3.5970732835236552E-2</v>
      </c>
      <c r="T154">
        <f>T153-$X153</f>
        <v>-3.1786744929686611E-2</v>
      </c>
      <c r="U154">
        <f>U153-$X153</f>
        <v>-1.9462074095065285E-2</v>
      </c>
      <c r="V154">
        <f>V153-$X153</f>
        <v>-1.9865548329081634E-2</v>
      </c>
      <c r="W154">
        <f>W153-$X153</f>
        <v>-1.6088179077853121E-2</v>
      </c>
    </row>
    <row r="155" spans="1:25" ht="16">
      <c r="A155" s="2"/>
      <c r="M155">
        <f>B154*M154</f>
        <v>-7.4601162539041077E-4</v>
      </c>
      <c r="N155">
        <f t="shared" ref="N155" si="29">C154*N154</f>
        <v>-5.3955286222742921E-4</v>
      </c>
      <c r="O155">
        <f t="shared" ref="O155" si="30">D154*O154</f>
        <v>-5.6244528980000763E-4</v>
      </c>
      <c r="P155">
        <f t="shared" ref="P155" si="31">E154*P154</f>
        <v>-7.7866286408041568E-4</v>
      </c>
      <c r="Q155">
        <f t="shared" ref="Q155" si="32">F154*Q154</f>
        <v>-8.6675145212075048E-4</v>
      </c>
      <c r="R155">
        <f t="shared" ref="R155" si="33">G154*R154</f>
        <v>-9.3257432467497433E-4</v>
      </c>
      <c r="S155">
        <f t="shared" ref="S155" si="34">H154*S154</f>
        <v>-4.164046444182386E-4</v>
      </c>
      <c r="T155">
        <f t="shared" ref="T155" si="35">I154*T154</f>
        <v>-4.2221651258183776E-4</v>
      </c>
      <c r="U155">
        <f t="shared" ref="U155" si="36">J154*U154</f>
        <v>-6.0897208997817188E-4</v>
      </c>
      <c r="V155">
        <f t="shared" ref="V155" si="37">K154*V154</f>
        <v>-7.3547366628402583E-4</v>
      </c>
      <c r="W155">
        <f t="shared" ref="W155" si="38">L154*W154</f>
        <v>-7.7974113756529349E-4</v>
      </c>
      <c r="X155">
        <f>SUM(M155:W155)</f>
        <v>-7.3888064691215562E-3</v>
      </c>
      <c r="Y155">
        <f>X155/COUNT(B153:L153)/Y153</f>
        <v>-0.79371615808574836</v>
      </c>
    </row>
    <row r="156" spans="1:25" ht="16">
      <c r="A156" s="2" t="s">
        <v>190</v>
      </c>
      <c r="B156">
        <v>0.20083105506283674</v>
      </c>
      <c r="C156">
        <v>0.17753897899267451</v>
      </c>
      <c r="D156">
        <v>0.17767001475646349</v>
      </c>
      <c r="E156">
        <v>0.19037586965983133</v>
      </c>
      <c r="F156">
        <v>0.19801825651527827</v>
      </c>
      <c r="G156">
        <v>0.18946440686563568</v>
      </c>
      <c r="H156">
        <v>0.17393772743440314</v>
      </c>
      <c r="I156">
        <v>0.17564430600363407</v>
      </c>
      <c r="J156">
        <v>0.19365171538555198</v>
      </c>
      <c r="K156">
        <v>0.19938409120691913</v>
      </c>
      <c r="L156">
        <v>0.2108282322946857</v>
      </c>
      <c r="M156">
        <v>0.17737050665157089</v>
      </c>
      <c r="N156">
        <v>0.16380295179958226</v>
      </c>
      <c r="O156">
        <v>0.17023120119329649</v>
      </c>
      <c r="P156">
        <v>0.18660792528480366</v>
      </c>
      <c r="Q156">
        <v>0.20361788403812733</v>
      </c>
      <c r="R156">
        <v>0.1986186603457436</v>
      </c>
      <c r="S156">
        <v>0.20679408806004798</v>
      </c>
      <c r="T156">
        <v>0.2170906396641146</v>
      </c>
      <c r="U156">
        <v>0.23860421929995035</v>
      </c>
      <c r="V156">
        <v>0.24002484086321998</v>
      </c>
      <c r="W156">
        <v>0.25129758998961926</v>
      </c>
      <c r="X156">
        <f>AVERAGE(B156:W156)</f>
        <v>0.1973365982439996</v>
      </c>
      <c r="Y156">
        <f>(_xlfn.STDEV.P(B156:W156))^2</f>
        <v>5.2047680466542215E-4</v>
      </c>
    </row>
    <row r="157" spans="1:25" ht="16">
      <c r="A157" s="2"/>
      <c r="B157">
        <f>B156-$X156</f>
        <v>3.4944568188371439E-3</v>
      </c>
      <c r="C157">
        <f>C156-$X156</f>
        <v>-1.9797619251325088E-2</v>
      </c>
      <c r="D157">
        <f>D156-$X156</f>
        <v>-1.966658348753611E-2</v>
      </c>
      <c r="E157">
        <f>E156-$X156</f>
        <v>-6.9607285841682687E-3</v>
      </c>
      <c r="F157">
        <f>F156-$X156</f>
        <v>6.8165827127866785E-4</v>
      </c>
      <c r="G157">
        <f>G156-$X156</f>
        <v>-7.8721913783639241E-3</v>
      </c>
      <c r="H157">
        <f>H156-$X156</f>
        <v>-2.3398870809596461E-2</v>
      </c>
      <c r="I157">
        <f>I156-$X156</f>
        <v>-2.1692292240365535E-2</v>
      </c>
      <c r="J157">
        <f>J156-$X156</f>
        <v>-3.684882858447619E-3</v>
      </c>
      <c r="K157">
        <f>K156-$X156</f>
        <v>2.0474929629195338E-3</v>
      </c>
      <c r="L157">
        <f>L156-$X156</f>
        <v>1.3491634050686097E-2</v>
      </c>
      <c r="M157">
        <f>M156-$X156</f>
        <v>-1.9966091592428709E-2</v>
      </c>
      <c r="N157">
        <f>N156-$X156</f>
        <v>-3.3533646444417337E-2</v>
      </c>
      <c r="O157">
        <f>O156-$X156</f>
        <v>-2.7105397050703112E-2</v>
      </c>
      <c r="P157">
        <f>P156-$X156</f>
        <v>-1.072867295919594E-2</v>
      </c>
      <c r="Q157">
        <f>Q156-$X156</f>
        <v>6.2812857941277334E-3</v>
      </c>
      <c r="R157">
        <f>R156-$X156</f>
        <v>1.2820621017440026E-3</v>
      </c>
      <c r="S157">
        <f>S156-$X156</f>
        <v>9.4574898160483811E-3</v>
      </c>
      <c r="T157">
        <f>T156-$X156</f>
        <v>1.9754041420114998E-2</v>
      </c>
      <c r="U157">
        <f>U156-$X156</f>
        <v>4.1267621055950748E-2</v>
      </c>
      <c r="V157">
        <f>V156-$X156</f>
        <v>4.2688242619220385E-2</v>
      </c>
      <c r="W157">
        <f>W156-$X156</f>
        <v>5.3960991745619663E-2</v>
      </c>
    </row>
    <row r="158" spans="1:25" ht="16">
      <c r="A158" s="2"/>
      <c r="M158">
        <f>B157*M157</f>
        <v>-6.9770644910689472E-5</v>
      </c>
      <c r="N158">
        <f t="shared" ref="N158" si="39">C157*N157</f>
        <v>6.6388636441512571E-4</v>
      </c>
      <c r="O158">
        <f t="shared" ref="O158" si="40">D157*O157</f>
        <v>5.3307055406046782E-4</v>
      </c>
      <c r="P158">
        <f t="shared" ref="P158" si="41">E157*P157</f>
        <v>7.4679380537268344E-5</v>
      </c>
      <c r="Q158">
        <f t="shared" ref="Q158" si="42">F157*Q157</f>
        <v>4.2816904158323654E-6</v>
      </c>
      <c r="R158">
        <f t="shared" ref="R158" si="43">G157*R157</f>
        <v>-1.0092638223876269E-5</v>
      </c>
      <c r="S158">
        <f t="shared" ref="S158" si="44">H157*S157</f>
        <v>-2.2129458238879027E-4</v>
      </c>
      <c r="T158">
        <f t="shared" ref="T158" si="45">I157*T157</f>
        <v>-4.2851043941341993E-4</v>
      </c>
      <c r="U158">
        <f t="shared" ref="U158" si="46">J157*U157</f>
        <v>-1.5206634943798494E-4</v>
      </c>
      <c r="V158">
        <f t="shared" ref="V158" si="47">K157*V157</f>
        <v>8.7403876362255459E-5</v>
      </c>
      <c r="W158">
        <f t="shared" ref="W158" si="48">L157*W157</f>
        <v>7.2802195364399366E-4</v>
      </c>
      <c r="X158">
        <f>SUM(M158:W158)</f>
        <v>1.2096091650601825E-3</v>
      </c>
      <c r="Y158">
        <f>X158/COUNT(B156:L156)/Y156</f>
        <v>0.21127640764243871</v>
      </c>
    </row>
    <row r="159" spans="1:25" ht="16">
      <c r="A159" s="2" t="s">
        <v>191</v>
      </c>
      <c r="B159">
        <v>0.14296924990039719</v>
      </c>
      <c r="C159">
        <v>0.12681190170949716</v>
      </c>
      <c r="D159">
        <v>0.12562078807747604</v>
      </c>
      <c r="E159">
        <v>0.13456637667485305</v>
      </c>
      <c r="F159">
        <v>0.13805330981655994</v>
      </c>
      <c r="G159">
        <v>0.12795284857500636</v>
      </c>
      <c r="H159">
        <v>0.12639078773327997</v>
      </c>
      <c r="I159">
        <v>0.13057477563882991</v>
      </c>
      <c r="J159">
        <v>0.14289944647345124</v>
      </c>
      <c r="K159">
        <v>0.14249597223943489</v>
      </c>
      <c r="L159">
        <v>0.1462733414906634</v>
      </c>
      <c r="M159">
        <v>0.17737050665157089</v>
      </c>
      <c r="N159">
        <v>0.16380295179958226</v>
      </c>
      <c r="O159">
        <v>0.17023120119329649</v>
      </c>
      <c r="P159">
        <v>0.18660792528480366</v>
      </c>
      <c r="Q159">
        <v>0.20361788403812733</v>
      </c>
      <c r="R159">
        <v>0.1986186603457436</v>
      </c>
      <c r="S159">
        <v>0.20679408806004798</v>
      </c>
      <c r="T159">
        <v>0.2170906396641146</v>
      </c>
      <c r="U159">
        <v>0.23860421929995035</v>
      </c>
      <c r="V159">
        <v>0.24002484086321998</v>
      </c>
      <c r="W159">
        <v>0.25129758998961926</v>
      </c>
      <c r="X159">
        <f>AVERAGE(B159:W159)</f>
        <v>0.16993951388725118</v>
      </c>
      <c r="Y159">
        <f>(_xlfn.STDEV.P(B159:W159))^2</f>
        <v>1.6467192429482109E-3</v>
      </c>
    </row>
    <row r="160" spans="1:25" ht="16">
      <c r="A160" s="2"/>
      <c r="B160">
        <f>B159-$X159</f>
        <v>-2.6970263986853982E-2</v>
      </c>
      <c r="C160">
        <f>C159-$X159</f>
        <v>-4.3127612177754016E-2</v>
      </c>
      <c r="D160">
        <f>D159-$X159</f>
        <v>-4.4318725809775139E-2</v>
      </c>
      <c r="E160">
        <f>E159-$X159</f>
        <v>-3.5373137212398126E-2</v>
      </c>
      <c r="F160">
        <f>F159-$X159</f>
        <v>-3.1886204070691232E-2</v>
      </c>
      <c r="G160">
        <f>G159-$X159</f>
        <v>-4.198666531224482E-2</v>
      </c>
      <c r="H160">
        <f>H159-$X159</f>
        <v>-4.3548726153971207E-2</v>
      </c>
      <c r="I160">
        <f>I159-$X159</f>
        <v>-3.9364738248421266E-2</v>
      </c>
      <c r="J160">
        <f>J159-$X159</f>
        <v>-2.704006741379994E-2</v>
      </c>
      <c r="K160">
        <f>K159-$X159</f>
        <v>-2.7443541647816289E-2</v>
      </c>
      <c r="L160">
        <f>L159-$X159</f>
        <v>-2.3666172396587776E-2</v>
      </c>
      <c r="M160">
        <f>M159-$X159</f>
        <v>7.430992764319716E-3</v>
      </c>
      <c r="N160">
        <f>N159-$X159</f>
        <v>-6.136562087668912E-3</v>
      </c>
      <c r="O160">
        <f>O159-$X159</f>
        <v>2.916873060453129E-4</v>
      </c>
      <c r="P160">
        <f>P159-$X159</f>
        <v>1.6668411397552485E-2</v>
      </c>
      <c r="Q160">
        <f>Q159-$X159</f>
        <v>3.3678370150876158E-2</v>
      </c>
      <c r="R160">
        <f>R159-$X159</f>
        <v>2.8679146458492427E-2</v>
      </c>
      <c r="S160">
        <f>S159-$X159</f>
        <v>3.6854574172796806E-2</v>
      </c>
      <c r="T160">
        <f>T159-$X159</f>
        <v>4.7151125776863423E-2</v>
      </c>
      <c r="U160">
        <f>U159-$X159</f>
        <v>6.8664705412699173E-2</v>
      </c>
      <c r="V160">
        <f>V159-$X159</f>
        <v>7.0085326975968809E-2</v>
      </c>
      <c r="W160">
        <f>W159-$X159</f>
        <v>8.1358076102368088E-2</v>
      </c>
    </row>
    <row r="161" spans="1:25" ht="16">
      <c r="A161" s="2"/>
      <c r="M161">
        <f>B160*M160</f>
        <v>-2.0041583653810456E-4</v>
      </c>
      <c r="N161">
        <f t="shared" ref="N161" si="49">C160*N160</f>
        <v>2.646552698216934E-4</v>
      </c>
      <c r="O161">
        <f t="shared" ref="O161" si="50">D160*O160</f>
        <v>-1.2927209738814188E-5</v>
      </c>
      <c r="P161">
        <f t="shared" ref="P161" si="51">E160*P160</f>
        <v>-5.8961400347832486E-4</v>
      </c>
      <c r="Q161">
        <f t="shared" ref="Q161" si="52">F160*Q160</f>
        <v>-1.0738753833991134E-3</v>
      </c>
      <c r="R161">
        <f t="shared" ref="R161" si="53">G160*R160</f>
        <v>-1.2041417237935728E-3</v>
      </c>
      <c r="S161">
        <f t="shared" ref="S161" si="54">H160*S160</f>
        <v>-1.604969758172348E-3</v>
      </c>
      <c r="T161">
        <f t="shared" ref="T161" si="55">I160*T160</f>
        <v>-1.8560917243246175E-3</v>
      </c>
      <c r="U161">
        <f t="shared" ref="U161" si="56">J160*U160</f>
        <v>-1.8566982633080992E-3</v>
      </c>
      <c r="V161">
        <f t="shared" ref="V161" si="57">K160*V160</f>
        <v>-1.9233895897658225E-3</v>
      </c>
      <c r="W161">
        <f t="shared" ref="W161" si="58">L160*W160</f>
        <v>-1.9254342548933512E-3</v>
      </c>
      <c r="X161">
        <f>SUM(M161:W161)</f>
        <v>-1.1982902477590474E-2</v>
      </c>
      <c r="Y161">
        <f>X161/COUNT(B159:L159)/Y159</f>
        <v>-0.66153035822895478</v>
      </c>
    </row>
  </sheetData>
  <sortState ref="N2:O15">
    <sortCondition descending="1" ref="O2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opLeftCell="B38" workbookViewId="0">
      <selection activeCell="P62" sqref="O62:S66"/>
    </sheetView>
  </sheetViews>
  <sheetFormatPr baseColWidth="10" defaultColWidth="11.1640625" defaultRowHeight="15" x14ac:dyDescent="0"/>
  <sheetData>
    <row r="1" spans="1:12" ht="16">
      <c r="A1" s="2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</row>
    <row r="2" spans="1:12">
      <c r="A2" t="s">
        <v>87</v>
      </c>
      <c r="B2">
        <v>318497</v>
      </c>
      <c r="C2">
        <v>402796</v>
      </c>
      <c r="D2">
        <v>396310</v>
      </c>
      <c r="E2">
        <v>312946</v>
      </c>
      <c r="F2">
        <v>243563</v>
      </c>
      <c r="G2">
        <v>217537</v>
      </c>
      <c r="H2">
        <v>264313</v>
      </c>
      <c r="I2">
        <v>228683</v>
      </c>
      <c r="J2">
        <v>182943</v>
      </c>
      <c r="K2">
        <v>164674</v>
      </c>
      <c r="L2">
        <v>149345</v>
      </c>
    </row>
    <row r="3" spans="1:12">
      <c r="A3" t="s">
        <v>86</v>
      </c>
      <c r="B3">
        <v>99132</v>
      </c>
      <c r="C3">
        <v>120446</v>
      </c>
      <c r="D3">
        <v>131356</v>
      </c>
      <c r="E3">
        <v>123178</v>
      </c>
      <c r="F3">
        <v>106530</v>
      </c>
      <c r="G3">
        <v>94062</v>
      </c>
      <c r="H3">
        <v>58938</v>
      </c>
      <c r="I3">
        <v>51117</v>
      </c>
      <c r="J3">
        <v>43872</v>
      </c>
      <c r="K3">
        <v>39711</v>
      </c>
      <c r="L3">
        <v>39427</v>
      </c>
    </row>
    <row r="4" spans="1:12">
      <c r="A4" t="s">
        <v>89</v>
      </c>
      <c r="B4">
        <v>65048</v>
      </c>
      <c r="C4">
        <v>72720</v>
      </c>
      <c r="D4">
        <v>72675</v>
      </c>
      <c r="E4">
        <v>67704</v>
      </c>
      <c r="F4">
        <v>36200</v>
      </c>
      <c r="G4">
        <v>25860</v>
      </c>
      <c r="H4">
        <v>34015</v>
      </c>
      <c r="I4">
        <v>28698</v>
      </c>
      <c r="J4">
        <v>22828</v>
      </c>
      <c r="K4">
        <v>19938</v>
      </c>
      <c r="L4">
        <v>17611</v>
      </c>
    </row>
    <row r="5" spans="1:12">
      <c r="A5" t="s">
        <v>88</v>
      </c>
      <c r="B5">
        <v>134295</v>
      </c>
      <c r="C5">
        <v>158957</v>
      </c>
      <c r="D5">
        <v>172796</v>
      </c>
      <c r="E5">
        <v>163678</v>
      </c>
      <c r="F5">
        <v>131596</v>
      </c>
      <c r="G5">
        <v>112795</v>
      </c>
      <c r="H5">
        <v>21515</v>
      </c>
      <c r="I5">
        <v>18711</v>
      </c>
      <c r="J5">
        <v>15561</v>
      </c>
      <c r="K5">
        <v>14028</v>
      </c>
      <c r="L5">
        <v>13138</v>
      </c>
    </row>
    <row r="6" spans="1:12" ht="16">
      <c r="A6" s="2" t="s">
        <v>1</v>
      </c>
      <c r="B6">
        <f>SUM(B2:B5)</f>
        <v>616972</v>
      </c>
      <c r="C6">
        <f t="shared" ref="C6:L6" si="0">SUM(C2:C5)</f>
        <v>754919</v>
      </c>
      <c r="D6">
        <f t="shared" si="0"/>
        <v>773137</v>
      </c>
      <c r="E6">
        <f t="shared" si="0"/>
        <v>667506</v>
      </c>
      <c r="F6">
        <f t="shared" si="0"/>
        <v>517889</v>
      </c>
      <c r="G6">
        <f t="shared" si="0"/>
        <v>450254</v>
      </c>
      <c r="H6">
        <f t="shared" si="0"/>
        <v>378781</v>
      </c>
      <c r="I6">
        <f t="shared" si="0"/>
        <v>327209</v>
      </c>
      <c r="J6">
        <f t="shared" si="0"/>
        <v>265204</v>
      </c>
      <c r="K6">
        <f t="shared" si="0"/>
        <v>238351</v>
      </c>
      <c r="L6">
        <f t="shared" si="0"/>
        <v>219521</v>
      </c>
    </row>
    <row r="7" spans="1:12" ht="16">
      <c r="A7" s="2" t="s">
        <v>65</v>
      </c>
      <c r="B7">
        <v>2000</v>
      </c>
      <c r="C7">
        <v>2001</v>
      </c>
      <c r="D7">
        <v>2002</v>
      </c>
      <c r="E7">
        <v>2003</v>
      </c>
      <c r="F7">
        <v>2004</v>
      </c>
      <c r="G7">
        <v>2005</v>
      </c>
      <c r="H7">
        <v>2006</v>
      </c>
      <c r="I7">
        <v>2007</v>
      </c>
      <c r="J7">
        <v>2008</v>
      </c>
      <c r="K7">
        <v>2009</v>
      </c>
      <c r="L7">
        <v>2010</v>
      </c>
    </row>
    <row r="8" spans="1:12">
      <c r="A8" t="s">
        <v>87</v>
      </c>
      <c r="B8">
        <v>58388</v>
      </c>
      <c r="C8">
        <v>63597</v>
      </c>
      <c r="D8">
        <v>63211</v>
      </c>
      <c r="E8">
        <v>56444</v>
      </c>
      <c r="F8">
        <v>57147</v>
      </c>
      <c r="G8">
        <v>50300</v>
      </c>
      <c r="H8">
        <v>63459</v>
      </c>
      <c r="I8">
        <v>57981</v>
      </c>
      <c r="J8">
        <v>51384</v>
      </c>
      <c r="K8">
        <v>46590</v>
      </c>
      <c r="L8">
        <v>43974</v>
      </c>
    </row>
    <row r="9" spans="1:12">
      <c r="A9" t="s">
        <v>86</v>
      </c>
      <c r="B9">
        <v>14158</v>
      </c>
      <c r="C9">
        <v>16613</v>
      </c>
      <c r="D9">
        <v>19032</v>
      </c>
      <c r="E9">
        <v>19683</v>
      </c>
      <c r="F9">
        <v>21694</v>
      </c>
      <c r="G9">
        <v>21376</v>
      </c>
      <c r="H9">
        <v>16916</v>
      </c>
      <c r="I9">
        <v>15178</v>
      </c>
      <c r="J9">
        <v>14274</v>
      </c>
      <c r="K9">
        <v>14121</v>
      </c>
      <c r="L9">
        <v>14366</v>
      </c>
    </row>
    <row r="10" spans="1:12">
      <c r="A10" t="s">
        <v>89</v>
      </c>
      <c r="B10">
        <v>7493</v>
      </c>
      <c r="C10">
        <v>8507</v>
      </c>
      <c r="D10">
        <v>8663</v>
      </c>
      <c r="E10">
        <v>8639</v>
      </c>
      <c r="F10">
        <v>5429</v>
      </c>
      <c r="G10">
        <v>4486</v>
      </c>
      <c r="H10">
        <v>5135</v>
      </c>
      <c r="I10">
        <v>4778</v>
      </c>
      <c r="J10">
        <v>4270</v>
      </c>
      <c r="K10">
        <v>3753</v>
      </c>
      <c r="L10">
        <v>3695</v>
      </c>
    </row>
    <row r="11" spans="1:12">
      <c r="A11" t="s">
        <v>88</v>
      </c>
      <c r="B11">
        <v>13814</v>
      </c>
      <c r="C11">
        <v>17213</v>
      </c>
      <c r="D11">
        <v>18474</v>
      </c>
      <c r="E11">
        <v>19606</v>
      </c>
      <c r="F11">
        <v>22807</v>
      </c>
      <c r="G11">
        <v>22576</v>
      </c>
      <c r="H11">
        <v>3945</v>
      </c>
      <c r="I11">
        <v>3712</v>
      </c>
      <c r="J11">
        <v>3556</v>
      </c>
      <c r="K11">
        <v>3295</v>
      </c>
      <c r="L11">
        <v>3190</v>
      </c>
    </row>
    <row r="13" spans="1:12" ht="16">
      <c r="A13" s="2" t="s">
        <v>113</v>
      </c>
      <c r="B13">
        <v>2000</v>
      </c>
      <c r="C13">
        <v>2001</v>
      </c>
      <c r="D13">
        <v>2002</v>
      </c>
      <c r="E13">
        <v>2003</v>
      </c>
      <c r="F13">
        <v>2004</v>
      </c>
      <c r="G13">
        <v>2005</v>
      </c>
      <c r="H13">
        <v>2006</v>
      </c>
      <c r="I13">
        <v>2007</v>
      </c>
      <c r="J13">
        <v>2008</v>
      </c>
      <c r="K13">
        <v>2009</v>
      </c>
      <c r="L13">
        <v>2010</v>
      </c>
    </row>
    <row r="14" spans="1:12">
      <c r="A14" t="s">
        <v>87</v>
      </c>
      <c r="B14">
        <v>249250</v>
      </c>
      <c r="C14">
        <v>313466</v>
      </c>
      <c r="D14">
        <v>304757</v>
      </c>
      <c r="E14">
        <v>252819</v>
      </c>
      <c r="F14">
        <v>244231</v>
      </c>
      <c r="G14">
        <v>234307</v>
      </c>
      <c r="H14">
        <v>304599</v>
      </c>
      <c r="I14">
        <v>269018</v>
      </c>
      <c r="J14">
        <v>211330</v>
      </c>
      <c r="K14">
        <v>190763</v>
      </c>
      <c r="L14">
        <v>172903</v>
      </c>
    </row>
    <row r="15" spans="1:12">
      <c r="A15" t="s">
        <v>86</v>
      </c>
      <c r="B15">
        <v>62243</v>
      </c>
      <c r="C15">
        <v>87537</v>
      </c>
      <c r="D15">
        <v>98532</v>
      </c>
      <c r="E15">
        <v>93075</v>
      </c>
      <c r="F15">
        <v>98337</v>
      </c>
      <c r="G15">
        <v>98341</v>
      </c>
      <c r="H15">
        <v>66913</v>
      </c>
      <c r="I15">
        <v>59141</v>
      </c>
      <c r="J15">
        <v>51468</v>
      </c>
      <c r="K15">
        <v>47493</v>
      </c>
      <c r="L15">
        <v>47541</v>
      </c>
    </row>
    <row r="16" spans="1:12">
      <c r="A16" t="s">
        <v>89</v>
      </c>
      <c r="B16">
        <v>39603</v>
      </c>
      <c r="C16">
        <v>50371</v>
      </c>
      <c r="D16">
        <v>52498</v>
      </c>
      <c r="E16">
        <v>47818</v>
      </c>
      <c r="F16">
        <v>30920</v>
      </c>
      <c r="G16">
        <v>25479</v>
      </c>
      <c r="H16">
        <v>36604</v>
      </c>
      <c r="I16">
        <v>31685</v>
      </c>
      <c r="J16">
        <v>25095</v>
      </c>
      <c r="K16">
        <v>21642</v>
      </c>
      <c r="L16">
        <v>19242</v>
      </c>
    </row>
    <row r="17" spans="1:12">
      <c r="A17" t="s">
        <v>88</v>
      </c>
      <c r="B17">
        <v>67625</v>
      </c>
      <c r="C17">
        <v>95110</v>
      </c>
      <c r="D17">
        <v>106288</v>
      </c>
      <c r="E17">
        <v>100463</v>
      </c>
      <c r="F17">
        <v>107377</v>
      </c>
      <c r="G17">
        <v>111784</v>
      </c>
      <c r="H17">
        <v>23023</v>
      </c>
      <c r="I17">
        <v>20598</v>
      </c>
      <c r="J17">
        <v>17026</v>
      </c>
      <c r="K17">
        <v>15227</v>
      </c>
      <c r="L17">
        <v>14389</v>
      </c>
    </row>
    <row r="18" spans="1:12" ht="16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3" t="s">
        <v>3</v>
      </c>
      <c r="B19">
        <v>2000</v>
      </c>
      <c r="C19">
        <v>2001</v>
      </c>
      <c r="D19">
        <v>2002</v>
      </c>
      <c r="E19">
        <v>2003</v>
      </c>
      <c r="F19">
        <v>2004</v>
      </c>
      <c r="G19">
        <v>2005</v>
      </c>
      <c r="H19">
        <v>2006</v>
      </c>
      <c r="I19">
        <v>2007</v>
      </c>
      <c r="J19">
        <v>2008</v>
      </c>
      <c r="K19">
        <v>2009</v>
      </c>
      <c r="L19">
        <v>2010</v>
      </c>
    </row>
    <row r="20" spans="1:12">
      <c r="A20" t="s">
        <v>152</v>
      </c>
      <c r="B20">
        <f>(B8+B14)/B2</f>
        <v>0.96590548733583048</v>
      </c>
      <c r="C20">
        <f t="shared" ref="C20:L20" si="1">(C8+C14)/C2</f>
        <v>0.93611406270171504</v>
      </c>
      <c r="D20">
        <f t="shared" si="1"/>
        <v>0.92848527667734859</v>
      </c>
      <c r="E20">
        <f t="shared" si="1"/>
        <v>0.98823119643644586</v>
      </c>
      <c r="F20">
        <f t="shared" si="1"/>
        <v>1.2373718504042075</v>
      </c>
      <c r="G20">
        <f t="shared" si="1"/>
        <v>1.308315367041009</v>
      </c>
      <c r="H20">
        <f t="shared" si="1"/>
        <v>1.3925081248368412</v>
      </c>
      <c r="I20">
        <f t="shared" si="1"/>
        <v>1.4299226440093928</v>
      </c>
      <c r="J20">
        <f t="shared" si="1"/>
        <v>1.4360429204724969</v>
      </c>
      <c r="K20">
        <f t="shared" si="1"/>
        <v>1.4413507900457874</v>
      </c>
      <c r="L20">
        <f t="shared" si="1"/>
        <v>1.4521878871070339</v>
      </c>
    </row>
    <row r="21" spans="1:12">
      <c r="A21" t="s">
        <v>153</v>
      </c>
      <c r="B21">
        <f t="shared" ref="B21:L23" si="2">(B9+B15)/B3</f>
        <v>0.77069967316305532</v>
      </c>
      <c r="C21">
        <f t="shared" si="2"/>
        <v>0.86470285439117944</v>
      </c>
      <c r="D21">
        <f t="shared" si="2"/>
        <v>0.89500289290173274</v>
      </c>
      <c r="E21">
        <f t="shared" si="2"/>
        <v>0.91540697202422505</v>
      </c>
      <c r="F21">
        <f t="shared" si="2"/>
        <v>1.1267342532619919</v>
      </c>
      <c r="G21">
        <f t="shared" si="2"/>
        <v>1.2727456358572005</v>
      </c>
      <c r="H21">
        <f t="shared" si="2"/>
        <v>1.4223251552478877</v>
      </c>
      <c r="I21">
        <f t="shared" si="2"/>
        <v>1.4538998767533307</v>
      </c>
      <c r="J21">
        <f t="shared" si="2"/>
        <v>1.4984956236323852</v>
      </c>
      <c r="K21">
        <f t="shared" si="2"/>
        <v>1.5515600211528291</v>
      </c>
      <c r="L21">
        <f t="shared" si="2"/>
        <v>1.5701676516093033</v>
      </c>
    </row>
    <row r="22" spans="1:12">
      <c r="A22" t="s">
        <v>154</v>
      </c>
      <c r="B22">
        <f t="shared" si="2"/>
        <v>0.72401918583200098</v>
      </c>
      <c r="C22">
        <f t="shared" si="2"/>
        <v>0.80965346534653471</v>
      </c>
      <c r="D22">
        <f t="shared" si="2"/>
        <v>0.84156862745098038</v>
      </c>
      <c r="E22">
        <f t="shared" si="2"/>
        <v>0.83387982984757181</v>
      </c>
      <c r="F22">
        <f t="shared" si="2"/>
        <v>1.0041160220994476</v>
      </c>
      <c r="G22">
        <f t="shared" si="2"/>
        <v>1.158739365815932</v>
      </c>
      <c r="H22">
        <f t="shared" si="2"/>
        <v>1.2270762898721153</v>
      </c>
      <c r="I22">
        <f t="shared" si="2"/>
        <v>1.2705763467837481</v>
      </c>
      <c r="J22">
        <f t="shared" si="2"/>
        <v>1.2863588575433678</v>
      </c>
      <c r="K22">
        <f t="shared" si="2"/>
        <v>1.2736984652422509</v>
      </c>
      <c r="L22">
        <f t="shared" si="2"/>
        <v>1.3024246209755266</v>
      </c>
    </row>
    <row r="23" spans="1:12">
      <c r="A23" t="s">
        <v>155</v>
      </c>
      <c r="B23">
        <f t="shared" si="2"/>
        <v>0.60641870508954165</v>
      </c>
      <c r="C23">
        <f t="shared" si="2"/>
        <v>0.70662506212371901</v>
      </c>
      <c r="D23">
        <f t="shared" si="2"/>
        <v>0.72201902821824582</v>
      </c>
      <c r="E23">
        <f t="shared" si="2"/>
        <v>0.73356834760933054</v>
      </c>
      <c r="F23">
        <f t="shared" si="2"/>
        <v>0.98927019058330046</v>
      </c>
      <c r="G23">
        <f t="shared" si="2"/>
        <v>1.1911875526397446</v>
      </c>
      <c r="H23">
        <f t="shared" si="2"/>
        <v>1.253451080641413</v>
      </c>
      <c r="I23">
        <f t="shared" si="2"/>
        <v>1.299235743680188</v>
      </c>
      <c r="J23">
        <f t="shared" si="2"/>
        <v>1.3226656384551121</v>
      </c>
      <c r="K23">
        <f t="shared" si="2"/>
        <v>1.3203592814371257</v>
      </c>
      <c r="L23">
        <f t="shared" si="2"/>
        <v>1.3380270969706196</v>
      </c>
    </row>
    <row r="24" spans="1:12" ht="16">
      <c r="A24" s="2" t="s">
        <v>173</v>
      </c>
      <c r="B24">
        <v>0.83079107445892919</v>
      </c>
      <c r="C24">
        <v>0.8642185453008866</v>
      </c>
      <c r="D24">
        <v>0.86848126528674741</v>
      </c>
      <c r="E24">
        <v>0.89668872386357001</v>
      </c>
      <c r="F24">
        <v>1.1352645064869114</v>
      </c>
      <c r="G24">
        <v>1.2629515784423904</v>
      </c>
      <c r="H24">
        <v>1.3743931189790406</v>
      </c>
      <c r="I24">
        <v>1.4122197127829614</v>
      </c>
      <c r="J24">
        <v>1.4268374534320749</v>
      </c>
      <c r="K24">
        <v>1.4385674908013812</v>
      </c>
      <c r="L24">
        <v>1.4545305460525417</v>
      </c>
    </row>
    <row r="25" spans="1:12">
      <c r="A25" s="13" t="s">
        <v>4</v>
      </c>
      <c r="B25">
        <v>2000</v>
      </c>
      <c r="C25">
        <v>2001</v>
      </c>
      <c r="D25">
        <v>2002</v>
      </c>
      <c r="E25">
        <v>2003</v>
      </c>
      <c r="F25">
        <v>2004</v>
      </c>
      <c r="G25">
        <v>2005</v>
      </c>
      <c r="H25">
        <v>2006</v>
      </c>
      <c r="I25">
        <v>2007</v>
      </c>
      <c r="J25">
        <v>2008</v>
      </c>
      <c r="K25">
        <v>2009</v>
      </c>
      <c r="L25">
        <v>2010</v>
      </c>
    </row>
    <row r="26" spans="1:12">
      <c r="A26" t="s">
        <v>152</v>
      </c>
      <c r="B26">
        <f>B8/(B8+B14)</f>
        <v>0.18979449872902568</v>
      </c>
      <c r="C26">
        <f t="shared" ref="C26:L26" si="3">C8/(C8+C14)</f>
        <v>0.16866412244107748</v>
      </c>
      <c r="D26">
        <f t="shared" si="3"/>
        <v>0.17178395947473693</v>
      </c>
      <c r="E26">
        <f t="shared" si="3"/>
        <v>0.182511325312113</v>
      </c>
      <c r="F26">
        <f t="shared" si="3"/>
        <v>0.18961901665018682</v>
      </c>
      <c r="G26">
        <f t="shared" si="3"/>
        <v>0.17673493624541911</v>
      </c>
      <c r="H26">
        <f t="shared" si="3"/>
        <v>0.17241576055947705</v>
      </c>
      <c r="I26">
        <f t="shared" si="3"/>
        <v>0.17731246884547047</v>
      </c>
      <c r="J26">
        <f t="shared" si="3"/>
        <v>0.19558911972715576</v>
      </c>
      <c r="K26">
        <f t="shared" si="3"/>
        <v>0.19628991417845992</v>
      </c>
      <c r="L26">
        <f t="shared" si="3"/>
        <v>0.20276008982049734</v>
      </c>
    </row>
    <row r="27" spans="1:12">
      <c r="A27" t="s">
        <v>153</v>
      </c>
      <c r="B27">
        <f t="shared" ref="B27:L29" si="4">B9/(B9+B15)</f>
        <v>0.18531171057970444</v>
      </c>
      <c r="C27">
        <f t="shared" si="4"/>
        <v>0.15951032165146423</v>
      </c>
      <c r="D27">
        <f t="shared" si="4"/>
        <v>0.16188629172195571</v>
      </c>
      <c r="E27">
        <f t="shared" si="4"/>
        <v>0.17455967647528334</v>
      </c>
      <c r="F27">
        <f t="shared" si="4"/>
        <v>0.18073664303388293</v>
      </c>
      <c r="G27">
        <f t="shared" si="4"/>
        <v>0.17855442418369991</v>
      </c>
      <c r="H27">
        <f t="shared" si="4"/>
        <v>0.20179174271433514</v>
      </c>
      <c r="I27">
        <f t="shared" si="4"/>
        <v>0.20422772104037998</v>
      </c>
      <c r="J27">
        <f t="shared" si="4"/>
        <v>0.21712147485625627</v>
      </c>
      <c r="K27">
        <f t="shared" si="4"/>
        <v>0.2291849255039439</v>
      </c>
      <c r="L27">
        <f t="shared" si="4"/>
        <v>0.23205776406545303</v>
      </c>
    </row>
    <row r="28" spans="1:12">
      <c r="A28" t="s">
        <v>154</v>
      </c>
      <c r="B28">
        <f t="shared" si="4"/>
        <v>0.15910056055715985</v>
      </c>
      <c r="C28">
        <f t="shared" si="4"/>
        <v>0.1444852066985971</v>
      </c>
      <c r="D28">
        <f t="shared" si="4"/>
        <v>0.14164254999100734</v>
      </c>
      <c r="E28">
        <f t="shared" si="4"/>
        <v>0.1530191118904653</v>
      </c>
      <c r="F28">
        <f t="shared" si="4"/>
        <v>0.14935761644061735</v>
      </c>
      <c r="G28">
        <f t="shared" si="4"/>
        <v>0.14970799265810111</v>
      </c>
      <c r="H28">
        <f t="shared" si="4"/>
        <v>0.1230264261242483</v>
      </c>
      <c r="I28">
        <f t="shared" si="4"/>
        <v>0.13103694155719497</v>
      </c>
      <c r="J28">
        <f t="shared" si="4"/>
        <v>0.14541120381406436</v>
      </c>
      <c r="K28">
        <f t="shared" si="4"/>
        <v>0.14778499704666273</v>
      </c>
      <c r="L28">
        <f t="shared" si="4"/>
        <v>0.16109342982953306</v>
      </c>
    </row>
    <row r="29" spans="1:12">
      <c r="A29" t="s">
        <v>155</v>
      </c>
      <c r="B29">
        <f t="shared" si="4"/>
        <v>0.16962389027370178</v>
      </c>
      <c r="C29">
        <f t="shared" si="4"/>
        <v>0.15324555077766797</v>
      </c>
      <c r="D29">
        <f t="shared" si="4"/>
        <v>0.14807393276799025</v>
      </c>
      <c r="E29">
        <f t="shared" si="4"/>
        <v>0.16328944190423839</v>
      </c>
      <c r="F29">
        <f t="shared" si="4"/>
        <v>0.17519049960056535</v>
      </c>
      <c r="G29">
        <f t="shared" si="4"/>
        <v>0.16802619827329562</v>
      </c>
      <c r="H29">
        <f t="shared" si="4"/>
        <v>0.14628448531593</v>
      </c>
      <c r="I29">
        <f t="shared" si="4"/>
        <v>0.15269436445907034</v>
      </c>
      <c r="J29">
        <f t="shared" si="4"/>
        <v>0.17277232533281509</v>
      </c>
      <c r="K29">
        <f t="shared" si="4"/>
        <v>0.17789655544757585</v>
      </c>
      <c r="L29">
        <f t="shared" si="4"/>
        <v>0.1814665225553217</v>
      </c>
    </row>
    <row r="30" spans="1:12" ht="16">
      <c r="A30" s="2" t="s">
        <v>173</v>
      </c>
      <c r="B30">
        <v>0.18310136682703376</v>
      </c>
      <c r="C30">
        <v>0.16236597870987024</v>
      </c>
      <c r="D30">
        <v>0.16290146026167054</v>
      </c>
      <c r="E30">
        <v>0.17437590427469235</v>
      </c>
      <c r="F30">
        <v>0.1821220156444269</v>
      </c>
      <c r="G30">
        <v>0.17363610944536964</v>
      </c>
      <c r="H30">
        <v>0.17183256049820014</v>
      </c>
      <c r="I30">
        <v>0.17669463374097311</v>
      </c>
      <c r="J30">
        <v>0.19419507773458455</v>
      </c>
      <c r="K30">
        <v>0.19761493682994832</v>
      </c>
      <c r="L30">
        <v>0.20427497651111806</v>
      </c>
    </row>
    <row r="32" spans="1:12" ht="16">
      <c r="A32" s="2" t="s">
        <v>151</v>
      </c>
      <c r="B32" t="s">
        <v>138</v>
      </c>
    </row>
    <row r="33" spans="1:12">
      <c r="A33" t="s">
        <v>152</v>
      </c>
      <c r="B33">
        <v>43974</v>
      </c>
    </row>
    <row r="34" spans="1:12">
      <c r="A34" t="s">
        <v>153</v>
      </c>
      <c r="B34">
        <v>14366</v>
      </c>
    </row>
    <row r="35" spans="1:12">
      <c r="A35" t="s">
        <v>154</v>
      </c>
      <c r="B35">
        <v>3695</v>
      </c>
    </row>
    <row r="36" spans="1:12">
      <c r="A36" t="s">
        <v>155</v>
      </c>
      <c r="B36">
        <v>3190</v>
      </c>
    </row>
    <row r="48" spans="1:12" ht="16">
      <c r="A48" s="2" t="s">
        <v>65</v>
      </c>
      <c r="B48">
        <v>2000</v>
      </c>
      <c r="C48">
        <v>2001</v>
      </c>
      <c r="D48">
        <v>2002</v>
      </c>
      <c r="E48">
        <v>2003</v>
      </c>
      <c r="F48">
        <v>2004</v>
      </c>
      <c r="G48">
        <v>2005</v>
      </c>
      <c r="H48">
        <v>2006</v>
      </c>
      <c r="I48">
        <v>2007</v>
      </c>
      <c r="J48">
        <v>2008</v>
      </c>
      <c r="K48">
        <v>2009</v>
      </c>
      <c r="L48">
        <v>2010</v>
      </c>
    </row>
    <row r="49" spans="1:19">
      <c r="A49" t="s">
        <v>152</v>
      </c>
      <c r="B49">
        <v>58388</v>
      </c>
      <c r="C49">
        <v>63597</v>
      </c>
      <c r="D49">
        <v>63211</v>
      </c>
      <c r="E49">
        <v>56444</v>
      </c>
      <c r="F49">
        <v>57147</v>
      </c>
      <c r="G49">
        <v>50300</v>
      </c>
      <c r="H49">
        <v>63459</v>
      </c>
      <c r="I49">
        <v>57981</v>
      </c>
      <c r="J49">
        <v>51384</v>
      </c>
      <c r="K49">
        <v>46590</v>
      </c>
      <c r="L49">
        <v>43974</v>
      </c>
    </row>
    <row r="50" spans="1:19">
      <c r="A50" t="s">
        <v>153</v>
      </c>
      <c r="B50">
        <v>14158</v>
      </c>
      <c r="C50">
        <v>16613</v>
      </c>
      <c r="D50">
        <v>19032</v>
      </c>
      <c r="E50">
        <v>19683</v>
      </c>
      <c r="F50">
        <v>21694</v>
      </c>
      <c r="G50">
        <v>21376</v>
      </c>
      <c r="H50">
        <v>16916</v>
      </c>
      <c r="I50">
        <v>15178</v>
      </c>
      <c r="J50">
        <v>14274</v>
      </c>
      <c r="K50">
        <v>14121</v>
      </c>
      <c r="L50">
        <v>14366</v>
      </c>
    </row>
    <row r="51" spans="1:19">
      <c r="A51" t="s">
        <v>154</v>
      </c>
      <c r="B51">
        <v>7493</v>
      </c>
      <c r="C51">
        <v>8507</v>
      </c>
      <c r="D51">
        <v>8663</v>
      </c>
      <c r="E51">
        <v>8639</v>
      </c>
      <c r="F51">
        <v>5429</v>
      </c>
      <c r="G51">
        <v>4486</v>
      </c>
      <c r="H51">
        <v>5135</v>
      </c>
      <c r="I51">
        <v>4778</v>
      </c>
      <c r="J51">
        <v>4270</v>
      </c>
      <c r="K51">
        <v>3753</v>
      </c>
      <c r="L51">
        <v>3695</v>
      </c>
    </row>
    <row r="52" spans="1:19">
      <c r="A52" t="s">
        <v>155</v>
      </c>
      <c r="B52">
        <v>13814</v>
      </c>
      <c r="C52">
        <v>17213</v>
      </c>
      <c r="D52">
        <v>18474</v>
      </c>
      <c r="E52">
        <v>19606</v>
      </c>
      <c r="F52">
        <v>22807</v>
      </c>
      <c r="G52">
        <v>22576</v>
      </c>
      <c r="H52">
        <v>3945</v>
      </c>
      <c r="I52">
        <v>3712</v>
      </c>
      <c r="J52">
        <v>3556</v>
      </c>
      <c r="K52">
        <v>3295</v>
      </c>
      <c r="L52">
        <v>3190</v>
      </c>
    </row>
    <row r="56" spans="1:19">
      <c r="A56" t="s">
        <v>3</v>
      </c>
      <c r="B56">
        <v>2000</v>
      </c>
      <c r="C56">
        <v>2001</v>
      </c>
      <c r="D56">
        <v>2002</v>
      </c>
      <c r="E56">
        <v>2003</v>
      </c>
      <c r="F56">
        <v>2004</v>
      </c>
      <c r="G56">
        <v>2005</v>
      </c>
      <c r="H56">
        <v>2006</v>
      </c>
      <c r="I56">
        <v>2007</v>
      </c>
      <c r="J56">
        <v>2008</v>
      </c>
      <c r="K56">
        <v>2009</v>
      </c>
      <c r="L56">
        <v>2010</v>
      </c>
      <c r="O56" s="35" t="s">
        <v>3</v>
      </c>
      <c r="P56" s="36" t="s">
        <v>87</v>
      </c>
      <c r="Q56" s="35" t="s">
        <v>86</v>
      </c>
      <c r="R56" s="35" t="s">
        <v>89</v>
      </c>
      <c r="S56" s="35" t="s">
        <v>88</v>
      </c>
    </row>
    <row r="57" spans="1:19">
      <c r="A57" t="s">
        <v>192</v>
      </c>
      <c r="B57">
        <v>0.96590548733583048</v>
      </c>
      <c r="C57">
        <v>0.93611406270171504</v>
      </c>
      <c r="D57">
        <v>0.92848527667734859</v>
      </c>
      <c r="E57">
        <v>0.98823119643644586</v>
      </c>
      <c r="F57">
        <v>1.2373718504042075</v>
      </c>
      <c r="G57">
        <v>1.308315367041009</v>
      </c>
      <c r="H57">
        <v>1.3925081248368412</v>
      </c>
      <c r="I57">
        <v>1.4299226440093928</v>
      </c>
      <c r="J57">
        <v>1.4360429204724969</v>
      </c>
      <c r="K57">
        <v>1.4413507900457874</v>
      </c>
      <c r="L57">
        <v>1.4521878871070339</v>
      </c>
      <c r="O57" s="36" t="s">
        <v>87</v>
      </c>
      <c r="P57" s="35">
        <v>1</v>
      </c>
      <c r="Q57" s="35"/>
      <c r="R57" s="35"/>
      <c r="S57" s="35"/>
    </row>
    <row r="58" spans="1:19">
      <c r="A58" t="s">
        <v>193</v>
      </c>
      <c r="B58">
        <v>0.77069967316305532</v>
      </c>
      <c r="C58">
        <v>0.86470285439117944</v>
      </c>
      <c r="D58">
        <v>0.89500289290173274</v>
      </c>
      <c r="E58">
        <v>0.91540697202422505</v>
      </c>
      <c r="F58">
        <v>1.1267342532619919</v>
      </c>
      <c r="G58">
        <v>1.2727456358572005</v>
      </c>
      <c r="H58">
        <v>1.4223251552478877</v>
      </c>
      <c r="I58">
        <v>1.4538998767533307</v>
      </c>
      <c r="J58">
        <v>1.4984956236323852</v>
      </c>
      <c r="K58">
        <v>1.5515600211528291</v>
      </c>
      <c r="L58">
        <v>1.5701676516093033</v>
      </c>
      <c r="O58" s="35" t="s">
        <v>86</v>
      </c>
      <c r="P58" s="35">
        <v>0.93518915580401241</v>
      </c>
      <c r="Q58" s="35">
        <v>1</v>
      </c>
      <c r="R58" s="35"/>
      <c r="S58" s="35"/>
    </row>
    <row r="59" spans="1:19">
      <c r="A59" t="s">
        <v>194</v>
      </c>
      <c r="B59">
        <v>0.72401918583200098</v>
      </c>
      <c r="C59">
        <v>0.80965346534653471</v>
      </c>
      <c r="D59">
        <v>0.84156862745098038</v>
      </c>
      <c r="E59">
        <v>0.83387982984757181</v>
      </c>
      <c r="F59">
        <v>1.0041160220994476</v>
      </c>
      <c r="G59">
        <v>1.158739365815932</v>
      </c>
      <c r="H59">
        <v>1.2270762898721153</v>
      </c>
      <c r="I59">
        <v>1.2705763467837481</v>
      </c>
      <c r="J59">
        <v>1.2863588575433678</v>
      </c>
      <c r="K59">
        <v>1.2736984652422509</v>
      </c>
      <c r="L59">
        <v>1.3024246209755266</v>
      </c>
      <c r="O59" s="35" t="s">
        <v>89</v>
      </c>
      <c r="P59" s="35">
        <v>0.73733334224289904</v>
      </c>
      <c r="Q59" s="35">
        <v>0.80429508550574813</v>
      </c>
      <c r="R59" s="35">
        <v>1</v>
      </c>
      <c r="S59" s="35"/>
    </row>
    <row r="60" spans="1:19">
      <c r="A60" t="s">
        <v>195</v>
      </c>
      <c r="B60">
        <v>0.60641870508954165</v>
      </c>
      <c r="C60">
        <v>0.70662506212371901</v>
      </c>
      <c r="D60">
        <v>0.72201902821824582</v>
      </c>
      <c r="E60">
        <v>0.73356834760933054</v>
      </c>
      <c r="F60">
        <v>0.98927019058330046</v>
      </c>
      <c r="G60">
        <v>1.1911875526397446</v>
      </c>
      <c r="H60">
        <v>1.253451080641413</v>
      </c>
      <c r="I60">
        <v>1.299235743680188</v>
      </c>
      <c r="J60">
        <v>1.3226656384551121</v>
      </c>
      <c r="K60">
        <v>1.3203592814371257</v>
      </c>
      <c r="L60">
        <v>1.3380270969706196</v>
      </c>
      <c r="O60" s="35" t="s">
        <v>88</v>
      </c>
      <c r="P60" s="35">
        <v>0.72086275581378279</v>
      </c>
      <c r="Q60" s="35">
        <v>0.83269991195688198</v>
      </c>
      <c r="R60" s="35">
        <v>0.9596632433930905</v>
      </c>
      <c r="S60" s="35">
        <v>1</v>
      </c>
    </row>
    <row r="61" spans="1:19">
      <c r="A61" t="s">
        <v>173</v>
      </c>
      <c r="B61">
        <v>0.83079107445892919</v>
      </c>
      <c r="C61">
        <v>0.8642185453008866</v>
      </c>
      <c r="D61">
        <v>0.86848126528674741</v>
      </c>
      <c r="E61">
        <v>0.89668872386357001</v>
      </c>
      <c r="F61">
        <v>1.1352645064869114</v>
      </c>
      <c r="G61">
        <v>1.2629515784423904</v>
      </c>
      <c r="H61">
        <v>1.3743931189790406</v>
      </c>
      <c r="I61">
        <v>1.4122197127829614</v>
      </c>
      <c r="J61">
        <v>1.4268374534320749</v>
      </c>
      <c r="K61">
        <v>1.4385674908013812</v>
      </c>
      <c r="L61">
        <v>1.4545305460525417</v>
      </c>
    </row>
    <row r="62" spans="1:19">
      <c r="A62" t="s">
        <v>4</v>
      </c>
      <c r="B62">
        <v>2000</v>
      </c>
      <c r="C62">
        <v>2001</v>
      </c>
      <c r="D62">
        <v>2002</v>
      </c>
      <c r="E62">
        <v>2003</v>
      </c>
      <c r="F62">
        <v>2004</v>
      </c>
      <c r="G62">
        <v>2005</v>
      </c>
      <c r="H62">
        <v>2006</v>
      </c>
      <c r="I62">
        <v>2007</v>
      </c>
      <c r="J62">
        <v>2008</v>
      </c>
      <c r="K62">
        <v>2009</v>
      </c>
      <c r="L62">
        <v>2010</v>
      </c>
      <c r="O62" s="35" t="s">
        <v>3</v>
      </c>
      <c r="P62" s="36" t="s">
        <v>87</v>
      </c>
      <c r="Q62" s="35" t="s">
        <v>86</v>
      </c>
      <c r="R62" s="35" t="s">
        <v>89</v>
      </c>
      <c r="S62" s="35" t="s">
        <v>88</v>
      </c>
    </row>
    <row r="63" spans="1:19">
      <c r="A63" t="s">
        <v>192</v>
      </c>
      <c r="B63">
        <v>0.18979449872902568</v>
      </c>
      <c r="C63">
        <v>0.16866412244107748</v>
      </c>
      <c r="D63">
        <v>0.17178395947473693</v>
      </c>
      <c r="E63">
        <v>0.182511325312113</v>
      </c>
      <c r="F63">
        <v>0.18961901665018682</v>
      </c>
      <c r="G63">
        <v>0.17673493624541911</v>
      </c>
      <c r="H63">
        <v>0.17241576055947705</v>
      </c>
      <c r="I63">
        <v>0.17731246884547047</v>
      </c>
      <c r="J63">
        <v>0.19558911972715576</v>
      </c>
      <c r="K63">
        <v>0.19628991417845992</v>
      </c>
      <c r="L63">
        <v>0.20276008982049734</v>
      </c>
      <c r="O63" s="36" t="s">
        <v>87</v>
      </c>
      <c r="P63" s="35">
        <v>1</v>
      </c>
      <c r="Q63" s="35"/>
      <c r="R63" s="35"/>
      <c r="S63" s="35"/>
    </row>
    <row r="64" spans="1:19">
      <c r="A64" t="s">
        <v>193</v>
      </c>
      <c r="B64">
        <v>0.18531171057970444</v>
      </c>
      <c r="C64">
        <v>0.15951032165146423</v>
      </c>
      <c r="D64">
        <v>0.16188629172195571</v>
      </c>
      <c r="E64">
        <v>0.17455967647528334</v>
      </c>
      <c r="F64">
        <v>0.18073664303388293</v>
      </c>
      <c r="G64">
        <v>0.17855442418369991</v>
      </c>
      <c r="H64">
        <v>0.20179174271433514</v>
      </c>
      <c r="I64">
        <v>0.20422772104037998</v>
      </c>
      <c r="J64">
        <v>0.21712147485625627</v>
      </c>
      <c r="K64">
        <v>0.2291849255039439</v>
      </c>
      <c r="L64">
        <v>0.23205776406545303</v>
      </c>
      <c r="O64" s="35" t="s">
        <v>86</v>
      </c>
      <c r="P64" s="35">
        <v>0.47449248572017966</v>
      </c>
      <c r="Q64" s="35">
        <v>1</v>
      </c>
      <c r="R64" s="35"/>
      <c r="S64" s="35"/>
    </row>
    <row r="65" spans="1:25">
      <c r="A65" t="s">
        <v>194</v>
      </c>
      <c r="B65">
        <v>0.15910056055715985</v>
      </c>
      <c r="C65">
        <v>0.1444852066985971</v>
      </c>
      <c r="D65">
        <v>0.14164254999100734</v>
      </c>
      <c r="E65">
        <v>0.1530191118904653</v>
      </c>
      <c r="F65">
        <v>0.14935761644061735</v>
      </c>
      <c r="G65">
        <v>0.14970799265810111</v>
      </c>
      <c r="H65">
        <v>0.1230264261242483</v>
      </c>
      <c r="I65">
        <v>0.13103694155719497</v>
      </c>
      <c r="J65">
        <v>0.14541120381406436</v>
      </c>
      <c r="K65">
        <v>0.14778499704666273</v>
      </c>
      <c r="L65">
        <v>0.16109342982953306</v>
      </c>
      <c r="O65" s="35" t="s">
        <v>89</v>
      </c>
      <c r="P65" s="35">
        <v>-0.6033051183585022</v>
      </c>
      <c r="Q65" s="35">
        <v>-0.60046290326257246</v>
      </c>
      <c r="R65" s="35">
        <v>1</v>
      </c>
      <c r="S65" s="35"/>
    </row>
    <row r="66" spans="1:25">
      <c r="A66" t="s">
        <v>195</v>
      </c>
      <c r="B66">
        <v>0.16962389027370178</v>
      </c>
      <c r="C66">
        <v>0.15324555077766797</v>
      </c>
      <c r="D66">
        <v>0.14807393276799025</v>
      </c>
      <c r="E66">
        <v>0.16328944190423839</v>
      </c>
      <c r="F66">
        <v>0.17519049960056535</v>
      </c>
      <c r="G66">
        <v>0.16802619827329562</v>
      </c>
      <c r="H66">
        <v>0.14628448531593</v>
      </c>
      <c r="I66">
        <v>0.15269436445907034</v>
      </c>
      <c r="J66">
        <v>0.17277232533281509</v>
      </c>
      <c r="K66">
        <v>0.17789655544757585</v>
      </c>
      <c r="L66">
        <v>0.1814665225553217</v>
      </c>
      <c r="O66" s="35" t="s">
        <v>88</v>
      </c>
      <c r="P66" s="35">
        <v>0.103747299898294</v>
      </c>
      <c r="Q66" s="35">
        <v>-8.4546151629661948E-2</v>
      </c>
      <c r="R66" s="35">
        <v>5.5914339732659163E-2</v>
      </c>
      <c r="S66" s="35">
        <v>1</v>
      </c>
    </row>
    <row r="67" spans="1:25">
      <c r="A67" t="s">
        <v>173</v>
      </c>
      <c r="B67">
        <v>0.18310136682703376</v>
      </c>
      <c r="C67">
        <v>0.16236597870987024</v>
      </c>
      <c r="D67">
        <v>0.16290146026167054</v>
      </c>
      <c r="E67">
        <v>0.17437590427469235</v>
      </c>
      <c r="F67">
        <v>0.1821220156444269</v>
      </c>
      <c r="G67">
        <v>0.17363610944536964</v>
      </c>
      <c r="H67">
        <v>0.17183256049820014</v>
      </c>
      <c r="I67">
        <v>0.17669463374097311</v>
      </c>
      <c r="J67">
        <v>0.19419507773458455</v>
      </c>
      <c r="K67">
        <v>0.19761493682994832</v>
      </c>
      <c r="L67">
        <v>0.20427497651111806</v>
      </c>
    </row>
    <row r="73" spans="1:25">
      <c r="X73" t="s">
        <v>185</v>
      </c>
      <c r="Y73" t="s">
        <v>186</v>
      </c>
    </row>
    <row r="74" spans="1:25" ht="16">
      <c r="A74" s="2" t="s">
        <v>196</v>
      </c>
      <c r="B74">
        <v>0.96590548733583048</v>
      </c>
      <c r="C74">
        <v>0.93611406270171504</v>
      </c>
      <c r="D74">
        <v>0.92848527667734859</v>
      </c>
      <c r="E74">
        <v>0.98823119643644586</v>
      </c>
      <c r="F74">
        <v>1.2373718504042075</v>
      </c>
      <c r="G74">
        <v>1.308315367041009</v>
      </c>
      <c r="H74">
        <v>1.3925081248368412</v>
      </c>
      <c r="I74">
        <v>1.4299226440093928</v>
      </c>
      <c r="J74">
        <v>1.4360429204724969</v>
      </c>
      <c r="K74">
        <v>1.4413507900457874</v>
      </c>
      <c r="L74">
        <v>1.4521878871070339</v>
      </c>
      <c r="M74">
        <v>0.77069967316305532</v>
      </c>
      <c r="N74">
        <v>0.86470285439117944</v>
      </c>
      <c r="O74">
        <v>0.89500289290173274</v>
      </c>
      <c r="P74">
        <v>0.91540697202422505</v>
      </c>
      <c r="Q74">
        <v>1.1267342532619919</v>
      </c>
      <c r="R74">
        <v>1.2727456358572005</v>
      </c>
      <c r="S74">
        <v>1.4223251552478877</v>
      </c>
      <c r="T74">
        <v>1.4538998767533307</v>
      </c>
      <c r="U74">
        <v>1.4984956236323852</v>
      </c>
      <c r="V74">
        <v>1.5515600211528291</v>
      </c>
      <c r="W74">
        <v>1.5701676516093033</v>
      </c>
      <c r="X74">
        <f>AVERAGE(B74:W74)</f>
        <v>1.2208261916846923</v>
      </c>
      <c r="Y74">
        <f>(_xlfn.STDEV.P(B74:W74))^2</f>
        <v>6.6322230535617047E-2</v>
      </c>
    </row>
    <row r="75" spans="1:25" ht="16">
      <c r="A75" s="2"/>
      <c r="B75">
        <f>B74-$X74</f>
        <v>-0.25492070434886183</v>
      </c>
      <c r="C75">
        <f>C74-$X74</f>
        <v>-0.28471212898297726</v>
      </c>
      <c r="D75">
        <f>D74-$X74</f>
        <v>-0.29234091500734372</v>
      </c>
      <c r="E75">
        <f>E74-$X74</f>
        <v>-0.23259499524824645</v>
      </c>
      <c r="F75">
        <f>F74-$X74</f>
        <v>1.6545658719515188E-2</v>
      </c>
      <c r="G75">
        <f>G74-$X74</f>
        <v>8.7489175356316728E-2</v>
      </c>
      <c r="H75">
        <f>H74-$X74</f>
        <v>0.17168193315214886</v>
      </c>
      <c r="I75">
        <f>I74-$X74</f>
        <v>0.20909645232470053</v>
      </c>
      <c r="J75">
        <f>J74-$X74</f>
        <v>0.21521672878780462</v>
      </c>
      <c r="K75">
        <f>K74-$X74</f>
        <v>0.22052459836109506</v>
      </c>
      <c r="L75">
        <f>L74-$X74</f>
        <v>0.23136169542234164</v>
      </c>
      <c r="M75">
        <f>M74-$X74</f>
        <v>-0.45012651852163699</v>
      </c>
      <c r="N75">
        <f>N74-$X74</f>
        <v>-0.35612333729351286</v>
      </c>
      <c r="O75">
        <f>O74-$X74</f>
        <v>-0.32582329878295957</v>
      </c>
      <c r="P75">
        <f>P74-$X74</f>
        <v>-0.30541921966046726</v>
      </c>
      <c r="Q75">
        <f>Q74-$X74</f>
        <v>-9.4091938422700361E-2</v>
      </c>
      <c r="R75">
        <f>R74-$X74</f>
        <v>5.1919444172508156E-2</v>
      </c>
      <c r="S75">
        <f>S74-$X74</f>
        <v>0.20149896356319541</v>
      </c>
      <c r="T75">
        <f>T74-$X74</f>
        <v>0.23307368506863835</v>
      </c>
      <c r="U75">
        <f>U74-$X74</f>
        <v>0.27766943194769289</v>
      </c>
      <c r="V75">
        <f>V74-$X74</f>
        <v>0.33073382946813679</v>
      </c>
      <c r="W75">
        <f>W74-$X74</f>
        <v>0.34934145992461096</v>
      </c>
    </row>
    <row r="76" spans="1:25" ht="16">
      <c r="A76" s="2"/>
      <c r="M76">
        <f>B75*M75</f>
        <v>0.1147465691476367</v>
      </c>
      <c r="N76">
        <f t="shared" ref="N76:W76" si="5">C75*N75</f>
        <v>0.10139263354135895</v>
      </c>
      <c r="O76">
        <f t="shared" si="5"/>
        <v>9.5251481296921542E-2</v>
      </c>
      <c r="P76">
        <f t="shared" si="5"/>
        <v>7.1038981945649518E-2</v>
      </c>
      <c r="Q76">
        <f t="shared" si="5"/>
        <v>-1.5568131013996385E-3</v>
      </c>
      <c r="R76">
        <f t="shared" si="5"/>
        <v>4.5423893556110631E-3</v>
      </c>
      <c r="S76">
        <f t="shared" si="5"/>
        <v>3.4593731592683793E-2</v>
      </c>
      <c r="T76">
        <f t="shared" si="5"/>
        <v>4.8734880678096802E-2</v>
      </c>
      <c r="U76">
        <f t="shared" si="5"/>
        <v>5.9759106828150395E-2</v>
      </c>
      <c r="V76">
        <f t="shared" si="5"/>
        <v>7.2934944907887767E-2</v>
      </c>
      <c r="W76">
        <f t="shared" si="5"/>
        <v>8.0824232449474009E-2</v>
      </c>
      <c r="X76">
        <f>SUM(M76:W76)</f>
        <v>0.68226213864207086</v>
      </c>
      <c r="Y76">
        <f>X76/COUNT(B74:L74)/Y74</f>
        <v>0.93518915580401241</v>
      </c>
    </row>
    <row r="77" spans="1:25" ht="16">
      <c r="A77" s="2" t="s">
        <v>197</v>
      </c>
      <c r="B77">
        <v>0.96590548733583048</v>
      </c>
      <c r="C77">
        <v>0.93611406270171504</v>
      </c>
      <c r="D77">
        <v>0.92848527667734859</v>
      </c>
      <c r="E77">
        <v>0.98823119643644586</v>
      </c>
      <c r="F77">
        <v>1.2373718504042075</v>
      </c>
      <c r="G77">
        <v>1.308315367041009</v>
      </c>
      <c r="H77">
        <v>1.3925081248368412</v>
      </c>
      <c r="I77">
        <v>1.4299226440093928</v>
      </c>
      <c r="J77">
        <v>1.4360429204724969</v>
      </c>
      <c r="K77">
        <v>1.4413507900457874</v>
      </c>
      <c r="L77">
        <v>1.4521878871070339</v>
      </c>
      <c r="M77">
        <v>0.72401918583200098</v>
      </c>
      <c r="N77">
        <v>0.80965346534653471</v>
      </c>
      <c r="O77">
        <v>0.84156862745098038</v>
      </c>
      <c r="P77">
        <v>0.83387982984757181</v>
      </c>
      <c r="Q77">
        <v>1.0041160220994476</v>
      </c>
      <c r="R77">
        <v>1.158739365815932</v>
      </c>
      <c r="S77">
        <v>1.2270762898721153</v>
      </c>
      <c r="T77">
        <v>1.2705763467837481</v>
      </c>
      <c r="U77">
        <v>1.2863588575433678</v>
      </c>
      <c r="V77">
        <v>1.2736984652422509</v>
      </c>
      <c r="W77">
        <v>1.3024246209755266</v>
      </c>
      <c r="X77">
        <f>AVERAGE(B77:W77)</f>
        <v>1.1476612129035266</v>
      </c>
      <c r="Y77">
        <f>(_xlfn.STDEV.P(B77:W77))^2</f>
        <v>5.3362132598305488E-2</v>
      </c>
    </row>
    <row r="78" spans="1:25" ht="16">
      <c r="A78" s="2"/>
      <c r="B78">
        <f>B77-$X77</f>
        <v>-0.18175572556769615</v>
      </c>
      <c r="C78">
        <f>C77-$X77</f>
        <v>-0.21154715020181158</v>
      </c>
      <c r="D78">
        <f>D77-$X77</f>
        <v>-0.21917593622617804</v>
      </c>
      <c r="E78">
        <f>E77-$X77</f>
        <v>-0.15943001646708077</v>
      </c>
      <c r="F78">
        <f>F77-$X77</f>
        <v>8.9710637500680868E-2</v>
      </c>
      <c r="G78">
        <f>G77-$X77</f>
        <v>0.16065415413748241</v>
      </c>
      <c r="H78">
        <f>H77-$X77</f>
        <v>0.24484691193331454</v>
      </c>
      <c r="I78">
        <f>I77-$X77</f>
        <v>0.28226143110586621</v>
      </c>
      <c r="J78">
        <f>J77-$X77</f>
        <v>0.2883817075689703</v>
      </c>
      <c r="K78">
        <f>K77-$X77</f>
        <v>0.29368957714226074</v>
      </c>
      <c r="L78">
        <f>L77-$X77</f>
        <v>0.30452667420350732</v>
      </c>
      <c r="M78">
        <f>M77-$X77</f>
        <v>-0.42364202707152565</v>
      </c>
      <c r="N78">
        <f>N77-$X77</f>
        <v>-0.33800774755699192</v>
      </c>
      <c r="O78">
        <f>O77-$X77</f>
        <v>-0.30609258545254625</v>
      </c>
      <c r="P78">
        <f>P77-$X77</f>
        <v>-0.31378138305595482</v>
      </c>
      <c r="Q78">
        <f>Q77-$X77</f>
        <v>-0.14354519080407901</v>
      </c>
      <c r="R78">
        <f>R77-$X77</f>
        <v>1.1078152912405326E-2</v>
      </c>
      <c r="S78">
        <f>S77-$X77</f>
        <v>7.9415076968588627E-2</v>
      </c>
      <c r="T78">
        <f>T77-$X77</f>
        <v>0.12291513388022146</v>
      </c>
      <c r="U78">
        <f>U77-$X77</f>
        <v>0.13869764463984113</v>
      </c>
      <c r="V78">
        <f>V77-$X77</f>
        <v>0.12603725233872431</v>
      </c>
      <c r="W78">
        <f>W77-$X77</f>
        <v>0.15476340807199995</v>
      </c>
    </row>
    <row r="79" spans="1:25" ht="16">
      <c r="A79" s="2"/>
      <c r="M79">
        <f>B78*M78</f>
        <v>7.6999364011354723E-2</v>
      </c>
      <c r="N79">
        <f t="shared" ref="N79:W79" si="6">C78*N78</f>
        <v>7.1504575741814985E-2</v>
      </c>
      <c r="O79">
        <f t="shared" si="6"/>
        <v>6.7088128988453233E-2</v>
      </c>
      <c r="P79">
        <f t="shared" si="6"/>
        <v>5.0026171067674256E-2</v>
      </c>
      <c r="Q79">
        <f t="shared" si="6"/>
        <v>-1.2877530577190802E-2</v>
      </c>
      <c r="R79">
        <f t="shared" si="6"/>
        <v>1.7797512855481647E-3</v>
      </c>
      <c r="S79">
        <f t="shared" si="6"/>
        <v>1.9444536356705414E-2</v>
      </c>
      <c r="T79">
        <f t="shared" si="6"/>
        <v>3.4694201593600454E-2</v>
      </c>
      <c r="U79">
        <f t="shared" si="6"/>
        <v>3.9997863597031627E-2</v>
      </c>
      <c r="V79">
        <f t="shared" si="6"/>
        <v>3.7015827343532356E-2</v>
      </c>
      <c r="W79">
        <f t="shared" si="6"/>
        <v>4.7129585948566387E-2</v>
      </c>
      <c r="X79">
        <f>SUM(M79:W79)</f>
        <v>0.43280247535709077</v>
      </c>
      <c r="Y79">
        <f>X79/COUNT(B77:L77)/Y77</f>
        <v>0.73733334224289904</v>
      </c>
    </row>
    <row r="80" spans="1:25" ht="16">
      <c r="A80" s="2" t="s">
        <v>200</v>
      </c>
      <c r="B80">
        <v>0.96590548733583048</v>
      </c>
      <c r="C80">
        <v>0.93611406270171504</v>
      </c>
      <c r="D80">
        <v>0.92848527667734859</v>
      </c>
      <c r="E80">
        <v>0.98823119643644586</v>
      </c>
      <c r="F80">
        <v>1.2373718504042075</v>
      </c>
      <c r="G80">
        <v>1.308315367041009</v>
      </c>
      <c r="H80">
        <v>1.3925081248368412</v>
      </c>
      <c r="I80">
        <v>1.4299226440093928</v>
      </c>
      <c r="J80">
        <v>1.4360429204724969</v>
      </c>
      <c r="K80">
        <v>1.4413507900457874</v>
      </c>
      <c r="L80">
        <v>1.4521878871070339</v>
      </c>
      <c r="M80">
        <v>0.60641870508954165</v>
      </c>
      <c r="N80">
        <v>0.70662506212371901</v>
      </c>
      <c r="O80">
        <v>0.72201902821824582</v>
      </c>
      <c r="P80">
        <v>0.73356834760933054</v>
      </c>
      <c r="Q80">
        <v>0.98927019058330046</v>
      </c>
      <c r="R80">
        <v>1.1911875526397446</v>
      </c>
      <c r="S80">
        <v>1.253451080641413</v>
      </c>
      <c r="T80">
        <v>1.299235743680188</v>
      </c>
      <c r="U80">
        <v>1.3226656384551121</v>
      </c>
      <c r="V80">
        <v>1.3203592814371257</v>
      </c>
      <c r="W80">
        <v>1.3380270969706196</v>
      </c>
      <c r="X80">
        <f>AVERAGE(B80:W80)</f>
        <v>1.1363301515689292</v>
      </c>
      <c r="Y80">
        <f>(_xlfn.STDEV.P(B80:W80))^2</f>
        <v>7.190870517947498E-2</v>
      </c>
    </row>
    <row r="81" spans="1:25" ht="16">
      <c r="A81" s="2"/>
      <c r="B81">
        <f>B80-$X80</f>
        <v>-0.17042466423309877</v>
      </c>
      <c r="C81">
        <f>C80-$X80</f>
        <v>-0.2002160888672142</v>
      </c>
      <c r="D81">
        <f>D80-$X80</f>
        <v>-0.20784487489158066</v>
      </c>
      <c r="E81">
        <f>E80-$X80</f>
        <v>-0.14809895513248339</v>
      </c>
      <c r="F81">
        <f>F80-$X80</f>
        <v>0.10104169883527825</v>
      </c>
      <c r="G81">
        <f>G80-$X80</f>
        <v>0.17198521547207979</v>
      </c>
      <c r="H81">
        <f>H80-$X80</f>
        <v>0.25617797326791192</v>
      </c>
      <c r="I81">
        <f>I80-$X80</f>
        <v>0.29359249244046359</v>
      </c>
      <c r="J81">
        <f>J80-$X80</f>
        <v>0.29971276890356768</v>
      </c>
      <c r="K81">
        <f>K80-$X80</f>
        <v>0.30502063847685812</v>
      </c>
      <c r="L81">
        <f>L80-$X80</f>
        <v>0.3158577355381047</v>
      </c>
      <c r="M81">
        <f>M80-$X80</f>
        <v>-0.52991144647938759</v>
      </c>
      <c r="N81">
        <f>N80-$X80</f>
        <v>-0.42970508944521024</v>
      </c>
      <c r="O81">
        <f>O80-$X80</f>
        <v>-0.41431112335068343</v>
      </c>
      <c r="P81">
        <f>P80-$X80</f>
        <v>-0.40276180395959871</v>
      </c>
      <c r="Q81">
        <f>Q80-$X80</f>
        <v>-0.14705996098562879</v>
      </c>
      <c r="R81">
        <f>R80-$X80</f>
        <v>5.4857401070815381E-2</v>
      </c>
      <c r="S81">
        <f>S80-$X80</f>
        <v>0.11712092907248373</v>
      </c>
      <c r="T81">
        <f>T80-$X80</f>
        <v>0.16290559211125877</v>
      </c>
      <c r="U81">
        <f>U80-$X80</f>
        <v>0.18633548688618284</v>
      </c>
      <c r="V81">
        <f>V80-$X80</f>
        <v>0.18402912986819642</v>
      </c>
      <c r="W81">
        <f>W80-$X80</f>
        <v>0.20169694540169036</v>
      </c>
    </row>
    <row r="82" spans="1:25" ht="16">
      <c r="A82" s="2"/>
      <c r="M82">
        <f>B81*M81</f>
        <v>9.0309980339525323E-2</v>
      </c>
      <c r="N82">
        <f t="shared" ref="N82:W82" si="7">C81*N81</f>
        <v>8.6033872375056442E-2</v>
      </c>
      <c r="O82">
        <f t="shared" si="7"/>
        <v>8.6112443599013044E-2</v>
      </c>
      <c r="P82">
        <f t="shared" si="7"/>
        <v>5.9648602333690681E-2</v>
      </c>
      <c r="Q82">
        <f t="shared" si="7"/>
        <v>-1.4859188288637673E-2</v>
      </c>
      <c r="R82">
        <f t="shared" si="7"/>
        <v>9.4346619434024833E-3</v>
      </c>
      <c r="S82">
        <f t="shared" si="7"/>
        <v>3.0003802237043745E-2</v>
      </c>
      <c r="T82">
        <f t="shared" si="7"/>
        <v>4.7827858820433986E-2</v>
      </c>
      <c r="U82">
        <f t="shared" si="7"/>
        <v>5.5847124719652287E-2</v>
      </c>
      <c r="V82">
        <f t="shared" si="7"/>
        <v>5.6132682690737914E-2</v>
      </c>
      <c r="W82">
        <f t="shared" si="7"/>
        <v>6.3707540439530655E-2</v>
      </c>
      <c r="X82">
        <f>SUM(M82:W82)</f>
        <v>0.57019938120944891</v>
      </c>
      <c r="Y82">
        <f>X82/COUNT(B80:L80)/Y80</f>
        <v>0.72086275581378279</v>
      </c>
    </row>
    <row r="83" spans="1:25" ht="16">
      <c r="A83" s="2" t="s">
        <v>198</v>
      </c>
      <c r="B83">
        <v>0.77069967316305532</v>
      </c>
      <c r="C83">
        <v>0.86470285439117944</v>
      </c>
      <c r="D83">
        <v>0.89500289290173274</v>
      </c>
      <c r="E83">
        <v>0.91540697202422505</v>
      </c>
      <c r="F83">
        <v>1.1267342532619919</v>
      </c>
      <c r="G83">
        <v>1.2727456358572005</v>
      </c>
      <c r="H83">
        <v>1.4223251552478877</v>
      </c>
      <c r="I83">
        <v>1.4538998767533307</v>
      </c>
      <c r="J83">
        <v>1.4984956236323852</v>
      </c>
      <c r="K83">
        <v>1.5515600211528291</v>
      </c>
      <c r="L83">
        <v>1.5701676516093033</v>
      </c>
      <c r="M83">
        <v>0.72401918583200098</v>
      </c>
      <c r="N83">
        <v>0.80965346534653471</v>
      </c>
      <c r="O83">
        <v>0.84156862745098038</v>
      </c>
      <c r="P83">
        <v>0.83387982984757181</v>
      </c>
      <c r="Q83">
        <v>1.0041160220994476</v>
      </c>
      <c r="R83">
        <v>1.158739365815932</v>
      </c>
      <c r="S83">
        <v>1.2270762898721153</v>
      </c>
      <c r="T83">
        <v>1.2705763467837481</v>
      </c>
      <c r="U83">
        <v>1.2863588575433678</v>
      </c>
      <c r="V83">
        <v>1.2736984652422509</v>
      </c>
      <c r="W83">
        <v>1.3024246209755266</v>
      </c>
      <c r="X83">
        <f>AVERAGE(B83:W83)</f>
        <v>1.1397205312183909</v>
      </c>
      <c r="Y83">
        <f>(_xlfn.STDEV.P(B83:W83))^2</f>
        <v>7.1621994147807622E-2</v>
      </c>
    </row>
    <row r="84" spans="1:25" ht="16">
      <c r="A84" s="2"/>
      <c r="B84">
        <f>B83-$X83</f>
        <v>-0.36902085805533558</v>
      </c>
      <c r="C84">
        <f>C83-$X83</f>
        <v>-0.27501767682721145</v>
      </c>
      <c r="D84">
        <f>D83-$X83</f>
        <v>-0.24471763831665816</v>
      </c>
      <c r="E84">
        <f>E83-$X83</f>
        <v>-0.22431355919416585</v>
      </c>
      <c r="F84">
        <f>F83-$X83</f>
        <v>-1.2986277956398951E-2</v>
      </c>
      <c r="G84">
        <f>G83-$X83</f>
        <v>0.13302510463880957</v>
      </c>
      <c r="H84">
        <f>H83-$X83</f>
        <v>0.28260462402949682</v>
      </c>
      <c r="I84">
        <f>I83-$X83</f>
        <v>0.31417934553493976</v>
      </c>
      <c r="J84">
        <f>J83-$X83</f>
        <v>0.3587750924139943</v>
      </c>
      <c r="K84">
        <f>K83-$X83</f>
        <v>0.4118394899344382</v>
      </c>
      <c r="L84">
        <f>L83-$X83</f>
        <v>0.43044712039091237</v>
      </c>
      <c r="M84">
        <f>M83-$X83</f>
        <v>-0.41570134538638992</v>
      </c>
      <c r="N84">
        <f>N83-$X83</f>
        <v>-0.33006706587185619</v>
      </c>
      <c r="O84">
        <f>O83-$X83</f>
        <v>-0.29815190376741052</v>
      </c>
      <c r="P84">
        <f>P83-$X83</f>
        <v>-0.30584070137081909</v>
      </c>
      <c r="Q84">
        <f>Q83-$X83</f>
        <v>-0.13560450911894328</v>
      </c>
      <c r="R84">
        <f>R83-$X83</f>
        <v>1.9018834597541057E-2</v>
      </c>
      <c r="S84">
        <f>S83-$X83</f>
        <v>8.7355758653724358E-2</v>
      </c>
      <c r="T84">
        <f>T83-$X83</f>
        <v>0.13085581556535719</v>
      </c>
      <c r="U84">
        <f>U83-$X83</f>
        <v>0.14663832632497686</v>
      </c>
      <c r="V84">
        <f>V83-$X83</f>
        <v>0.13397793402386005</v>
      </c>
      <c r="W84">
        <f>W83-$X83</f>
        <v>0.16270408975713568</v>
      </c>
    </row>
    <row r="85" spans="1:25" ht="16">
      <c r="A85" s="2"/>
      <c r="M85">
        <f>B84*M84</f>
        <v>0.15340246716924302</v>
      </c>
      <c r="N85">
        <f t="shared" ref="N85" si="8">C84*N84</f>
        <v>9.0774277653252064E-2</v>
      </c>
      <c r="O85">
        <f t="shared" ref="O85" si="9">D84*O84</f>
        <v>7.2963029749576233E-2</v>
      </c>
      <c r="P85">
        <f t="shared" ref="P85" si="10">E84*P84</f>
        <v>6.8604216270928428E-2</v>
      </c>
      <c r="Q85">
        <f t="shared" ref="Q85" si="11">F84*Q84</f>
        <v>1.7609978475596336E-3</v>
      </c>
      <c r="R85">
        <f t="shared" ref="R85" si="12">G84*R84</f>
        <v>2.5299824624461105E-3</v>
      </c>
      <c r="S85">
        <f t="shared" ref="S85" si="13">H84*S84</f>
        <v>2.4687141331147234E-2</v>
      </c>
      <c r="T85">
        <f t="shared" ref="T85" si="14">I84*T84</f>
        <v>4.1112194493764707E-2</v>
      </c>
      <c r="U85">
        <f t="shared" ref="U85" si="15">J84*U84</f>
        <v>5.261017907867703E-2</v>
      </c>
      <c r="V85">
        <f t="shared" ref="V85" si="16">K84*V84</f>
        <v>5.5177404010856336E-2</v>
      </c>
      <c r="W85">
        <f t="shared" ref="W85" si="17">L84*W84</f>
        <v>7.003550691178359E-2</v>
      </c>
      <c r="X85">
        <f>SUM(M85:W85)</f>
        <v>0.6336573969792344</v>
      </c>
      <c r="Y85">
        <f>X85/COUNT(B83:L83)/Y83</f>
        <v>0.80429508550574813</v>
      </c>
    </row>
    <row r="86" spans="1:25" ht="16">
      <c r="A86" s="2" t="s">
        <v>199</v>
      </c>
      <c r="B86">
        <v>0.77069967316305532</v>
      </c>
      <c r="C86">
        <v>0.86470285439117944</v>
      </c>
      <c r="D86">
        <v>0.89500289290173274</v>
      </c>
      <c r="E86">
        <v>0.91540697202422505</v>
      </c>
      <c r="F86">
        <v>1.1267342532619919</v>
      </c>
      <c r="G86">
        <v>1.2727456358572005</v>
      </c>
      <c r="H86">
        <v>1.4223251552478877</v>
      </c>
      <c r="I86">
        <v>1.4538998767533307</v>
      </c>
      <c r="J86">
        <v>1.4984956236323852</v>
      </c>
      <c r="K86">
        <v>1.5515600211528291</v>
      </c>
      <c r="L86">
        <v>1.5701676516093033</v>
      </c>
      <c r="M86">
        <v>0.60641870508954165</v>
      </c>
      <c r="N86">
        <v>0.70662506212371901</v>
      </c>
      <c r="O86">
        <v>0.72201902821824582</v>
      </c>
      <c r="P86">
        <v>0.73356834760933054</v>
      </c>
      <c r="Q86">
        <v>0.98927019058330046</v>
      </c>
      <c r="R86">
        <v>1.1911875526397446</v>
      </c>
      <c r="S86">
        <v>1.253451080641413</v>
      </c>
      <c r="T86">
        <v>1.299235743680188</v>
      </c>
      <c r="U86">
        <v>1.3226656384551121</v>
      </c>
      <c r="V86">
        <v>1.3203592814371257</v>
      </c>
      <c r="W86">
        <v>1.3380270969706196</v>
      </c>
      <c r="X86">
        <f>AVERAGE(B86:W86)</f>
        <v>1.1283894698837935</v>
      </c>
      <c r="Y86">
        <f>(_xlfn.STDEV.P(B86:W86))^2</f>
        <v>8.9988614026551644E-2</v>
      </c>
    </row>
    <row r="87" spans="1:25" ht="16">
      <c r="A87" s="2"/>
      <c r="B87">
        <f>B86-$X86</f>
        <v>-0.3576897967207382</v>
      </c>
      <c r="C87">
        <f>C86-$X86</f>
        <v>-0.26368661549261407</v>
      </c>
      <c r="D87">
        <f>D86-$X86</f>
        <v>-0.23338657698206078</v>
      </c>
      <c r="E87">
        <f>E86-$X86</f>
        <v>-0.21298249785956846</v>
      </c>
      <c r="F87">
        <f>F86-$X86</f>
        <v>-1.6552166218015696E-3</v>
      </c>
      <c r="G87">
        <f>G86-$X86</f>
        <v>0.14435616597340695</v>
      </c>
      <c r="H87">
        <f>H86-$X86</f>
        <v>0.2939356853640942</v>
      </c>
      <c r="I87">
        <f>I86-$X86</f>
        <v>0.32551040686953714</v>
      </c>
      <c r="J87">
        <f>J86-$X86</f>
        <v>0.37010615374859168</v>
      </c>
      <c r="K87">
        <f>K86-$X86</f>
        <v>0.42317055126903558</v>
      </c>
      <c r="L87">
        <f>L86-$X86</f>
        <v>0.44177818172550976</v>
      </c>
      <c r="M87">
        <f>M86-$X86</f>
        <v>-0.52197076479425186</v>
      </c>
      <c r="N87">
        <f>N86-$X86</f>
        <v>-0.42176440776007451</v>
      </c>
      <c r="O87">
        <f>O86-$X86</f>
        <v>-0.4063704416655477</v>
      </c>
      <c r="P87">
        <f>P86-$X86</f>
        <v>-0.39482112227446298</v>
      </c>
      <c r="Q87">
        <f>Q86-$X86</f>
        <v>-0.13911927930049306</v>
      </c>
      <c r="R87">
        <f>R86-$X86</f>
        <v>6.2798082755951112E-2</v>
      </c>
      <c r="S87">
        <f>S86-$X86</f>
        <v>0.12506161075761946</v>
      </c>
      <c r="T87">
        <f>T86-$X86</f>
        <v>0.1708462737963945</v>
      </c>
      <c r="U87">
        <f>U86-$X86</f>
        <v>0.19427616857131857</v>
      </c>
      <c r="V87">
        <f>V86-$X86</f>
        <v>0.19196981155333215</v>
      </c>
      <c r="W87">
        <f>W86-$X86</f>
        <v>0.20963762708682609</v>
      </c>
    </row>
    <row r="88" spans="1:25" ht="16">
      <c r="A88" s="2"/>
      <c r="M88">
        <f>B87*M87</f>
        <v>0.1867036167534242</v>
      </c>
      <c r="N88">
        <f t="shared" ref="N88" si="18">C87*N87</f>
        <v>0.11121362921750086</v>
      </c>
      <c r="O88">
        <f t="shared" ref="O88" si="19">D87*O87</f>
        <v>9.4841406367010384E-2</v>
      </c>
      <c r="P88">
        <f t="shared" ref="P88" si="20">E87*P87</f>
        <v>8.4089988829733231E-2</v>
      </c>
      <c r="Q88">
        <f t="shared" ref="Q88" si="21">F87*Q87</f>
        <v>2.3027254351123115E-4</v>
      </c>
      <c r="R88">
        <f t="shared" ref="R88" si="22">G87*R87</f>
        <v>9.0652904571298237E-3</v>
      </c>
      <c r="S88">
        <f t="shared" ref="S88" si="23">H87*S87</f>
        <v>3.6760070270778454E-2</v>
      </c>
      <c r="T88">
        <f t="shared" ref="T88" si="24">I87*T87</f>
        <v>5.5612240095608716E-2</v>
      </c>
      <c r="U88">
        <f t="shared" ref="U88" si="25">J87*U87</f>
        <v>7.1902805514943754E-2</v>
      </c>
      <c r="V88">
        <f t="shared" ref="V88" si="26">K87*V87</f>
        <v>8.1235970982036443E-2</v>
      </c>
      <c r="W88">
        <f t="shared" ref="W88" si="27">L87*W87</f>
        <v>9.2613329715668505E-2</v>
      </c>
      <c r="X88">
        <f>SUM(M88:W88)</f>
        <v>0.82426862074734564</v>
      </c>
      <c r="Y88">
        <f>X88/COUNT(B86:L86)/Y86</f>
        <v>0.83269991195688231</v>
      </c>
    </row>
    <row r="89" spans="1:25" ht="16">
      <c r="A89" s="2" t="s">
        <v>201</v>
      </c>
      <c r="B89">
        <v>0.72401918583200098</v>
      </c>
      <c r="C89">
        <v>0.80965346534653471</v>
      </c>
      <c r="D89">
        <v>0.84156862745098038</v>
      </c>
      <c r="E89">
        <v>0.83387982984757181</v>
      </c>
      <c r="F89">
        <v>1.0041160220994476</v>
      </c>
      <c r="G89">
        <v>1.158739365815932</v>
      </c>
      <c r="H89">
        <v>1.2270762898721153</v>
      </c>
      <c r="I89">
        <v>1.2705763467837481</v>
      </c>
      <c r="J89">
        <v>1.2863588575433678</v>
      </c>
      <c r="K89">
        <v>1.2736984652422509</v>
      </c>
      <c r="L89">
        <v>1.3024246209755266</v>
      </c>
      <c r="M89">
        <v>0.60641870508954165</v>
      </c>
      <c r="N89">
        <v>0.70662506212371901</v>
      </c>
      <c r="O89">
        <v>0.72201902821824582</v>
      </c>
      <c r="P89">
        <v>0.73356834760933054</v>
      </c>
      <c r="Q89">
        <v>0.98927019058330046</v>
      </c>
      <c r="R89">
        <v>1.1911875526397446</v>
      </c>
      <c r="S89">
        <v>1.253451080641413</v>
      </c>
      <c r="T89">
        <v>1.299235743680188</v>
      </c>
      <c r="U89">
        <v>1.3226656384551121</v>
      </c>
      <c r="V89">
        <v>1.3203592814371257</v>
      </c>
      <c r="W89">
        <v>1.3380270969706196</v>
      </c>
      <c r="X89">
        <f>AVERAGE(B89:W89)</f>
        <v>1.0552244911026278</v>
      </c>
      <c r="Y89">
        <f>(_xlfn.STDEV.P(B89:W89))^2</f>
        <v>6.3502254510913833E-2</v>
      </c>
    </row>
    <row r="90" spans="1:25" ht="16">
      <c r="A90" s="2"/>
      <c r="B90">
        <f>B89-$X89</f>
        <v>-0.33120530527062686</v>
      </c>
      <c r="C90">
        <f>C89-$X89</f>
        <v>-0.24557102575609313</v>
      </c>
      <c r="D90">
        <f>D89-$X89</f>
        <v>-0.21365586365164746</v>
      </c>
      <c r="E90">
        <f>E89-$X89</f>
        <v>-0.22134466125505603</v>
      </c>
      <c r="F90">
        <f>F89-$X89</f>
        <v>-5.1108469003180224E-2</v>
      </c>
      <c r="G90">
        <f>G89-$X89</f>
        <v>0.10351487471330412</v>
      </c>
      <c r="H90">
        <f>H89-$X89</f>
        <v>0.17185179876948742</v>
      </c>
      <c r="I90">
        <f>I89-$X89</f>
        <v>0.21535185568112025</v>
      </c>
      <c r="J90">
        <f>J89-$X89</f>
        <v>0.23113436644073992</v>
      </c>
      <c r="K90">
        <f>K89-$X89</f>
        <v>0.21847397413962311</v>
      </c>
      <c r="L90">
        <f>L89-$X89</f>
        <v>0.24720012987289874</v>
      </c>
      <c r="M90">
        <f>M89-$X89</f>
        <v>-0.44880578601308618</v>
      </c>
      <c r="N90">
        <f>N89-$X89</f>
        <v>-0.34859942897890883</v>
      </c>
      <c r="O90">
        <f>O89-$X89</f>
        <v>-0.33320546288438202</v>
      </c>
      <c r="P90">
        <f>P89-$X89</f>
        <v>-0.3216561434932973</v>
      </c>
      <c r="Q90">
        <f>Q89-$X89</f>
        <v>-6.595430051932738E-2</v>
      </c>
      <c r="R90">
        <f>R89-$X89</f>
        <v>0.13596306153711679</v>
      </c>
      <c r="S90">
        <f>S89-$X89</f>
        <v>0.19822658953878514</v>
      </c>
      <c r="T90">
        <f>T89-$X89</f>
        <v>0.24401125257756018</v>
      </c>
      <c r="U90">
        <f>U89-$X89</f>
        <v>0.26744114735248425</v>
      </c>
      <c r="V90">
        <f>V89-$X89</f>
        <v>0.26513479033449783</v>
      </c>
      <c r="W90">
        <f>W89-$X89</f>
        <v>0.28280260586799177</v>
      </c>
    </row>
    <row r="91" spans="1:25" ht="16">
      <c r="A91" s="2"/>
      <c r="M91">
        <f>B90*M90</f>
        <v>0.14864685736368785</v>
      </c>
      <c r="N91">
        <f t="shared" ref="N91" si="28">C90*N90</f>
        <v>8.560591935233898E-2</v>
      </c>
      <c r="O91">
        <f t="shared" ref="O91" si="29">D90*O90</f>
        <v>7.1191300946009603E-2</v>
      </c>
      <c r="P91">
        <f t="shared" ref="P91" si="30">E90*P90</f>
        <v>7.1196870122131592E-2</v>
      </c>
      <c r="Q91">
        <f t="shared" ref="Q91" si="31">F90*Q90</f>
        <v>3.3708233237184767E-3</v>
      </c>
      <c r="R91">
        <f t="shared" ref="R91" si="32">G90*R90</f>
        <v>1.4074199280651902E-2</v>
      </c>
      <c r="S91">
        <f t="shared" ref="S91" si="33">H90*S90</f>
        <v>3.4065595976181084E-2</v>
      </c>
      <c r="T91">
        <f t="shared" ref="T91" si="34">I90*T90</f>
        <v>5.2548276049652121E-2</v>
      </c>
      <c r="U91">
        <f t="shared" ref="U91" si="35">J90*U90</f>
        <v>6.181484015350102E-2</v>
      </c>
      <c r="V91">
        <f t="shared" ref="V91" si="36">K90*V90</f>
        <v>5.7925051327053473E-2</v>
      </c>
      <c r="W91">
        <f t="shared" ref="W91" si="37">L90*W90</f>
        <v>6.9908840898961766E-2</v>
      </c>
      <c r="X91">
        <f>SUM(M91:W91)</f>
        <v>0.67034857479388787</v>
      </c>
      <c r="Y91">
        <f>X91/COUNT(B89:L89)/Y89</f>
        <v>0.9596632433930905</v>
      </c>
    </row>
    <row r="95" spans="1:25">
      <c r="X95" t="s">
        <v>185</v>
      </c>
      <c r="Y95" t="s">
        <v>186</v>
      </c>
    </row>
    <row r="96" spans="1:25" ht="16">
      <c r="A96" s="2" t="s">
        <v>196</v>
      </c>
      <c r="B96">
        <v>0.18979449872902568</v>
      </c>
      <c r="C96">
        <v>0.16866412244107748</v>
      </c>
      <c r="D96">
        <v>0.17178395947473693</v>
      </c>
      <c r="E96">
        <v>0.182511325312113</v>
      </c>
      <c r="F96">
        <v>0.18961901665018682</v>
      </c>
      <c r="G96">
        <v>0.17673493624541911</v>
      </c>
      <c r="H96">
        <v>0.17241576055947705</v>
      </c>
      <c r="I96">
        <v>0.17731246884547047</v>
      </c>
      <c r="J96">
        <v>0.19558911972715576</v>
      </c>
      <c r="K96">
        <v>0.19628991417845992</v>
      </c>
      <c r="L96">
        <v>0.20276008982049734</v>
      </c>
      <c r="M96">
        <v>0.18531171057970444</v>
      </c>
      <c r="N96">
        <v>0.15951032165146423</v>
      </c>
      <c r="O96">
        <v>0.16188629172195571</v>
      </c>
      <c r="P96">
        <v>0.17455967647528334</v>
      </c>
      <c r="Q96">
        <v>0.18073664303388293</v>
      </c>
      <c r="R96">
        <v>0.17855442418369991</v>
      </c>
      <c r="S96">
        <v>0.20179174271433514</v>
      </c>
      <c r="T96">
        <v>0.20422772104037998</v>
      </c>
      <c r="U96">
        <v>0.21712147485625627</v>
      </c>
      <c r="V96">
        <v>0.2291849255039439</v>
      </c>
      <c r="W96">
        <v>0.23205776406545303</v>
      </c>
      <c r="X96">
        <f>AVERAGE(B96:W96)</f>
        <v>0.18856445035499902</v>
      </c>
      <c r="Y96">
        <f>(_xlfn.STDEV.P(B96:W96))^2</f>
        <v>3.7528604739454918E-4</v>
      </c>
    </row>
    <row r="97" spans="1:25" ht="16">
      <c r="A97" s="2"/>
      <c r="B97">
        <f>B96-$X96</f>
        <v>1.2300483740266543E-3</v>
      </c>
      <c r="C97">
        <f>C96-$X96</f>
        <v>-1.9900327913921545E-2</v>
      </c>
      <c r="D97">
        <f>D96-$X96</f>
        <v>-1.6780490880262094E-2</v>
      </c>
      <c r="E97">
        <f>E96-$X96</f>
        <v>-6.0531250428860206E-3</v>
      </c>
      <c r="F97">
        <f>F96-$X96</f>
        <v>1.0545662951877977E-3</v>
      </c>
      <c r="G97">
        <f>G96-$X96</f>
        <v>-1.1829514109579914E-2</v>
      </c>
      <c r="H97">
        <f>H96-$X96</f>
        <v>-1.6148689795521975E-2</v>
      </c>
      <c r="I97">
        <f>I96-$X96</f>
        <v>-1.1251981509528552E-2</v>
      </c>
      <c r="J97">
        <f>J96-$X96</f>
        <v>7.0246693721567333E-3</v>
      </c>
      <c r="K97">
        <f>K96-$X96</f>
        <v>7.7254638234608985E-3</v>
      </c>
      <c r="L97">
        <f>L96-$X96</f>
        <v>1.4195639465498316E-2</v>
      </c>
      <c r="M97">
        <f>M96-$X96</f>
        <v>-3.252739775294583E-3</v>
      </c>
      <c r="N97">
        <f>N96-$X96</f>
        <v>-2.9054128703534798E-2</v>
      </c>
      <c r="O97">
        <f>O96-$X96</f>
        <v>-2.667815863304332E-2</v>
      </c>
      <c r="P97">
        <f>P96-$X96</f>
        <v>-1.4004773879715687E-2</v>
      </c>
      <c r="Q97">
        <f>Q96-$X96</f>
        <v>-7.8278073211160981E-3</v>
      </c>
      <c r="R97">
        <f>R96-$X96</f>
        <v>-1.0010026171299119E-2</v>
      </c>
      <c r="S97">
        <f>S96-$X96</f>
        <v>1.3227292359336118E-2</v>
      </c>
      <c r="T97">
        <f>T96-$X96</f>
        <v>1.5663270685380953E-2</v>
      </c>
      <c r="U97">
        <f>U96-$X96</f>
        <v>2.8557024501257244E-2</v>
      </c>
      <c r="V97">
        <f>V96-$X96</f>
        <v>4.0620475148944873E-2</v>
      </c>
      <c r="W97">
        <f>W96-$X96</f>
        <v>4.3493313710454007E-2</v>
      </c>
    </row>
    <row r="98" spans="1:25" ht="16">
      <c r="A98" s="2"/>
      <c r="M98">
        <f>B97*M97</f>
        <v>-4.0010272717329273E-6</v>
      </c>
      <c r="N98">
        <f t="shared" ref="N98:W98" si="38">C97*N97</f>
        <v>5.7818668845362273E-4</v>
      </c>
      <c r="O98">
        <f t="shared" si="38"/>
        <v>4.4767259764396891E-4</v>
      </c>
      <c r="P98">
        <f t="shared" si="38"/>
        <v>8.4772647491263047E-5</v>
      </c>
      <c r="Q98">
        <f t="shared" si="38"/>
        <v>-8.254941766073323E-6</v>
      </c>
      <c r="R98">
        <f t="shared" si="38"/>
        <v>1.1841374583064713E-4</v>
      </c>
      <c r="S98">
        <f t="shared" si="38"/>
        <v>-2.1360344114559698E-4</v>
      </c>
      <c r="T98">
        <f t="shared" si="38"/>
        <v>-1.7624283213064711E-4</v>
      </c>
      <c r="U98">
        <f t="shared" si="38"/>
        <v>2.0060365537391116E-4</v>
      </c>
      <c r="V98">
        <f t="shared" si="38"/>
        <v>3.138120112549661E-4</v>
      </c>
      <c r="W98">
        <f t="shared" si="38"/>
        <v>6.1741540059341994E-4</v>
      </c>
      <c r="X98">
        <f>SUM(M98:W98)</f>
        <v>1.9587745043277488E-3</v>
      </c>
      <c r="Y98">
        <f>X98/COUNT(B96:L96)/Y96</f>
        <v>0.47449248572017966</v>
      </c>
    </row>
    <row r="99" spans="1:25" ht="16">
      <c r="A99" s="2" t="s">
        <v>197</v>
      </c>
      <c r="B99">
        <v>0.18979449872902568</v>
      </c>
      <c r="C99">
        <v>0.16866412244107748</v>
      </c>
      <c r="D99">
        <v>0.17178395947473693</v>
      </c>
      <c r="E99">
        <v>0.182511325312113</v>
      </c>
      <c r="F99">
        <v>0.18961901665018682</v>
      </c>
      <c r="G99">
        <v>0.17673493624541911</v>
      </c>
      <c r="H99">
        <v>0.17241576055947705</v>
      </c>
      <c r="I99">
        <v>0.17731246884547047</v>
      </c>
      <c r="J99">
        <v>0.19558911972715576</v>
      </c>
      <c r="K99">
        <v>0.19628991417845992</v>
      </c>
      <c r="L99">
        <v>0.20276008982049734</v>
      </c>
      <c r="M99">
        <v>0.15910056055715985</v>
      </c>
      <c r="N99">
        <v>0.1444852066985971</v>
      </c>
      <c r="O99">
        <v>0.14164254999100734</v>
      </c>
      <c r="P99">
        <v>0.1530191118904653</v>
      </c>
      <c r="Q99">
        <v>0.14935761644061735</v>
      </c>
      <c r="R99">
        <v>0.14970799265810111</v>
      </c>
      <c r="S99">
        <v>0.1230264261242483</v>
      </c>
      <c r="T99">
        <v>0.13103694155719497</v>
      </c>
      <c r="U99">
        <v>0.14541120381406436</v>
      </c>
      <c r="V99">
        <v>0.14778499704666273</v>
      </c>
      <c r="W99">
        <v>0.16109342982953306</v>
      </c>
      <c r="X99">
        <f>AVERAGE(B99:W99)</f>
        <v>0.16496096584505782</v>
      </c>
      <c r="Y99">
        <f>(_xlfn.STDEV.P(B99:W99))^2</f>
        <v>4.7753232955818046E-4</v>
      </c>
    </row>
    <row r="100" spans="1:25" ht="16">
      <c r="A100" s="2"/>
      <c r="B100">
        <f>B99-$X99</f>
        <v>2.4833532883967863E-2</v>
      </c>
      <c r="C100">
        <f>C99-$X99</f>
        <v>3.7031565960196633E-3</v>
      </c>
      <c r="D100">
        <f>D99-$X99</f>
        <v>6.8229936296791138E-3</v>
      </c>
      <c r="E100">
        <f>E99-$X99</f>
        <v>1.7550359467055188E-2</v>
      </c>
      <c r="F100">
        <f>F99-$X99</f>
        <v>2.4658050805129006E-2</v>
      </c>
      <c r="G100">
        <f>G99-$X99</f>
        <v>1.1773970400361294E-2</v>
      </c>
      <c r="H100">
        <f>H99-$X99</f>
        <v>7.4547947144192328E-3</v>
      </c>
      <c r="I100">
        <f>I99-$X99</f>
        <v>1.2351503000412656E-2</v>
      </c>
      <c r="J100">
        <f>J99-$X99</f>
        <v>3.0628153882097942E-2</v>
      </c>
      <c r="K100">
        <f>K99-$X99</f>
        <v>3.1328948333402107E-2</v>
      </c>
      <c r="L100">
        <f>L99-$X99</f>
        <v>3.7799123975439525E-2</v>
      </c>
      <c r="M100">
        <f>M99-$X99</f>
        <v>-5.8604052878979684E-3</v>
      </c>
      <c r="N100">
        <f>N99-$X99</f>
        <v>-2.0475759146460715E-2</v>
      </c>
      <c r="O100">
        <f>O99-$X99</f>
        <v>-2.3318415854050478E-2</v>
      </c>
      <c r="P100">
        <f>P99-$X99</f>
        <v>-1.1941853954592518E-2</v>
      </c>
      <c r="Q100">
        <f>Q99-$X99</f>
        <v>-1.560334940444047E-2</v>
      </c>
      <c r="R100">
        <f>R99-$X99</f>
        <v>-1.5252973186956703E-2</v>
      </c>
      <c r="S100">
        <f>S99-$X99</f>
        <v>-4.1934539720809516E-2</v>
      </c>
      <c r="T100">
        <f>T99-$X99</f>
        <v>-3.3924024287862842E-2</v>
      </c>
      <c r="U100">
        <f>U99-$X99</f>
        <v>-1.9549762030993456E-2</v>
      </c>
      <c r="V100">
        <f>V99-$X99</f>
        <v>-1.7175968798395086E-2</v>
      </c>
      <c r="W100">
        <f>W99-$X99</f>
        <v>-3.8675360155247529E-3</v>
      </c>
    </row>
    <row r="101" spans="1:25" ht="16">
      <c r="A101" s="2"/>
      <c r="M101">
        <f>B100*M100</f>
        <v>-1.4553456743039334E-4</v>
      </c>
      <c r="N101">
        <f t="shared" ref="N101:W101" si="39">C100*N100</f>
        <v>-7.582494254172594E-5</v>
      </c>
      <c r="O101">
        <f t="shared" si="39"/>
        <v>-1.5910140282639486E-4</v>
      </c>
      <c r="P101">
        <f t="shared" si="39"/>
        <v>-2.0958382960617323E-4</v>
      </c>
      <c r="Q101">
        <f t="shared" si="39"/>
        <v>-3.8474818234487251E-4</v>
      </c>
      <c r="R101">
        <f t="shared" si="39"/>
        <v>-1.795880548207327E-4</v>
      </c>
      <c r="S101">
        <f t="shared" si="39"/>
        <v>-3.1261338506229417E-4</v>
      </c>
      <c r="T101">
        <f t="shared" si="39"/>
        <v>-4.1901268777760968E-4</v>
      </c>
      <c r="U101">
        <f t="shared" si="39"/>
        <v>-5.9877311984366313E-4</v>
      </c>
      <c r="V101">
        <f t="shared" si="39"/>
        <v>-5.3810503906104627E-4</v>
      </c>
      <c r="W101">
        <f t="shared" si="39"/>
        <v>-1.4618947333029753E-4</v>
      </c>
      <c r="X101">
        <f>SUM(M101:W101)</f>
        <v>-3.169074684645203E-3</v>
      </c>
      <c r="Y101">
        <f>X101/COUNT(B99:L99)/Y99</f>
        <v>-0.6033051183585022</v>
      </c>
    </row>
    <row r="102" spans="1:25" ht="16">
      <c r="A102" s="2" t="s">
        <v>200</v>
      </c>
      <c r="B102">
        <v>0.18979449872902568</v>
      </c>
      <c r="C102">
        <v>0.16866412244107748</v>
      </c>
      <c r="D102">
        <v>0.17178395947473693</v>
      </c>
      <c r="E102">
        <v>0.182511325312113</v>
      </c>
      <c r="F102">
        <v>0.18961901665018682</v>
      </c>
      <c r="G102">
        <v>0.17673493624541911</v>
      </c>
      <c r="H102">
        <v>0.17241576055947705</v>
      </c>
      <c r="I102">
        <v>0.17731246884547047</v>
      </c>
      <c r="J102">
        <v>0.19558911972715576</v>
      </c>
      <c r="K102">
        <v>0.19628991417845992</v>
      </c>
      <c r="L102">
        <v>0.20276008982049734</v>
      </c>
      <c r="M102">
        <v>0.16962389027370178</v>
      </c>
      <c r="N102">
        <v>0.15324555077766797</v>
      </c>
      <c r="O102">
        <v>0.14807393276799025</v>
      </c>
      <c r="P102">
        <v>0.16328944190423839</v>
      </c>
      <c r="Q102">
        <v>0.17519049960056535</v>
      </c>
      <c r="R102">
        <v>0.16802619827329562</v>
      </c>
      <c r="S102">
        <v>0.14628448531593</v>
      </c>
      <c r="T102">
        <v>0.15269436445907034</v>
      </c>
      <c r="U102">
        <v>0.17277232533281509</v>
      </c>
      <c r="V102">
        <v>0.17789655544757585</v>
      </c>
      <c r="W102">
        <v>0.1814665225553217</v>
      </c>
      <c r="X102">
        <f>AVERAGE(B102:W102)</f>
        <v>0.17418358994053604</v>
      </c>
      <c r="Y102">
        <f>(_xlfn.STDEV.P(B102:W102))^2</f>
        <v>2.2626981687891634E-4</v>
      </c>
    </row>
    <row r="103" spans="1:25" ht="16">
      <c r="A103" s="2"/>
      <c r="B103">
        <f>B102-$X102</f>
        <v>1.5610908788489641E-2</v>
      </c>
      <c r="C103">
        <f>C102-$X102</f>
        <v>-5.519467499458558E-3</v>
      </c>
      <c r="D103">
        <f>D102-$X102</f>
        <v>-2.3996304657991074E-3</v>
      </c>
      <c r="E103">
        <f>E102-$X102</f>
        <v>8.3277353715769664E-3</v>
      </c>
      <c r="F103">
        <f>F102-$X102</f>
        <v>1.5435426709650785E-2</v>
      </c>
      <c r="G103">
        <f>G102-$X102</f>
        <v>2.5513463048830731E-3</v>
      </c>
      <c r="H103">
        <f>H102-$X102</f>
        <v>-1.7678293810589885E-3</v>
      </c>
      <c r="I103">
        <f>I102-$X102</f>
        <v>3.1288789049344345E-3</v>
      </c>
      <c r="J103">
        <f>J102-$X102</f>
        <v>2.140552978661972E-2</v>
      </c>
      <c r="K103">
        <f>K102-$X102</f>
        <v>2.2106324237923886E-2</v>
      </c>
      <c r="L103">
        <f>L102-$X102</f>
        <v>2.8576499879961303E-2</v>
      </c>
      <c r="M103">
        <f>M102-$X102</f>
        <v>-4.5596996668342549E-3</v>
      </c>
      <c r="N103">
        <f>N102-$X102</f>
        <v>-2.0938039162868072E-2</v>
      </c>
      <c r="O103">
        <f>O102-$X102</f>
        <v>-2.6109657172545792E-2</v>
      </c>
      <c r="P103">
        <f>P102-$X102</f>
        <v>-1.0894148036297652E-2</v>
      </c>
      <c r="Q103">
        <f>Q102-$X102</f>
        <v>1.0069096600293093E-3</v>
      </c>
      <c r="R103">
        <f>R102-$X102</f>
        <v>-6.1573916672404139E-3</v>
      </c>
      <c r="S103">
        <f>S102-$X102</f>
        <v>-2.7899104624606041E-2</v>
      </c>
      <c r="T103">
        <f>T102-$X102</f>
        <v>-2.1489225481465701E-2</v>
      </c>
      <c r="U103">
        <f>U102-$X102</f>
        <v>-1.4112646077209523E-3</v>
      </c>
      <c r="V103">
        <f>V102-$X102</f>
        <v>3.7129655070398115E-3</v>
      </c>
      <c r="W103">
        <f>W102-$X102</f>
        <v>7.2829326147856588E-3</v>
      </c>
    </row>
    <row r="104" spans="1:25" ht="16">
      <c r="A104" s="2"/>
      <c r="M104">
        <f>B103*M103</f>
        <v>-7.1181055601856163E-5</v>
      </c>
      <c r="N104">
        <f t="shared" ref="N104:W104" si="40">C103*N103</f>
        <v>1.155668266618408E-4</v>
      </c>
      <c r="O104">
        <f t="shared" si="40"/>
        <v>6.2653528802811067E-5</v>
      </c>
      <c r="P104">
        <f t="shared" si="40"/>
        <v>-9.07235819450717E-5</v>
      </c>
      <c r="Q104">
        <f t="shared" si="40"/>
        <v>1.5542080260621792E-5</v>
      </c>
      <c r="R104">
        <f t="shared" si="40"/>
        <v>-1.5709638477931656E-5</v>
      </c>
      <c r="S104">
        <f t="shared" si="40"/>
        <v>4.9320856860617259E-5</v>
      </c>
      <c r="T104">
        <f t="shared" si="40"/>
        <v>-6.7237184292337555E-5</v>
      </c>
      <c r="U104">
        <f t="shared" si="40"/>
        <v>-3.0208866597373041E-5</v>
      </c>
      <c r="V104">
        <f t="shared" si="40"/>
        <v>8.2080019382849533E-5</v>
      </c>
      <c r="W104">
        <f t="shared" si="40"/>
        <v>2.0812072299218864E-4</v>
      </c>
      <c r="X104">
        <f>SUM(M104:W104)</f>
        <v>2.5822370804635898E-4</v>
      </c>
      <c r="Y104">
        <f>X104/COUNT(B102:L102)/Y102</f>
        <v>0.103747299898294</v>
      </c>
    </row>
    <row r="105" spans="1:25" ht="16">
      <c r="A105" s="2" t="s">
        <v>198</v>
      </c>
      <c r="B105">
        <v>0.18531171057970444</v>
      </c>
      <c r="C105">
        <v>0.15951032165146423</v>
      </c>
      <c r="D105">
        <v>0.16188629172195571</v>
      </c>
      <c r="E105">
        <v>0.17455967647528334</v>
      </c>
      <c r="F105">
        <v>0.18073664303388293</v>
      </c>
      <c r="G105">
        <v>0.17855442418369991</v>
      </c>
      <c r="H105">
        <v>0.20179174271433514</v>
      </c>
      <c r="I105">
        <v>0.20422772104037998</v>
      </c>
      <c r="J105">
        <v>0.21712147485625627</v>
      </c>
      <c r="K105">
        <v>0.2291849255039439</v>
      </c>
      <c r="L105">
        <v>0.23205776406545303</v>
      </c>
      <c r="M105">
        <v>0.15910056055715985</v>
      </c>
      <c r="N105">
        <v>0.1444852066985971</v>
      </c>
      <c r="O105">
        <v>0.14164254999100734</v>
      </c>
      <c r="P105">
        <v>0.1530191118904653</v>
      </c>
      <c r="Q105">
        <v>0.14935761644061735</v>
      </c>
      <c r="R105">
        <v>0.14970799265810111</v>
      </c>
      <c r="S105">
        <v>0.1230264261242483</v>
      </c>
      <c r="T105">
        <v>0.13103694155719497</v>
      </c>
      <c r="U105">
        <v>0.14541120381406436</v>
      </c>
      <c r="V105">
        <v>0.14778499704666273</v>
      </c>
      <c r="W105">
        <v>0.16109342982953306</v>
      </c>
      <c r="X105">
        <f>AVERAGE(B105:W105)</f>
        <v>0.16957312420154594</v>
      </c>
      <c r="Y105">
        <f>(_xlfn.STDEV.P(B105:W105))^2</f>
        <v>9.0793211597839743E-4</v>
      </c>
    </row>
    <row r="106" spans="1:25" ht="16">
      <c r="A106" s="2"/>
      <c r="B106">
        <f>B105-$X105</f>
        <v>1.5738586378158503E-2</v>
      </c>
      <c r="C106">
        <f>C105-$X105</f>
        <v>-1.0062802550081712E-2</v>
      </c>
      <c r="D106">
        <f>D105-$X105</f>
        <v>-7.6868324795902332E-3</v>
      </c>
      <c r="E106">
        <f>E105-$X105</f>
        <v>4.9865522737373991E-3</v>
      </c>
      <c r="F106">
        <f>F105-$X105</f>
        <v>1.1163518832336988E-2</v>
      </c>
      <c r="G106">
        <f>G105-$X105</f>
        <v>8.9812999821539674E-3</v>
      </c>
      <c r="H106">
        <f>H105-$X105</f>
        <v>3.2218618512789204E-2</v>
      </c>
      <c r="I106">
        <f>I105-$X105</f>
        <v>3.465459683883404E-2</v>
      </c>
      <c r="J106">
        <f>J105-$X105</f>
        <v>4.7548350654710331E-2</v>
      </c>
      <c r="K106">
        <f>K105-$X105</f>
        <v>5.961180130239796E-2</v>
      </c>
      <c r="L106">
        <f>L105-$X105</f>
        <v>6.2484639863907093E-2</v>
      </c>
      <c r="M106">
        <f>M105-$X105</f>
        <v>-1.047256364438609E-2</v>
      </c>
      <c r="N106">
        <f>N105-$X105</f>
        <v>-2.5087917502948837E-2</v>
      </c>
      <c r="O106">
        <f>O105-$X105</f>
        <v>-2.79305742105386E-2</v>
      </c>
      <c r="P106">
        <f>P105-$X105</f>
        <v>-1.655401231108064E-2</v>
      </c>
      <c r="Q106">
        <f>Q105-$X105</f>
        <v>-2.0215507760928592E-2</v>
      </c>
      <c r="R106">
        <f>R105-$X105</f>
        <v>-1.9865131543444825E-2</v>
      </c>
      <c r="S106">
        <f>S105-$X105</f>
        <v>-4.6546698077297638E-2</v>
      </c>
      <c r="T106">
        <f>T105-$X105</f>
        <v>-3.8536182644350964E-2</v>
      </c>
      <c r="U106">
        <f>U105-$X105</f>
        <v>-2.4161920387481578E-2</v>
      </c>
      <c r="V106">
        <f>V105-$X105</f>
        <v>-2.1788127154883208E-2</v>
      </c>
      <c r="W106">
        <f>W105-$X105</f>
        <v>-8.4796943720128748E-3</v>
      </c>
    </row>
    <row r="107" spans="1:25" ht="16">
      <c r="A107" s="2"/>
      <c r="M107">
        <f>B106*M106</f>
        <v>-1.6482334751793289E-4</v>
      </c>
      <c r="N107">
        <f t="shared" ref="N107" si="41">C106*N106</f>
        <v>2.5245476022491318E-4</v>
      </c>
      <c r="O107">
        <f t="shared" ref="O107" si="42">D106*O106</f>
        <v>2.1469764501517346E-4</v>
      </c>
      <c r="P107">
        <f t="shared" ref="P107" si="43">E106*P106</f>
        <v>-8.2547447729296069E-5</v>
      </c>
      <c r="Q107">
        <f t="shared" ref="Q107" si="44">F106*Q106</f>
        <v>-2.2567620159438088E-4</v>
      </c>
      <c r="R107">
        <f t="shared" ref="R107" si="45">G106*R106</f>
        <v>-1.7841470557662721E-4</v>
      </c>
      <c r="S107">
        <f t="shared" ref="S107" si="46">H106*S106</f>
        <v>-1.4996703083824314E-3</v>
      </c>
      <c r="T107">
        <f t="shared" ref="T107" si="47">I106*T106</f>
        <v>-1.3354558732476562E-3</v>
      </c>
      <c r="U107">
        <f t="shared" ref="U107" si="48">J106*U106</f>
        <v>-1.1488594630751686E-3</v>
      </c>
      <c r="V107">
        <f t="shared" ref="V107" si="49">K106*V106</f>
        <v>-1.2988295067082791E-3</v>
      </c>
      <c r="W107">
        <f t="shared" ref="W107" si="50">L106*W106</f>
        <v>-5.2985064899122426E-4</v>
      </c>
      <c r="X107">
        <f>SUM(M107:W107)</f>
        <v>-5.9969750975829104E-3</v>
      </c>
      <c r="Y107">
        <f>X107/COUNT(B105:L105)/Y105</f>
        <v>-0.60046290326257246</v>
      </c>
    </row>
    <row r="108" spans="1:25" ht="16">
      <c r="A108" s="2" t="s">
        <v>199</v>
      </c>
      <c r="B108">
        <v>0.18531171057970444</v>
      </c>
      <c r="C108">
        <v>0.15951032165146423</v>
      </c>
      <c r="D108">
        <v>0.16188629172195571</v>
      </c>
      <c r="E108">
        <v>0.17455967647528334</v>
      </c>
      <c r="F108">
        <v>0.18073664303388293</v>
      </c>
      <c r="G108">
        <v>0.17855442418369991</v>
      </c>
      <c r="H108">
        <v>0.20179174271433514</v>
      </c>
      <c r="I108">
        <v>0.20422772104037998</v>
      </c>
      <c r="J108">
        <v>0.21712147485625627</v>
      </c>
      <c r="K108">
        <v>0.2291849255039439</v>
      </c>
      <c r="L108">
        <v>0.23205776406545303</v>
      </c>
      <c r="M108">
        <v>0.16962389027370178</v>
      </c>
      <c r="N108">
        <v>0.15324555077766797</v>
      </c>
      <c r="O108">
        <v>0.14807393276799025</v>
      </c>
      <c r="P108">
        <v>0.16328944190423839</v>
      </c>
      <c r="Q108">
        <v>0.17519049960056535</v>
      </c>
      <c r="R108">
        <v>0.16802619827329562</v>
      </c>
      <c r="S108">
        <v>0.14628448531593</v>
      </c>
      <c r="T108">
        <v>0.15269436445907034</v>
      </c>
      <c r="U108">
        <v>0.17277232533281509</v>
      </c>
      <c r="V108">
        <v>0.17789655544757585</v>
      </c>
      <c r="W108">
        <v>0.1814665225553217</v>
      </c>
      <c r="X108">
        <f>AVERAGE(B108:W108)</f>
        <v>0.17879574829702419</v>
      </c>
      <c r="Y108">
        <f>(_xlfn.STDEV.P(B108:W108))^2</f>
        <v>5.7159719771768909E-4</v>
      </c>
    </row>
    <row r="109" spans="1:25" ht="16">
      <c r="A109" s="2"/>
      <c r="B109">
        <f>B108-$X108</f>
        <v>6.5159622826802543E-3</v>
      </c>
      <c r="C109">
        <f>C108-$X108</f>
        <v>-1.9285426645559961E-2</v>
      </c>
      <c r="D109">
        <f>D108-$X108</f>
        <v>-1.6909456575068482E-2</v>
      </c>
      <c r="E109">
        <f>E108-$X108</f>
        <v>-4.23607182174085E-3</v>
      </c>
      <c r="F109">
        <f>F108-$X108</f>
        <v>1.9408947368587393E-3</v>
      </c>
      <c r="G109">
        <f>G108-$X108</f>
        <v>-2.4132411332428161E-4</v>
      </c>
      <c r="H109">
        <f>H108-$X108</f>
        <v>2.2995994417310955E-2</v>
      </c>
      <c r="I109">
        <f>I108-$X108</f>
        <v>2.5431972743355791E-2</v>
      </c>
      <c r="J109">
        <f>J108-$X108</f>
        <v>3.8325726559232082E-2</v>
      </c>
      <c r="K109">
        <f>K108-$X108</f>
        <v>5.0389177206919711E-2</v>
      </c>
      <c r="L109">
        <f>L108-$X108</f>
        <v>5.3262015768428844E-2</v>
      </c>
      <c r="M109">
        <f>M108-$X108</f>
        <v>-9.1718580233224045E-3</v>
      </c>
      <c r="N109">
        <f>N108-$X108</f>
        <v>-2.5550197519356221E-2</v>
      </c>
      <c r="O109">
        <f>O108-$X108</f>
        <v>-3.0721815529033941E-2</v>
      </c>
      <c r="P109">
        <f>P108-$X108</f>
        <v>-1.5506306392785801E-2</v>
      </c>
      <c r="Q109">
        <f>Q108-$X108</f>
        <v>-3.6052486964588404E-3</v>
      </c>
      <c r="R109">
        <f>R108-$X108</f>
        <v>-1.0769550023728564E-2</v>
      </c>
      <c r="S109">
        <f>S108-$X108</f>
        <v>-3.2511262981094191E-2</v>
      </c>
      <c r="T109">
        <f>T108-$X108</f>
        <v>-2.6101383837953851E-2</v>
      </c>
      <c r="U109">
        <f>U108-$X108</f>
        <v>-6.0234229642091019E-3</v>
      </c>
      <c r="V109">
        <f>V108-$X108</f>
        <v>-8.9919284944833811E-4</v>
      </c>
      <c r="W109">
        <f>W108-$X108</f>
        <v>2.6707742582975091E-3</v>
      </c>
    </row>
    <row r="110" spans="1:25" ht="16">
      <c r="A110" s="2"/>
      <c r="M110">
        <f>B109*M109</f>
        <v>-5.9763480942067059E-5</v>
      </c>
      <c r="N110">
        <f t="shared" ref="N110" si="51">C109*N109</f>
        <v>4.9274646003911245E-4</v>
      </c>
      <c r="O110">
        <f t="shared" ref="O110" si="52">D109*O109</f>
        <v>5.1948920559546398E-4</v>
      </c>
      <c r="P110">
        <f t="shared" ref="P110" si="53">E109*P109</f>
        <v>6.5685827569759932E-5</v>
      </c>
      <c r="Q110">
        <f t="shared" ref="Q110" si="54">F109*Q109</f>
        <v>-6.9974082200237939E-6</v>
      </c>
      <c r="R110">
        <f t="shared" ref="R110" si="55">G109*R109</f>
        <v>2.5989521103777917E-6</v>
      </c>
      <c r="S110">
        <f t="shared" ref="S110" si="56">H109*S109</f>
        <v>-7.4762882201297035E-4</v>
      </c>
      <c r="T110">
        <f t="shared" ref="T110" si="57">I109*T109</f>
        <v>-6.6380968233070974E-4</v>
      </c>
      <c r="U110">
        <f t="shared" ref="U110" si="58">J109*U109</f>
        <v>-2.3085206147687722E-4</v>
      </c>
      <c r="V110">
        <f t="shared" ref="V110" si="59">K109*V109</f>
        <v>-4.5309587834047385E-5</v>
      </c>
      <c r="W110">
        <f t="shared" ref="W110" si="60">L109*W109</f>
        <v>1.4225082065935578E-4</v>
      </c>
      <c r="X110">
        <f>SUM(M110:W110)</f>
        <v>-5.3158977684262566E-4</v>
      </c>
      <c r="Y110">
        <f>X110/COUNT(B108:L108)/Y108</f>
        <v>-8.4546151629661948E-2</v>
      </c>
    </row>
    <row r="111" spans="1:25" ht="16">
      <c r="A111" s="2" t="s">
        <v>201</v>
      </c>
      <c r="B111">
        <v>0.15910056055715985</v>
      </c>
      <c r="C111">
        <v>0.1444852066985971</v>
      </c>
      <c r="D111">
        <v>0.14164254999100734</v>
      </c>
      <c r="E111">
        <v>0.1530191118904653</v>
      </c>
      <c r="F111">
        <v>0.14935761644061735</v>
      </c>
      <c r="G111">
        <v>0.14970799265810111</v>
      </c>
      <c r="H111">
        <v>0.1230264261242483</v>
      </c>
      <c r="I111">
        <v>0.13103694155719497</v>
      </c>
      <c r="J111">
        <v>0.14541120381406436</v>
      </c>
      <c r="K111">
        <v>0.14778499704666273</v>
      </c>
      <c r="L111">
        <v>0.16109342982953306</v>
      </c>
      <c r="M111">
        <v>0.16962389027370178</v>
      </c>
      <c r="N111">
        <v>0.15324555077766797</v>
      </c>
      <c r="O111">
        <v>0.14807393276799025</v>
      </c>
      <c r="P111">
        <v>0.16328944190423839</v>
      </c>
      <c r="Q111">
        <v>0.17519049960056535</v>
      </c>
      <c r="R111">
        <v>0.16802619827329562</v>
      </c>
      <c r="S111">
        <v>0.14628448531593</v>
      </c>
      <c r="T111">
        <v>0.15269436445907034</v>
      </c>
      <c r="U111">
        <v>0.17277232533281509</v>
      </c>
      <c r="V111">
        <v>0.17789655544757585</v>
      </c>
      <c r="W111">
        <v>0.1814665225553217</v>
      </c>
      <c r="X111">
        <f>AVERAGE(B111:W111)</f>
        <v>0.15519226378708292</v>
      </c>
      <c r="Y111">
        <f>(_xlfn.STDEV.P(B111:W111))^2</f>
        <v>2.1269266446606298E-4</v>
      </c>
    </row>
    <row r="112" spans="1:25" ht="16">
      <c r="A112" s="2"/>
      <c r="B112">
        <f>B111-$X111</f>
        <v>3.9082967700769244E-3</v>
      </c>
      <c r="C112">
        <f>C111-$X111</f>
        <v>-1.0707057088485822E-2</v>
      </c>
      <c r="D112">
        <f>D111-$X111</f>
        <v>-1.3549713796075585E-2</v>
      </c>
      <c r="E112">
        <f>E111-$X111</f>
        <v>-2.1731518966176255E-3</v>
      </c>
      <c r="F112">
        <f>F111-$X111</f>
        <v>-5.8346473464655768E-3</v>
      </c>
      <c r="G112">
        <f>G111-$X111</f>
        <v>-5.4842711289818102E-3</v>
      </c>
      <c r="H112">
        <f>H111-$X111</f>
        <v>-3.2165837662834623E-2</v>
      </c>
      <c r="I112">
        <f>I111-$X111</f>
        <v>-2.4155322229887949E-2</v>
      </c>
      <c r="J112">
        <f>J111-$X111</f>
        <v>-9.7810599730185632E-3</v>
      </c>
      <c r="K112">
        <f>K111-$X111</f>
        <v>-7.4072667404201931E-3</v>
      </c>
      <c r="L112">
        <f>L111-$X111</f>
        <v>5.90116604245014E-3</v>
      </c>
      <c r="M112">
        <f>M111-$X111</f>
        <v>1.4431626486618859E-2</v>
      </c>
      <c r="N112">
        <f>N111-$X111</f>
        <v>-1.9467130094149576E-3</v>
      </c>
      <c r="O112">
        <f>O111-$X111</f>
        <v>-7.1183310190926774E-3</v>
      </c>
      <c r="P112">
        <f>P111-$X111</f>
        <v>8.0971781171554624E-3</v>
      </c>
      <c r="Q112">
        <f>Q111-$X111</f>
        <v>1.9998235813482423E-2</v>
      </c>
      <c r="R112">
        <f>R111-$X111</f>
        <v>1.28339344862127E-2</v>
      </c>
      <c r="S112">
        <f>S111-$X111</f>
        <v>-8.9077784711529273E-3</v>
      </c>
      <c r="T112">
        <f>T111-$X111</f>
        <v>-2.4978993280125872E-3</v>
      </c>
      <c r="U112">
        <f>U111-$X111</f>
        <v>1.7580061545732162E-2</v>
      </c>
      <c r="V112">
        <f>V111-$X111</f>
        <v>2.2704291660492926E-2</v>
      </c>
      <c r="W112">
        <f>W111-$X111</f>
        <v>2.6274258768238773E-2</v>
      </c>
    </row>
    <row r="113" spans="1:25" ht="16">
      <c r="A113" s="2"/>
      <c r="M113">
        <f>B112*M112</f>
        <v>5.6403079184609081E-5</v>
      </c>
      <c r="N113">
        <f t="shared" ref="N113" si="61">C112*N112</f>
        <v>2.0843567326703987E-5</v>
      </c>
      <c r="O113">
        <f t="shared" ref="O113" si="62">D112*O112</f>
        <v>9.6451348014432825E-5</v>
      </c>
      <c r="P113">
        <f t="shared" ref="P113" si="63">E112*P112</f>
        <v>-1.7596397982547128E-5</v>
      </c>
      <c r="Q113">
        <f t="shared" ref="Q113" si="64">F112*Q112</f>
        <v>-1.1668265352312809E-4</v>
      </c>
      <c r="R113">
        <f t="shared" ref="R113" si="65">G112*R112</f>
        <v>-7.0384776373980318E-5</v>
      </c>
      <c r="S113">
        <f t="shared" ref="S113" si="66">H112*S112</f>
        <v>2.8652615623959825E-4</v>
      </c>
      <c r="T113">
        <f t="shared" ref="T113" si="67">I112*T112</f>
        <v>6.0337563165964615E-5</v>
      </c>
      <c r="U113">
        <f t="shared" ref="U113" si="68">J112*U112</f>
        <v>-1.7195163630816371E-4</v>
      </c>
      <c r="V113">
        <f t="shared" ref="V113" si="69">K112*V112</f>
        <v>-1.6817674448156881E-4</v>
      </c>
      <c r="W113">
        <f t="shared" ref="W113" si="70">L112*W112</f>
        <v>1.5504876363367848E-4</v>
      </c>
      <c r="X113">
        <f>SUM(M113:W113)</f>
        <v>1.3081826889559922E-4</v>
      </c>
      <c r="Y113">
        <f>X113/COUNT(B111:L111)/Y111</f>
        <v>5.5914339732659163E-2</v>
      </c>
    </row>
  </sheetData>
  <sortState ref="A33:B36">
    <sortCondition descending="1" ref="B33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opLeftCell="A61" workbookViewId="0">
      <selection activeCell="H85" sqref="H85:J87"/>
    </sheetView>
  </sheetViews>
  <sheetFormatPr baseColWidth="10" defaultColWidth="11.1640625" defaultRowHeight="15" x14ac:dyDescent="0"/>
  <sheetData>
    <row r="1" spans="1:6" s="19" customFormat="1" ht="16">
      <c r="A1" s="24" t="s">
        <v>1</v>
      </c>
      <c r="B1" s="19">
        <v>2006</v>
      </c>
      <c r="C1" s="19">
        <v>2007</v>
      </c>
      <c r="D1" s="19">
        <v>2008</v>
      </c>
      <c r="E1" s="19">
        <v>2009</v>
      </c>
      <c r="F1" s="19">
        <v>2010</v>
      </c>
    </row>
    <row r="2" spans="1:6" ht="16">
      <c r="A2" s="2" t="s">
        <v>127</v>
      </c>
      <c r="B2">
        <v>250374</v>
      </c>
      <c r="C2">
        <v>213281</v>
      </c>
      <c r="D2">
        <v>170662</v>
      </c>
      <c r="E2">
        <v>150449</v>
      </c>
      <c r="F2">
        <v>140916</v>
      </c>
    </row>
    <row r="3" spans="1:6" ht="16">
      <c r="A3" s="2" t="s">
        <v>128</v>
      </c>
      <c r="B3">
        <v>17121</v>
      </c>
      <c r="C3">
        <v>15289</v>
      </c>
      <c r="D3">
        <v>12558</v>
      </c>
      <c r="E3">
        <v>12678</v>
      </c>
      <c r="F3">
        <v>11478</v>
      </c>
    </row>
    <row r="4" spans="1:6" ht="16">
      <c r="A4" s="2" t="s">
        <v>129</v>
      </c>
      <c r="B4">
        <v>94241</v>
      </c>
      <c r="C4">
        <v>83541</v>
      </c>
      <c r="D4">
        <v>69185</v>
      </c>
      <c r="E4">
        <v>62940</v>
      </c>
      <c r="F4">
        <v>55658</v>
      </c>
    </row>
    <row r="5" spans="1:6" ht="16">
      <c r="A5" s="2" t="s">
        <v>130</v>
      </c>
      <c r="B5">
        <v>1894</v>
      </c>
      <c r="C5">
        <v>1563</v>
      </c>
      <c r="D5">
        <v>1276</v>
      </c>
      <c r="E5">
        <v>1144</v>
      </c>
      <c r="F5">
        <v>1101</v>
      </c>
    </row>
    <row r="6" spans="1:6" ht="16">
      <c r="A6" s="2" t="s">
        <v>131</v>
      </c>
      <c r="B6">
        <v>4848</v>
      </c>
      <c r="C6">
        <v>4800</v>
      </c>
      <c r="D6">
        <v>4081</v>
      </c>
      <c r="E6">
        <v>3961</v>
      </c>
      <c r="F6">
        <v>3576</v>
      </c>
    </row>
    <row r="7" spans="1:6" ht="16">
      <c r="A7" s="2" t="s">
        <v>132</v>
      </c>
      <c r="B7">
        <v>530</v>
      </c>
      <c r="C7">
        <v>553</v>
      </c>
      <c r="D7">
        <v>425</v>
      </c>
      <c r="E7">
        <v>399</v>
      </c>
      <c r="F7">
        <v>391</v>
      </c>
    </row>
    <row r="8" spans="1:6" ht="16">
      <c r="A8" s="2" t="s">
        <v>58</v>
      </c>
      <c r="B8">
        <v>9773</v>
      </c>
      <c r="C8">
        <v>8182</v>
      </c>
      <c r="D8">
        <v>7017</v>
      </c>
      <c r="E8">
        <v>6780</v>
      </c>
      <c r="F8">
        <v>6401</v>
      </c>
    </row>
    <row r="9" spans="1:6" ht="16">
      <c r="A9" s="24" t="s">
        <v>1</v>
      </c>
      <c r="B9">
        <f>SUM(B2:B8)</f>
        <v>378781</v>
      </c>
      <c r="C9">
        <f t="shared" ref="C9:F9" si="0">SUM(C2:C8)</f>
        <v>327209</v>
      </c>
      <c r="D9">
        <f t="shared" si="0"/>
        <v>265204</v>
      </c>
      <c r="E9">
        <f t="shared" si="0"/>
        <v>238351</v>
      </c>
      <c r="F9">
        <f t="shared" si="0"/>
        <v>219521</v>
      </c>
    </row>
    <row r="10" spans="1:6" s="19" customFormat="1" ht="16">
      <c r="A10" s="24" t="s">
        <v>65</v>
      </c>
      <c r="B10" s="19">
        <v>2006</v>
      </c>
      <c r="C10" s="19">
        <v>2007</v>
      </c>
      <c r="D10" s="19">
        <v>2008</v>
      </c>
      <c r="E10" s="19">
        <v>2009</v>
      </c>
      <c r="F10" s="19">
        <v>2010</v>
      </c>
    </row>
    <row r="11" spans="1:6" ht="16">
      <c r="A11" s="2" t="s">
        <v>127</v>
      </c>
      <c r="B11">
        <v>59961</v>
      </c>
      <c r="C11">
        <v>54030</v>
      </c>
      <c r="D11">
        <v>48018</v>
      </c>
      <c r="E11">
        <v>43931</v>
      </c>
      <c r="F11">
        <v>43064</v>
      </c>
    </row>
    <row r="12" spans="1:6" ht="16">
      <c r="A12" s="2" t="s">
        <v>128</v>
      </c>
      <c r="B12">
        <v>3185</v>
      </c>
      <c r="C12">
        <v>3026</v>
      </c>
      <c r="D12">
        <v>2771</v>
      </c>
      <c r="E12">
        <v>2713</v>
      </c>
      <c r="F12">
        <v>2486</v>
      </c>
    </row>
    <row r="13" spans="1:6" ht="16">
      <c r="A13" s="2" t="s">
        <v>129</v>
      </c>
      <c r="B13">
        <v>22024</v>
      </c>
      <c r="C13">
        <v>20710</v>
      </c>
      <c r="D13">
        <v>19043</v>
      </c>
      <c r="E13">
        <v>17507</v>
      </c>
      <c r="F13">
        <v>16189</v>
      </c>
    </row>
    <row r="14" spans="1:6" ht="16">
      <c r="A14" s="2" t="s">
        <v>130</v>
      </c>
      <c r="B14">
        <v>349</v>
      </c>
      <c r="C14">
        <v>335</v>
      </c>
      <c r="D14">
        <v>280</v>
      </c>
      <c r="E14">
        <v>285</v>
      </c>
      <c r="F14">
        <v>258</v>
      </c>
    </row>
    <row r="15" spans="1:6" ht="16">
      <c r="A15" s="2" t="s">
        <v>131</v>
      </c>
      <c r="B15">
        <v>725</v>
      </c>
      <c r="C15">
        <v>763</v>
      </c>
      <c r="D15">
        <v>701</v>
      </c>
      <c r="E15">
        <v>681</v>
      </c>
      <c r="F15">
        <v>638</v>
      </c>
    </row>
    <row r="16" spans="1:6" ht="16">
      <c r="A16" s="2" t="s">
        <v>132</v>
      </c>
      <c r="B16">
        <v>259</v>
      </c>
      <c r="C16">
        <v>256</v>
      </c>
      <c r="D16">
        <v>258</v>
      </c>
      <c r="E16">
        <v>283</v>
      </c>
      <c r="F16">
        <v>289</v>
      </c>
    </row>
    <row r="17" spans="1:6" ht="16">
      <c r="A17" s="2" t="s">
        <v>58</v>
      </c>
      <c r="B17">
        <v>2952</v>
      </c>
      <c r="C17">
        <v>2529</v>
      </c>
      <c r="D17">
        <v>2413</v>
      </c>
      <c r="E17">
        <v>2359</v>
      </c>
      <c r="F17">
        <v>2301</v>
      </c>
    </row>
    <row r="18" spans="1:6">
      <c r="B18">
        <f>SUM(B11:B17)</f>
        <v>89455</v>
      </c>
      <c r="C18">
        <f t="shared" ref="C18:F18" si="1">SUM(C11:C17)</f>
        <v>81649</v>
      </c>
      <c r="D18">
        <f t="shared" si="1"/>
        <v>73484</v>
      </c>
      <c r="E18">
        <f t="shared" si="1"/>
        <v>67759</v>
      </c>
      <c r="F18">
        <f t="shared" si="1"/>
        <v>65225</v>
      </c>
    </row>
    <row r="19" spans="1:6" s="19" customFormat="1" ht="16">
      <c r="A19" s="24" t="s">
        <v>113</v>
      </c>
      <c r="B19" s="19">
        <v>2006</v>
      </c>
      <c r="C19" s="19">
        <v>2007</v>
      </c>
      <c r="D19" s="19">
        <v>2008</v>
      </c>
      <c r="E19" s="19">
        <v>2009</v>
      </c>
      <c r="F19" s="19">
        <v>2010</v>
      </c>
    </row>
    <row r="20" spans="1:6" ht="16">
      <c r="A20" s="23" t="s">
        <v>127</v>
      </c>
      <c r="B20">
        <v>281664</v>
      </c>
      <c r="C20">
        <v>244752</v>
      </c>
      <c r="D20">
        <v>194695</v>
      </c>
      <c r="E20">
        <v>173275</v>
      </c>
      <c r="F20">
        <v>163284</v>
      </c>
    </row>
    <row r="21" spans="1:6" ht="16">
      <c r="A21" s="23" t="s">
        <v>128</v>
      </c>
      <c r="B21">
        <v>18841</v>
      </c>
      <c r="C21">
        <v>17200</v>
      </c>
      <c r="D21">
        <v>14074</v>
      </c>
      <c r="E21">
        <v>14288</v>
      </c>
      <c r="F21">
        <v>12670</v>
      </c>
    </row>
    <row r="22" spans="1:6" ht="16">
      <c r="A22" s="23" t="s">
        <v>129</v>
      </c>
      <c r="B22">
        <v>111837</v>
      </c>
      <c r="C22">
        <v>101331</v>
      </c>
      <c r="D22">
        <v>82004</v>
      </c>
      <c r="E22">
        <v>74286</v>
      </c>
      <c r="F22">
        <v>65534</v>
      </c>
    </row>
    <row r="23" spans="1:6" ht="16">
      <c r="A23" s="23" t="s">
        <v>130</v>
      </c>
      <c r="B23">
        <v>2069</v>
      </c>
      <c r="C23">
        <v>1763</v>
      </c>
      <c r="D23">
        <v>1376</v>
      </c>
      <c r="E23">
        <v>1175</v>
      </c>
      <c r="F23">
        <v>1185</v>
      </c>
    </row>
    <row r="24" spans="1:6" ht="16">
      <c r="A24" s="23" t="s">
        <v>131</v>
      </c>
      <c r="B24">
        <v>4915</v>
      </c>
      <c r="C24">
        <v>5006</v>
      </c>
      <c r="D24">
        <v>4257</v>
      </c>
      <c r="E24">
        <v>4004</v>
      </c>
      <c r="F24">
        <v>3640</v>
      </c>
    </row>
    <row r="25" spans="1:6" ht="16">
      <c r="A25" s="23" t="s">
        <v>132</v>
      </c>
      <c r="B25">
        <v>517</v>
      </c>
      <c r="C25">
        <v>602</v>
      </c>
      <c r="D25">
        <v>475</v>
      </c>
      <c r="E25">
        <v>546</v>
      </c>
      <c r="F25">
        <v>520</v>
      </c>
    </row>
    <row r="26" spans="1:6" ht="16">
      <c r="A26" s="23" t="s">
        <v>58</v>
      </c>
      <c r="B26">
        <v>11296</v>
      </c>
      <c r="C26">
        <v>9788</v>
      </c>
      <c r="D26">
        <v>8038</v>
      </c>
      <c r="E26">
        <v>7551</v>
      </c>
      <c r="F26">
        <v>7242</v>
      </c>
    </row>
    <row r="27" spans="1:6">
      <c r="B27">
        <f>SUM(B20:B26)</f>
        <v>431139</v>
      </c>
      <c r="C27">
        <f t="shared" ref="C27:F27" si="2">SUM(C20:C26)</f>
        <v>380442</v>
      </c>
      <c r="D27">
        <f t="shared" si="2"/>
        <v>304919</v>
      </c>
      <c r="E27">
        <f>SUM(E20:E26)</f>
        <v>275125</v>
      </c>
      <c r="F27">
        <f t="shared" si="2"/>
        <v>254075</v>
      </c>
    </row>
    <row r="29" spans="1:6" s="19" customFormat="1">
      <c r="A29" s="19" t="s">
        <v>3</v>
      </c>
      <c r="B29" s="19">
        <v>2006</v>
      </c>
      <c r="C29" s="19">
        <v>2007</v>
      </c>
      <c r="D29" s="19">
        <v>2008</v>
      </c>
      <c r="E29" s="19">
        <v>2009</v>
      </c>
      <c r="F29" s="19">
        <v>2010</v>
      </c>
    </row>
    <row r="30" spans="1:6" ht="16">
      <c r="A30" s="23" t="s">
        <v>127</v>
      </c>
      <c r="B30">
        <f>(B11+B20)/B2</f>
        <v>1.3644587696805579</v>
      </c>
      <c r="C30">
        <f t="shared" ref="C30:F30" si="3">(C11+C20)/C2</f>
        <v>1.4008842794247964</v>
      </c>
      <c r="D30">
        <f t="shared" si="3"/>
        <v>1.4221853722562727</v>
      </c>
      <c r="E30">
        <f t="shared" si="3"/>
        <v>1.4437184693816509</v>
      </c>
      <c r="F30">
        <f t="shared" si="3"/>
        <v>1.4643333617190384</v>
      </c>
    </row>
    <row r="31" spans="1:6" ht="16">
      <c r="A31" s="23" t="s">
        <v>128</v>
      </c>
      <c r="B31">
        <f t="shared" ref="B31:F36" si="4">(B12+B21)/B3</f>
        <v>1.2864902751007534</v>
      </c>
      <c r="C31">
        <f t="shared" si="4"/>
        <v>1.3229118974426057</v>
      </c>
      <c r="D31">
        <f t="shared" si="4"/>
        <v>1.3413760152890588</v>
      </c>
      <c r="E31">
        <f t="shared" si="4"/>
        <v>1.3409843823946994</v>
      </c>
      <c r="F31">
        <f t="shared" si="4"/>
        <v>1.3204391008886565</v>
      </c>
    </row>
    <row r="32" spans="1:6" ht="16">
      <c r="A32" s="23" t="s">
        <v>129</v>
      </c>
      <c r="B32">
        <f t="shared" si="4"/>
        <v>1.4204114981801976</v>
      </c>
      <c r="C32">
        <f t="shared" si="4"/>
        <v>1.4608515579176691</v>
      </c>
      <c r="D32">
        <f t="shared" si="4"/>
        <v>1.4605333526053335</v>
      </c>
      <c r="E32">
        <f t="shared" si="4"/>
        <v>1.4584207181442643</v>
      </c>
      <c r="F32">
        <f t="shared" si="4"/>
        <v>1.4683064429192569</v>
      </c>
    </row>
    <row r="33" spans="1:6" ht="16">
      <c r="A33" s="23" t="s">
        <v>130</v>
      </c>
      <c r="B33">
        <f t="shared" si="4"/>
        <v>1.276663146779303</v>
      </c>
      <c r="C33">
        <f t="shared" si="4"/>
        <v>1.3422904670505438</v>
      </c>
      <c r="D33">
        <f t="shared" si="4"/>
        <v>1.297805642633229</v>
      </c>
      <c r="E33">
        <f t="shared" si="4"/>
        <v>1.2762237762237763</v>
      </c>
      <c r="F33">
        <f t="shared" si="4"/>
        <v>1.3106267029972751</v>
      </c>
    </row>
    <row r="34" spans="1:6" ht="16">
      <c r="A34" s="23" t="s">
        <v>131</v>
      </c>
      <c r="B34">
        <f t="shared" si="4"/>
        <v>1.1633663366336633</v>
      </c>
      <c r="C34">
        <f t="shared" si="4"/>
        <v>1.201875</v>
      </c>
      <c r="D34">
        <f t="shared" si="4"/>
        <v>1.214898309237932</v>
      </c>
      <c r="E34">
        <f t="shared" si="4"/>
        <v>1.1827821257258269</v>
      </c>
      <c r="F34">
        <f t="shared" si="4"/>
        <v>1.1963087248322148</v>
      </c>
    </row>
    <row r="35" spans="1:6" ht="16">
      <c r="A35" s="23" t="s">
        <v>132</v>
      </c>
      <c r="B35">
        <f t="shared" si="4"/>
        <v>1.4641509433962263</v>
      </c>
      <c r="C35">
        <f t="shared" si="4"/>
        <v>1.5515370705244123</v>
      </c>
      <c r="D35">
        <f t="shared" si="4"/>
        <v>1.7247058823529411</v>
      </c>
      <c r="E35">
        <f t="shared" si="4"/>
        <v>2.0776942355889725</v>
      </c>
      <c r="F35">
        <f t="shared" si="4"/>
        <v>2.0690537084398977</v>
      </c>
    </row>
    <row r="36" spans="1:6" ht="16">
      <c r="A36" s="23" t="s">
        <v>58</v>
      </c>
      <c r="B36">
        <f t="shared" si="4"/>
        <v>1.4578941983014428</v>
      </c>
      <c r="C36">
        <f t="shared" si="4"/>
        <v>1.5053776582742606</v>
      </c>
      <c r="D36">
        <f t="shared" si="4"/>
        <v>1.4893829271768562</v>
      </c>
      <c r="E36">
        <f t="shared" si="4"/>
        <v>1.4616519174041298</v>
      </c>
      <c r="F36">
        <f t="shared" si="4"/>
        <v>1.4908608029995314</v>
      </c>
    </row>
    <row r="37" spans="1:6" ht="16">
      <c r="A37" s="2" t="s">
        <v>173</v>
      </c>
      <c r="B37">
        <v>1.3743931189790406</v>
      </c>
      <c r="C37">
        <v>1.4122197127829614</v>
      </c>
      <c r="D37">
        <v>1.4268374534320749</v>
      </c>
      <c r="E37">
        <v>1.4385674908013812</v>
      </c>
      <c r="F37">
        <v>1.4545305460525417</v>
      </c>
    </row>
    <row r="38" spans="1:6" s="19" customFormat="1">
      <c r="A38" s="19" t="s">
        <v>4</v>
      </c>
      <c r="B38" s="19">
        <v>2006</v>
      </c>
      <c r="C38" s="19">
        <v>2007</v>
      </c>
      <c r="D38" s="19">
        <v>2008</v>
      </c>
      <c r="E38" s="19">
        <v>2009</v>
      </c>
      <c r="F38" s="19">
        <v>2010</v>
      </c>
    </row>
    <row r="39" spans="1:6" ht="16">
      <c r="A39" s="23" t="s">
        <v>127</v>
      </c>
      <c r="B39">
        <f>B11/(B11+B20)</f>
        <v>0.17551701427003294</v>
      </c>
      <c r="C39">
        <f t="shared" ref="C39:F39" si="5">C11/(C11+C20)</f>
        <v>0.18083418679840152</v>
      </c>
      <c r="D39">
        <f t="shared" si="5"/>
        <v>0.19783859949817273</v>
      </c>
      <c r="E39">
        <f t="shared" si="5"/>
        <v>0.20225500216384446</v>
      </c>
      <c r="F39">
        <f t="shared" si="5"/>
        <v>0.20869598929962976</v>
      </c>
    </row>
    <row r="40" spans="1:6" ht="16">
      <c r="A40" s="23" t="s">
        <v>128</v>
      </c>
      <c r="B40">
        <f t="shared" ref="B40:F45" si="6">B12/(B12+B21)</f>
        <v>0.14460183419595024</v>
      </c>
      <c r="C40">
        <f t="shared" si="6"/>
        <v>0.14960941362602589</v>
      </c>
      <c r="D40">
        <f t="shared" si="6"/>
        <v>0.16449985158800831</v>
      </c>
      <c r="E40">
        <f t="shared" si="6"/>
        <v>0.159578848303041</v>
      </c>
      <c r="F40">
        <f t="shared" si="6"/>
        <v>0.16402744787542886</v>
      </c>
    </row>
    <row r="41" spans="1:6" ht="16">
      <c r="A41" s="23" t="s">
        <v>129</v>
      </c>
      <c r="B41">
        <f t="shared" si="6"/>
        <v>0.16452887696939361</v>
      </c>
      <c r="C41">
        <f t="shared" si="6"/>
        <v>0.16969706901778911</v>
      </c>
      <c r="D41">
        <f t="shared" si="6"/>
        <v>0.18845685671024376</v>
      </c>
      <c r="E41">
        <f t="shared" si="6"/>
        <v>0.19072260412013989</v>
      </c>
      <c r="F41">
        <f t="shared" si="6"/>
        <v>0.19809600724398271</v>
      </c>
    </row>
    <row r="42" spans="1:6" ht="16">
      <c r="A42" s="23" t="s">
        <v>130</v>
      </c>
      <c r="B42">
        <f t="shared" si="6"/>
        <v>0.14433416046319272</v>
      </c>
      <c r="C42">
        <f t="shared" si="6"/>
        <v>0.15967588179218303</v>
      </c>
      <c r="D42">
        <f t="shared" si="6"/>
        <v>0.16908212560386474</v>
      </c>
      <c r="E42">
        <f t="shared" si="6"/>
        <v>0.1952054794520548</v>
      </c>
      <c r="F42">
        <f t="shared" si="6"/>
        <v>0.1787941787941788</v>
      </c>
    </row>
    <row r="43" spans="1:6" ht="16">
      <c r="A43" s="23" t="s">
        <v>131</v>
      </c>
      <c r="B43">
        <f t="shared" si="6"/>
        <v>0.12854609929078015</v>
      </c>
      <c r="C43">
        <f t="shared" si="6"/>
        <v>0.13225862367828045</v>
      </c>
      <c r="D43">
        <f t="shared" si="6"/>
        <v>0.14138765631302944</v>
      </c>
      <c r="E43">
        <f t="shared" si="6"/>
        <v>0.14535752401280683</v>
      </c>
      <c r="F43">
        <f t="shared" si="6"/>
        <v>0.14913510986442263</v>
      </c>
    </row>
    <row r="44" spans="1:6" ht="16">
      <c r="A44" s="23" t="s">
        <v>132</v>
      </c>
      <c r="B44">
        <f t="shared" si="6"/>
        <v>0.33376288659793812</v>
      </c>
      <c r="C44">
        <f t="shared" si="6"/>
        <v>0.29836829836829837</v>
      </c>
      <c r="D44">
        <f t="shared" si="6"/>
        <v>0.35197817189631653</v>
      </c>
      <c r="E44">
        <f t="shared" si="6"/>
        <v>0.34137515078407721</v>
      </c>
      <c r="F44">
        <f t="shared" si="6"/>
        <v>0.35723114956736712</v>
      </c>
    </row>
    <row r="45" spans="1:6" ht="16">
      <c r="A45" s="23" t="s">
        <v>58</v>
      </c>
      <c r="B45">
        <f t="shared" si="6"/>
        <v>0.20718697361033128</v>
      </c>
      <c r="C45">
        <f t="shared" si="6"/>
        <v>0.20532597223349841</v>
      </c>
      <c r="D45">
        <f t="shared" si="6"/>
        <v>0.23088699645966893</v>
      </c>
      <c r="E45">
        <f t="shared" si="6"/>
        <v>0.23804238143289608</v>
      </c>
      <c r="F45">
        <f t="shared" si="6"/>
        <v>0.2411191449229802</v>
      </c>
    </row>
    <row r="46" spans="1:6" ht="16">
      <c r="A46" s="2" t="s">
        <v>173</v>
      </c>
      <c r="B46">
        <v>0.17183256049820014</v>
      </c>
      <c r="C46">
        <v>0.17669463374097311</v>
      </c>
      <c r="D46">
        <v>0.19419507773458455</v>
      </c>
      <c r="E46">
        <v>0.19761493682994832</v>
      </c>
      <c r="F46">
        <v>0.20427497651111806</v>
      </c>
    </row>
    <row r="49" spans="1:6" ht="16">
      <c r="A49" s="24" t="s">
        <v>150</v>
      </c>
      <c r="B49" s="19" t="s">
        <v>138</v>
      </c>
    </row>
    <row r="50" spans="1:6" ht="16">
      <c r="A50" s="2" t="s">
        <v>127</v>
      </c>
      <c r="B50">
        <v>43064</v>
      </c>
    </row>
    <row r="51" spans="1:6" ht="16">
      <c r="A51" s="2" t="s">
        <v>129</v>
      </c>
      <c r="B51">
        <v>16189</v>
      </c>
    </row>
    <row r="52" spans="1:6" ht="16">
      <c r="A52" s="2" t="s">
        <v>128</v>
      </c>
      <c r="B52">
        <v>2486</v>
      </c>
    </row>
    <row r="53" spans="1:6" ht="16">
      <c r="A53" s="2" t="s">
        <v>58</v>
      </c>
      <c r="B53">
        <v>2301</v>
      </c>
    </row>
    <row r="54" spans="1:6" ht="16">
      <c r="A54" s="2" t="s">
        <v>131</v>
      </c>
      <c r="B54">
        <v>638</v>
      </c>
    </row>
    <row r="55" spans="1:6" ht="16">
      <c r="A55" s="2" t="s">
        <v>132</v>
      </c>
      <c r="B55">
        <v>289</v>
      </c>
    </row>
    <row r="56" spans="1:6" ht="16">
      <c r="A56" s="2" t="s">
        <v>130</v>
      </c>
      <c r="B56">
        <v>258</v>
      </c>
    </row>
    <row r="58" spans="1:6" ht="16">
      <c r="A58" s="24" t="s">
        <v>65</v>
      </c>
      <c r="B58" s="19">
        <v>2006</v>
      </c>
      <c r="C58" s="19">
        <v>2007</v>
      </c>
      <c r="D58" s="19">
        <v>2008</v>
      </c>
      <c r="E58" s="19">
        <v>2009</v>
      </c>
      <c r="F58" s="19">
        <v>2010</v>
      </c>
    </row>
    <row r="59" spans="1:6" ht="16">
      <c r="A59" s="2" t="s">
        <v>127</v>
      </c>
      <c r="B59">
        <v>59961</v>
      </c>
      <c r="C59">
        <v>54030</v>
      </c>
      <c r="D59">
        <v>48018</v>
      </c>
      <c r="E59">
        <v>43931</v>
      </c>
      <c r="F59">
        <v>43064</v>
      </c>
    </row>
    <row r="60" spans="1:6" ht="16">
      <c r="A60" s="2" t="s">
        <v>129</v>
      </c>
      <c r="B60">
        <v>22024</v>
      </c>
      <c r="C60">
        <v>20710</v>
      </c>
      <c r="D60">
        <v>19043</v>
      </c>
      <c r="E60">
        <v>17507</v>
      </c>
      <c r="F60">
        <v>16189</v>
      </c>
    </row>
    <row r="61" spans="1:6" ht="16">
      <c r="A61" s="2" t="s">
        <v>128</v>
      </c>
      <c r="B61">
        <v>3185</v>
      </c>
      <c r="C61">
        <v>3026</v>
      </c>
      <c r="D61">
        <v>2771</v>
      </c>
      <c r="E61">
        <v>2713</v>
      </c>
      <c r="F61">
        <v>2486</v>
      </c>
    </row>
    <row r="62" spans="1:6" ht="16">
      <c r="A62" s="2" t="s">
        <v>58</v>
      </c>
      <c r="B62">
        <v>2952</v>
      </c>
      <c r="C62">
        <v>2529</v>
      </c>
      <c r="D62">
        <v>2413</v>
      </c>
      <c r="E62">
        <v>2359</v>
      </c>
      <c r="F62">
        <v>2301</v>
      </c>
    </row>
    <row r="63" spans="1:6" ht="16">
      <c r="A63" s="2" t="s">
        <v>131</v>
      </c>
      <c r="B63">
        <v>725</v>
      </c>
      <c r="C63">
        <v>763</v>
      </c>
      <c r="D63">
        <v>701</v>
      </c>
      <c r="E63">
        <v>681</v>
      </c>
      <c r="F63">
        <v>638</v>
      </c>
    </row>
    <row r="64" spans="1:6" ht="16">
      <c r="A64" s="2" t="s">
        <v>132</v>
      </c>
      <c r="B64">
        <v>259</v>
      </c>
      <c r="C64">
        <v>256</v>
      </c>
      <c r="D64">
        <v>258</v>
      </c>
      <c r="E64">
        <v>283</v>
      </c>
      <c r="F64">
        <v>289</v>
      </c>
    </row>
    <row r="65" spans="1:12" ht="16">
      <c r="A65" s="2" t="s">
        <v>130</v>
      </c>
      <c r="B65">
        <v>349</v>
      </c>
      <c r="C65">
        <v>335</v>
      </c>
      <c r="D65">
        <v>280</v>
      </c>
      <c r="E65">
        <v>285</v>
      </c>
      <c r="F65">
        <v>258</v>
      </c>
    </row>
    <row r="70" spans="1:12" ht="16">
      <c r="A70" s="2" t="s">
        <v>173</v>
      </c>
      <c r="B70">
        <v>0.83079107445892919</v>
      </c>
      <c r="C70">
        <v>0.8642185453008866</v>
      </c>
      <c r="D70">
        <v>0.86848126528674741</v>
      </c>
      <c r="E70">
        <v>0.89668872386357001</v>
      </c>
      <c r="F70">
        <v>1.1352645064869114</v>
      </c>
      <c r="G70">
        <v>1.2629515784423904</v>
      </c>
      <c r="H70">
        <v>1.3743931189790406</v>
      </c>
      <c r="I70">
        <v>1.4122197127829614</v>
      </c>
      <c r="J70">
        <v>1.4268374534320749</v>
      </c>
      <c r="K70">
        <v>1.4385674908013812</v>
      </c>
      <c r="L70">
        <v>1.4545305460525417</v>
      </c>
    </row>
    <row r="71" spans="1:12" ht="16">
      <c r="A71" s="2" t="s">
        <v>173</v>
      </c>
      <c r="B71">
        <v>0.18310136682703376</v>
      </c>
      <c r="C71">
        <v>0.16236597870987024</v>
      </c>
      <c r="D71">
        <v>0.16290146026167054</v>
      </c>
      <c r="E71">
        <v>0.17437590427469235</v>
      </c>
      <c r="F71">
        <v>0.1821220156444269</v>
      </c>
      <c r="G71">
        <v>0.17363610944536964</v>
      </c>
      <c r="H71">
        <v>0.17183256049820014</v>
      </c>
      <c r="I71">
        <v>0.17669463374097311</v>
      </c>
      <c r="J71">
        <v>0.19419507773458455</v>
      </c>
      <c r="K71">
        <v>0.19761493682994832</v>
      </c>
      <c r="L71">
        <v>0.20427497651111806</v>
      </c>
    </row>
    <row r="76" spans="1:12">
      <c r="A76" t="s">
        <v>3</v>
      </c>
      <c r="B76">
        <v>2006</v>
      </c>
      <c r="C76">
        <v>2007</v>
      </c>
      <c r="D76">
        <v>2008</v>
      </c>
      <c r="E76">
        <v>2009</v>
      </c>
      <c r="F76">
        <v>2010</v>
      </c>
      <c r="H76" s="35" t="s">
        <v>3</v>
      </c>
      <c r="I76" s="35" t="s">
        <v>207</v>
      </c>
      <c r="J76" s="35" t="s">
        <v>208</v>
      </c>
    </row>
    <row r="77" spans="1:12">
      <c r="A77" t="s">
        <v>127</v>
      </c>
      <c r="B77">
        <v>1.3644587696805579</v>
      </c>
      <c r="C77">
        <v>1.4008842794247964</v>
      </c>
      <c r="D77">
        <v>1.4221853722562727</v>
      </c>
      <c r="E77">
        <v>1.4437184693816509</v>
      </c>
      <c r="F77">
        <v>1.4643333617190384</v>
      </c>
      <c r="H77" s="35" t="s">
        <v>207</v>
      </c>
      <c r="I77" s="35">
        <v>1</v>
      </c>
      <c r="J77" s="35"/>
    </row>
    <row r="78" spans="1:12">
      <c r="A78" t="s">
        <v>128</v>
      </c>
      <c r="B78">
        <v>1.2864902751007534</v>
      </c>
      <c r="C78">
        <v>1.3229118974426057</v>
      </c>
      <c r="D78">
        <v>1.3413760152890588</v>
      </c>
      <c r="E78">
        <v>1.3409843823946994</v>
      </c>
      <c r="F78">
        <v>1.3204391008886565</v>
      </c>
      <c r="H78" s="35" t="s">
        <v>208</v>
      </c>
      <c r="I78" s="35">
        <v>0.19039866453165769</v>
      </c>
      <c r="J78" s="35">
        <v>1</v>
      </c>
    </row>
    <row r="79" spans="1:12">
      <c r="A79" t="s">
        <v>129</v>
      </c>
      <c r="B79">
        <v>1.4204114981801976</v>
      </c>
      <c r="C79">
        <v>1.4608515579176691</v>
      </c>
      <c r="D79">
        <v>1.4605333526053335</v>
      </c>
      <c r="E79">
        <v>1.4584207181442643</v>
      </c>
      <c r="F79">
        <v>1.4683064429192569</v>
      </c>
      <c r="H79" s="35"/>
      <c r="I79" s="35"/>
      <c r="J79" s="35"/>
    </row>
    <row r="80" spans="1:12">
      <c r="A80" t="s">
        <v>130</v>
      </c>
      <c r="B80">
        <v>1.276663146779303</v>
      </c>
      <c r="C80">
        <v>1.3422904670505438</v>
      </c>
      <c r="D80">
        <v>1.297805642633229</v>
      </c>
      <c r="E80">
        <v>1.2762237762237763</v>
      </c>
      <c r="F80">
        <v>1.3106267029972751</v>
      </c>
      <c r="H80" s="35"/>
      <c r="I80" s="35"/>
      <c r="J80" s="35"/>
    </row>
    <row r="81" spans="1:13">
      <c r="A81" t="s">
        <v>131</v>
      </c>
      <c r="B81">
        <v>1.1633663366336633</v>
      </c>
      <c r="C81">
        <v>1.201875</v>
      </c>
      <c r="D81">
        <v>1.214898309237932</v>
      </c>
      <c r="E81">
        <v>1.1827821257258269</v>
      </c>
      <c r="F81">
        <v>1.1963087248322148</v>
      </c>
      <c r="H81" s="35"/>
      <c r="I81" s="35"/>
      <c r="J81" s="35"/>
    </row>
    <row r="82" spans="1:13">
      <c r="A82" t="s">
        <v>132</v>
      </c>
      <c r="B82">
        <v>1.4641509433962263</v>
      </c>
      <c r="C82">
        <v>1.5515370705244123</v>
      </c>
      <c r="D82">
        <v>1.7247058823529411</v>
      </c>
      <c r="E82">
        <v>2.0776942355889725</v>
      </c>
      <c r="F82">
        <v>2.0690537084398977</v>
      </c>
      <c r="H82" s="35"/>
      <c r="I82" s="35"/>
      <c r="J82" s="35"/>
    </row>
    <row r="83" spans="1:13">
      <c r="A83" t="s">
        <v>58</v>
      </c>
      <c r="B83">
        <v>1.4578941983014428</v>
      </c>
      <c r="C83">
        <v>1.5053776582742606</v>
      </c>
      <c r="D83">
        <v>1.4893829271768562</v>
      </c>
      <c r="E83">
        <v>1.4616519174041298</v>
      </c>
      <c r="F83">
        <v>1.4908608029995314</v>
      </c>
      <c r="H83" s="35"/>
      <c r="I83" s="35"/>
      <c r="J83" s="35"/>
    </row>
    <row r="84" spans="1:13">
      <c r="A84" t="s">
        <v>173</v>
      </c>
      <c r="B84">
        <v>1.3743931189790406</v>
      </c>
      <c r="C84">
        <v>1.4122197127829614</v>
      </c>
      <c r="D84">
        <v>1.4268374534320749</v>
      </c>
      <c r="E84">
        <v>1.4385674908013812</v>
      </c>
      <c r="F84">
        <v>1.4545305460525417</v>
      </c>
      <c r="H84" s="35"/>
      <c r="I84" s="35"/>
      <c r="J84" s="35"/>
    </row>
    <row r="85" spans="1:13">
      <c r="A85" t="s">
        <v>4</v>
      </c>
      <c r="B85">
        <v>2006</v>
      </c>
      <c r="C85">
        <v>2007</v>
      </c>
      <c r="D85">
        <v>2008</v>
      </c>
      <c r="E85">
        <v>2009</v>
      </c>
      <c r="F85">
        <v>2010</v>
      </c>
      <c r="H85" s="35" t="s">
        <v>4</v>
      </c>
      <c r="I85" s="35" t="s">
        <v>207</v>
      </c>
      <c r="J85" s="35" t="s">
        <v>208</v>
      </c>
    </row>
    <row r="86" spans="1:13">
      <c r="A86" t="s">
        <v>127</v>
      </c>
      <c r="B86">
        <v>0.17551701427003294</v>
      </c>
      <c r="C86">
        <v>0.18083418679840152</v>
      </c>
      <c r="D86">
        <v>0.19783859949817273</v>
      </c>
      <c r="E86">
        <v>0.20225500216384446</v>
      </c>
      <c r="F86">
        <v>0.20869598929962976</v>
      </c>
      <c r="H86" s="35" t="s">
        <v>207</v>
      </c>
      <c r="I86" s="35">
        <v>1</v>
      </c>
      <c r="J86" s="35"/>
    </row>
    <row r="87" spans="1:13">
      <c r="A87" t="s">
        <v>128</v>
      </c>
      <c r="B87">
        <v>0.14460183419595024</v>
      </c>
      <c r="C87">
        <v>0.14960941362602589</v>
      </c>
      <c r="D87">
        <v>0.16449985158800831</v>
      </c>
      <c r="E87">
        <v>0.159578848303041</v>
      </c>
      <c r="F87">
        <v>0.16402744787542886</v>
      </c>
      <c r="H87" s="35" t="s">
        <v>208</v>
      </c>
      <c r="I87" s="35">
        <v>0.70041300331855538</v>
      </c>
      <c r="J87" s="35">
        <v>1</v>
      </c>
    </row>
    <row r="88" spans="1:13">
      <c r="A88" t="s">
        <v>129</v>
      </c>
      <c r="B88">
        <v>0.16452887696939361</v>
      </c>
      <c r="C88">
        <v>0.16969706901778911</v>
      </c>
      <c r="D88">
        <v>0.18845685671024376</v>
      </c>
      <c r="E88">
        <v>0.19072260412013989</v>
      </c>
      <c r="F88">
        <v>0.19809600724398271</v>
      </c>
    </row>
    <row r="89" spans="1:13">
      <c r="A89" t="s">
        <v>130</v>
      </c>
      <c r="B89">
        <v>0.14433416046319272</v>
      </c>
      <c r="C89">
        <v>0.15967588179218303</v>
      </c>
      <c r="D89">
        <v>0.16908212560386474</v>
      </c>
      <c r="E89">
        <v>0.1952054794520548</v>
      </c>
      <c r="F89">
        <v>0.1787941787941788</v>
      </c>
    </row>
    <row r="90" spans="1:13">
      <c r="A90" t="s">
        <v>131</v>
      </c>
      <c r="B90">
        <v>0.12854609929078015</v>
      </c>
      <c r="C90">
        <v>0.13225862367828045</v>
      </c>
      <c r="D90">
        <v>0.14138765631302944</v>
      </c>
      <c r="E90">
        <v>0.14535752401280683</v>
      </c>
      <c r="F90">
        <v>0.14913510986442263</v>
      </c>
    </row>
    <row r="91" spans="1:13">
      <c r="A91" t="s">
        <v>132</v>
      </c>
      <c r="B91">
        <v>0.33376288659793812</v>
      </c>
      <c r="C91">
        <v>0.29836829836829837</v>
      </c>
      <c r="D91">
        <v>0.35197817189631653</v>
      </c>
      <c r="E91">
        <v>0.34137515078407721</v>
      </c>
      <c r="F91">
        <v>0.35723114956736712</v>
      </c>
    </row>
    <row r="92" spans="1:13">
      <c r="A92" t="s">
        <v>58</v>
      </c>
      <c r="B92">
        <v>0.20718697361033128</v>
      </c>
      <c r="C92">
        <v>0.20532597223349841</v>
      </c>
      <c r="D92">
        <v>0.23088699645966893</v>
      </c>
      <c r="E92">
        <v>0.23804238143289608</v>
      </c>
      <c r="F92">
        <v>0.2411191449229802</v>
      </c>
    </row>
    <row r="93" spans="1:13">
      <c r="A93" t="s">
        <v>173</v>
      </c>
      <c r="B93">
        <v>0.17183256049820014</v>
      </c>
      <c r="C93">
        <v>0.17669463374097311</v>
      </c>
      <c r="D93">
        <v>0.19419507773458455</v>
      </c>
      <c r="E93">
        <v>0.19761493682994832</v>
      </c>
      <c r="F93">
        <v>0.20427497651111806</v>
      </c>
    </row>
    <row r="96" spans="1:13">
      <c r="L96" t="s">
        <v>185</v>
      </c>
      <c r="M96" t="s">
        <v>186</v>
      </c>
    </row>
    <row r="97" spans="1:13" ht="16">
      <c r="A97" s="2" t="s">
        <v>202</v>
      </c>
      <c r="B97">
        <v>1.3644587696805579</v>
      </c>
      <c r="C97">
        <v>1.4008842794247964</v>
      </c>
      <c r="D97">
        <v>1.4221853722562727</v>
      </c>
      <c r="E97">
        <v>1.4437184693816509</v>
      </c>
      <c r="F97">
        <v>1.4643333617190384</v>
      </c>
      <c r="G97">
        <v>1.4204114981801976</v>
      </c>
      <c r="H97">
        <v>1.4608515579176691</v>
      </c>
      <c r="I97">
        <v>1.4605333526053335</v>
      </c>
      <c r="J97">
        <v>1.4584207181442643</v>
      </c>
      <c r="K97">
        <v>1.4683064429192569</v>
      </c>
      <c r="L97">
        <f>AVERAGE(B97:K97)</f>
        <v>1.4364103822229037</v>
      </c>
      <c r="M97">
        <f>(_xlfn.STDEV.P(B97:K97))^2</f>
        <v>1.041165699322021E-3</v>
      </c>
    </row>
    <row r="98" spans="1:13" ht="16">
      <c r="A98" s="2"/>
      <c r="B98">
        <f>B97-$L97</f>
        <v>-7.1951612542345833E-2</v>
      </c>
      <c r="C98">
        <f>C97-$L97</f>
        <v>-3.5526102798107306E-2</v>
      </c>
      <c r="D98">
        <f>D97-$L97</f>
        <v>-1.4225009966631008E-2</v>
      </c>
      <c r="E98">
        <f>E97-$L97</f>
        <v>7.3080871587472007E-3</v>
      </c>
      <c r="F98">
        <f>F97-$L97</f>
        <v>2.7922979496134648E-2</v>
      </c>
      <c r="G98">
        <f>G97-$L97</f>
        <v>-1.5998884042706107E-2</v>
      </c>
      <c r="H98">
        <f>H97-$L97</f>
        <v>2.4441175694765338E-2</v>
      </c>
      <c r="I98">
        <f>I97-$L97</f>
        <v>2.412297038242972E-2</v>
      </c>
      <c r="J98">
        <f>J97-$L97</f>
        <v>2.2010335921360591E-2</v>
      </c>
      <c r="K98">
        <f>K97-$L97</f>
        <v>3.1896060696353201E-2</v>
      </c>
    </row>
    <row r="99" spans="1:13" ht="16">
      <c r="A99" s="2"/>
      <c r="G99">
        <f>B98*G98</f>
        <v>1.1511455057507094E-3</v>
      </c>
      <c r="H99">
        <f>C98*H98</f>
        <v>-8.6829972023883515E-4</v>
      </c>
      <c r="I99">
        <f>D98*I98</f>
        <v>-3.431494941148074E-4</v>
      </c>
      <c r="J99">
        <f>E98*J98</f>
        <v>1.6085345330660758E-4</v>
      </c>
      <c r="K99">
        <f>F98*K98</f>
        <v>8.9063304883173666E-4</v>
      </c>
      <c r="L99">
        <f>SUM(G99:K99)</f>
        <v>9.9118279353541117E-4</v>
      </c>
      <c r="M99">
        <f>L99/COUNT(B97:F97)/M97</f>
        <v>0.19039866453165769</v>
      </c>
    </row>
    <row r="100" spans="1:13" ht="16">
      <c r="A100" s="2"/>
    </row>
    <row r="101" spans="1:13">
      <c r="L101" t="s">
        <v>185</v>
      </c>
      <c r="M101" t="s">
        <v>186</v>
      </c>
    </row>
    <row r="102" spans="1:13" ht="16">
      <c r="A102" s="2" t="s">
        <v>202</v>
      </c>
      <c r="B102">
        <v>0.17551701427003294</v>
      </c>
      <c r="C102">
        <v>0.18083418679840152</v>
      </c>
      <c r="D102">
        <v>0.19783859949817273</v>
      </c>
      <c r="E102">
        <v>0.20225500216384446</v>
      </c>
      <c r="F102">
        <v>0.20869598929962976</v>
      </c>
      <c r="G102">
        <v>0.16452887696939361</v>
      </c>
      <c r="H102">
        <v>0.16969706901778911</v>
      </c>
      <c r="I102">
        <v>0.18845685671024376</v>
      </c>
      <c r="J102">
        <v>0.19072260412013989</v>
      </c>
      <c r="K102">
        <v>0.19809600724398271</v>
      </c>
      <c r="L102">
        <f>AVERAGE(B102:K102)</f>
        <v>0.18766422060916305</v>
      </c>
      <c r="M102">
        <f>(_xlfn.STDEV.P(B102:K102))^2</f>
        <v>1.9298149858253862E-4</v>
      </c>
    </row>
    <row r="103" spans="1:13" ht="16">
      <c r="A103" s="2"/>
      <c r="B103">
        <f>B102-$L102</f>
        <v>-1.2147206339130107E-2</v>
      </c>
      <c r="C103">
        <f>C102-$L102</f>
        <v>-6.8300338107615266E-3</v>
      </c>
      <c r="D103">
        <f>D102-$L102</f>
        <v>1.0174378889009683E-2</v>
      </c>
      <c r="E103">
        <f>E102-$L102</f>
        <v>1.4590781554681409E-2</v>
      </c>
      <c r="F103">
        <f>F102-$L102</f>
        <v>2.1031768690466718E-2</v>
      </c>
      <c r="G103">
        <f>G102-$L102</f>
        <v>-2.3135343639769435E-2</v>
      </c>
      <c r="H103">
        <f>H102-$L102</f>
        <v>-1.7967151591373937E-2</v>
      </c>
      <c r="I103">
        <f>I102-$L102</f>
        <v>7.9263610108071259E-4</v>
      </c>
      <c r="J103">
        <f>J102-$L102</f>
        <v>3.058383510976842E-3</v>
      </c>
      <c r="K103">
        <f>K102-$L102</f>
        <v>1.0431786634819668E-2</v>
      </c>
    </row>
    <row r="104" spans="1:13" ht="16">
      <c r="A104" s="2"/>
      <c r="G104">
        <f>B103*G103</f>
        <v>2.8102979291896066E-4</v>
      </c>
      <c r="H104">
        <f>C103*H103</f>
        <v>1.2271625285216174E-4</v>
      </c>
      <c r="I104">
        <f>D103*I103</f>
        <v>8.0645800135025481E-6</v>
      </c>
      <c r="J104">
        <f>E103*J103</f>
        <v>4.4624205719102674E-5</v>
      </c>
      <c r="K104">
        <f>F103*K103</f>
        <v>2.1939892353182945E-4</v>
      </c>
      <c r="L104">
        <f>SUM(G104:K104)</f>
        <v>6.7583375503555711E-4</v>
      </c>
      <c r="M104">
        <f>L104/COUNT(B102:F102)/M102</f>
        <v>0.70041300331855538</v>
      </c>
    </row>
    <row r="105" spans="1:13" ht="16">
      <c r="A105" s="2"/>
    </row>
    <row r="106" spans="1:13" ht="16">
      <c r="A106" s="2"/>
    </row>
    <row r="107" spans="1:13" ht="16">
      <c r="A107" s="2"/>
    </row>
    <row r="108" spans="1:13" ht="16">
      <c r="A108" s="2"/>
    </row>
    <row r="109" spans="1:13" ht="16">
      <c r="A109" s="2"/>
    </row>
    <row r="110" spans="1:13" ht="16">
      <c r="A110" s="2"/>
    </row>
    <row r="111" spans="1:13" ht="16">
      <c r="A111" s="2"/>
    </row>
    <row r="112" spans="1:13" ht="16">
      <c r="A112" s="2"/>
    </row>
    <row r="113" spans="1:1" ht="16">
      <c r="A113" s="2"/>
    </row>
    <row r="114" spans="1:1" ht="16">
      <c r="A114" s="2"/>
    </row>
  </sheetData>
  <sortState ref="A59:F65">
    <sortCondition descending="1" ref="F60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9"/>
  <sheetViews>
    <sheetView topLeftCell="A42" workbookViewId="0">
      <selection activeCell="N75" sqref="N75:T81"/>
    </sheetView>
  </sheetViews>
  <sheetFormatPr baseColWidth="10" defaultColWidth="11.1640625" defaultRowHeight="15" x14ac:dyDescent="0"/>
  <sheetData>
    <row r="1" spans="1:12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</row>
    <row r="2" spans="1:12">
      <c r="A2" t="s">
        <v>72</v>
      </c>
      <c r="B2">
        <v>80356</v>
      </c>
      <c r="C2">
        <v>98006</v>
      </c>
      <c r="D2">
        <v>96411</v>
      </c>
      <c r="E2">
        <v>71081</v>
      </c>
      <c r="F2">
        <v>55814</v>
      </c>
      <c r="G2">
        <v>47764</v>
      </c>
      <c r="H2">
        <v>40605</v>
      </c>
      <c r="I2">
        <v>34462</v>
      </c>
      <c r="J2">
        <v>27343</v>
      </c>
      <c r="K2">
        <v>23232</v>
      </c>
      <c r="L2">
        <v>21535</v>
      </c>
    </row>
    <row r="3" spans="1:12">
      <c r="A3" t="s">
        <v>73</v>
      </c>
      <c r="B3">
        <v>35901</v>
      </c>
      <c r="C3">
        <v>42844</v>
      </c>
      <c r="D3">
        <v>45382</v>
      </c>
      <c r="E3">
        <v>40090</v>
      </c>
      <c r="F3">
        <v>30374</v>
      </c>
      <c r="G3">
        <v>24442</v>
      </c>
      <c r="H3">
        <v>21060</v>
      </c>
      <c r="I3">
        <v>17883</v>
      </c>
      <c r="J3">
        <v>14496</v>
      </c>
      <c r="K3">
        <v>12787</v>
      </c>
      <c r="L3">
        <v>12606</v>
      </c>
    </row>
    <row r="4" spans="1:12">
      <c r="A4" t="s">
        <v>74</v>
      </c>
      <c r="B4">
        <v>102923</v>
      </c>
      <c r="C4">
        <v>120530</v>
      </c>
      <c r="D4">
        <v>125634</v>
      </c>
      <c r="E4">
        <v>114486</v>
      </c>
      <c r="F4">
        <v>88553</v>
      </c>
      <c r="G4">
        <v>76721</v>
      </c>
      <c r="H4">
        <v>61779</v>
      </c>
      <c r="I4">
        <v>54919</v>
      </c>
      <c r="J4">
        <v>44079</v>
      </c>
      <c r="K4">
        <v>41190</v>
      </c>
      <c r="L4">
        <v>39115</v>
      </c>
    </row>
    <row r="5" spans="1:12">
      <c r="A5" t="s">
        <v>75</v>
      </c>
      <c r="B5">
        <v>134727</v>
      </c>
      <c r="C5">
        <v>163685</v>
      </c>
      <c r="D5">
        <v>166921</v>
      </c>
      <c r="E5">
        <v>142638</v>
      </c>
      <c r="F5">
        <v>108256</v>
      </c>
      <c r="G5">
        <v>91465</v>
      </c>
      <c r="H5">
        <v>74544</v>
      </c>
      <c r="I5">
        <v>63798</v>
      </c>
      <c r="J5">
        <v>51257</v>
      </c>
      <c r="K5">
        <v>47032</v>
      </c>
      <c r="L5">
        <v>43057</v>
      </c>
    </row>
    <row r="6" spans="1:12">
      <c r="A6" t="s">
        <v>76</v>
      </c>
      <c r="B6">
        <v>147381</v>
      </c>
      <c r="C6">
        <v>182204</v>
      </c>
      <c r="D6">
        <v>184084</v>
      </c>
      <c r="E6">
        <v>160520</v>
      </c>
      <c r="F6">
        <v>120110</v>
      </c>
      <c r="G6">
        <v>104529</v>
      </c>
      <c r="H6">
        <v>88864</v>
      </c>
      <c r="I6">
        <v>75940</v>
      </c>
      <c r="J6">
        <v>62325</v>
      </c>
      <c r="K6">
        <v>55774</v>
      </c>
      <c r="L6">
        <v>50341</v>
      </c>
    </row>
    <row r="7" spans="1:12">
      <c r="A7" t="s">
        <v>77</v>
      </c>
      <c r="B7">
        <v>115684</v>
      </c>
      <c r="C7">
        <v>147682</v>
      </c>
      <c r="D7">
        <v>154705</v>
      </c>
      <c r="E7">
        <v>138691</v>
      </c>
      <c r="F7">
        <v>114784</v>
      </c>
      <c r="G7">
        <v>105333</v>
      </c>
      <c r="H7">
        <v>91929</v>
      </c>
      <c r="I7">
        <v>80207</v>
      </c>
      <c r="J7">
        <v>65704</v>
      </c>
      <c r="K7">
        <v>58336</v>
      </c>
      <c r="L7">
        <v>52867</v>
      </c>
    </row>
    <row r="8" spans="1:12">
      <c r="A8" t="s">
        <v>1</v>
      </c>
      <c r="B8">
        <f>SUM(B2:B7)</f>
        <v>616972</v>
      </c>
      <c r="C8">
        <f t="shared" ref="C8:L8" si="0">SUM(C2:C7)</f>
        <v>754951</v>
      </c>
      <c r="D8">
        <f t="shared" si="0"/>
        <v>773137</v>
      </c>
      <c r="E8">
        <f t="shared" si="0"/>
        <v>667506</v>
      </c>
      <c r="F8">
        <f t="shared" si="0"/>
        <v>517891</v>
      </c>
      <c r="G8">
        <f t="shared" si="0"/>
        <v>450254</v>
      </c>
      <c r="H8">
        <f t="shared" si="0"/>
        <v>378781</v>
      </c>
      <c r="I8">
        <f t="shared" si="0"/>
        <v>327209</v>
      </c>
      <c r="J8">
        <f t="shared" si="0"/>
        <v>265204</v>
      </c>
      <c r="K8">
        <f t="shared" si="0"/>
        <v>238351</v>
      </c>
      <c r="L8">
        <f t="shared" si="0"/>
        <v>219521</v>
      </c>
    </row>
    <row r="9" spans="1:12">
      <c r="A9" t="s">
        <v>65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</row>
    <row r="10" spans="1:12">
      <c r="A10" t="s">
        <v>72</v>
      </c>
      <c r="B10">
        <v>13310</v>
      </c>
      <c r="C10">
        <v>16009</v>
      </c>
      <c r="D10">
        <v>15740</v>
      </c>
      <c r="E10">
        <v>13663</v>
      </c>
      <c r="F10">
        <v>13834</v>
      </c>
      <c r="G10">
        <v>13380</v>
      </c>
      <c r="H10">
        <v>12022</v>
      </c>
      <c r="I10">
        <v>10913</v>
      </c>
      <c r="J10">
        <v>9450</v>
      </c>
      <c r="K10">
        <v>8495</v>
      </c>
      <c r="L10">
        <v>8134</v>
      </c>
    </row>
    <row r="11" spans="1:12">
      <c r="A11" t="s">
        <v>73</v>
      </c>
      <c r="B11">
        <v>8237</v>
      </c>
      <c r="C11">
        <v>8679</v>
      </c>
      <c r="D11">
        <v>9615</v>
      </c>
      <c r="E11">
        <v>9690</v>
      </c>
      <c r="F11">
        <v>10428</v>
      </c>
      <c r="G11">
        <v>9376</v>
      </c>
      <c r="H11">
        <v>8650</v>
      </c>
      <c r="I11">
        <v>7562</v>
      </c>
      <c r="J11">
        <v>6586</v>
      </c>
      <c r="K11">
        <v>6109</v>
      </c>
      <c r="L11">
        <v>6142</v>
      </c>
    </row>
    <row r="12" spans="1:12">
      <c r="A12" t="s">
        <v>74</v>
      </c>
      <c r="B12">
        <v>14210</v>
      </c>
      <c r="C12">
        <v>15006</v>
      </c>
      <c r="D12">
        <v>16364</v>
      </c>
      <c r="E12">
        <v>15950</v>
      </c>
      <c r="F12">
        <v>16603</v>
      </c>
      <c r="G12">
        <v>15056</v>
      </c>
      <c r="H12">
        <v>13605</v>
      </c>
      <c r="I12">
        <v>12694</v>
      </c>
      <c r="J12">
        <v>11186</v>
      </c>
      <c r="K12">
        <v>10685</v>
      </c>
      <c r="L12">
        <v>10811</v>
      </c>
    </row>
    <row r="13" spans="1:12">
      <c r="A13" t="s">
        <v>75</v>
      </c>
      <c r="B13">
        <v>16846</v>
      </c>
      <c r="C13">
        <v>18350</v>
      </c>
      <c r="D13">
        <v>18836</v>
      </c>
      <c r="E13">
        <v>16898</v>
      </c>
      <c r="F13">
        <v>17972</v>
      </c>
      <c r="G13">
        <v>16091</v>
      </c>
      <c r="H13">
        <v>14491</v>
      </c>
      <c r="I13">
        <v>13144</v>
      </c>
      <c r="J13">
        <v>11772</v>
      </c>
      <c r="K13">
        <v>11157</v>
      </c>
      <c r="L13">
        <v>10638</v>
      </c>
    </row>
    <row r="14" spans="1:12">
      <c r="A14" t="s">
        <v>76</v>
      </c>
      <c r="B14">
        <v>20011</v>
      </c>
      <c r="C14">
        <v>22607</v>
      </c>
      <c r="D14">
        <v>22632</v>
      </c>
      <c r="E14">
        <v>22044</v>
      </c>
      <c r="F14">
        <v>21736</v>
      </c>
      <c r="G14">
        <v>19978</v>
      </c>
      <c r="H14">
        <v>18241</v>
      </c>
      <c r="I14">
        <v>16773</v>
      </c>
      <c r="J14">
        <v>15520</v>
      </c>
      <c r="K14">
        <v>14238</v>
      </c>
      <c r="L14">
        <v>13514</v>
      </c>
    </row>
    <row r="15" spans="1:12">
      <c r="A15" t="s">
        <v>77</v>
      </c>
      <c r="B15">
        <v>21238</v>
      </c>
      <c r="C15">
        <v>25277</v>
      </c>
      <c r="D15">
        <v>26194</v>
      </c>
      <c r="E15">
        <v>26130</v>
      </c>
      <c r="F15">
        <v>26502</v>
      </c>
      <c r="G15">
        <v>24857</v>
      </c>
      <c r="H15">
        <v>22446</v>
      </c>
      <c r="I15">
        <v>20563</v>
      </c>
      <c r="J15">
        <v>18970</v>
      </c>
      <c r="K15">
        <v>17075</v>
      </c>
      <c r="L15">
        <v>15986</v>
      </c>
    </row>
    <row r="17" spans="1:12" ht="16">
      <c r="A17" s="2" t="s">
        <v>113</v>
      </c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</row>
    <row r="18" spans="1:12">
      <c r="A18" t="s">
        <v>72</v>
      </c>
      <c r="B18">
        <f>20313+5412+14784+11567</f>
        <v>52076</v>
      </c>
      <c r="C18">
        <f>29204+6486+18810+15722</f>
        <v>70222</v>
      </c>
      <c r="D18">
        <f>23101+8206+20516+16806</f>
        <v>68629</v>
      </c>
      <c r="E18">
        <f>11418+7107+18492+14643</f>
        <v>51660</v>
      </c>
      <c r="F18">
        <f>10915+7850+17884+14703</f>
        <v>51352</v>
      </c>
      <c r="G18">
        <f>10493+7285+18160+14205</f>
        <v>50143</v>
      </c>
      <c r="H18">
        <f>9054+7243+16814+13236</f>
        <v>46347</v>
      </c>
      <c r="I18">
        <f>7847+6081+14869+11344</f>
        <v>40141</v>
      </c>
      <c r="J18">
        <f>6524+4827+11342+8853</f>
        <v>31546</v>
      </c>
      <c r="K18">
        <f>5414+4056+9876+7655</f>
        <v>27001</v>
      </c>
      <c r="L18">
        <f>5154+4100+9073+6814</f>
        <v>25141</v>
      </c>
    </row>
    <row r="19" spans="1:12">
      <c r="A19" t="s">
        <v>73</v>
      </c>
      <c r="B19">
        <f>4516+4478+5779+7316</f>
        <v>22089</v>
      </c>
      <c r="C19">
        <f>5377+5417+6822+9151</f>
        <v>26767</v>
      </c>
      <c r="D19">
        <f>6576+5958+7363+9724</f>
        <v>29621</v>
      </c>
      <c r="E19">
        <f>5829+6055+7124+9464</f>
        <v>28472</v>
      </c>
      <c r="F19">
        <f>6138+5485+6180+8297</f>
        <v>26100</v>
      </c>
      <c r="G19">
        <f>5845+5009+5500+7381</f>
        <v>23735</v>
      </c>
      <c r="H19">
        <f>5734+4613+5217+7028</f>
        <v>22592</v>
      </c>
      <c r="I19">
        <f>4624+3984+4208+6297</f>
        <v>19113</v>
      </c>
      <c r="J19">
        <f>3943+3170+3530+5004</f>
        <v>15647</v>
      </c>
      <c r="K19">
        <f>3253+2856+3182+4609</f>
        <v>13900</v>
      </c>
      <c r="L19">
        <f>3295+2788+3084+4660</f>
        <v>13827</v>
      </c>
    </row>
    <row r="20" spans="1:12">
      <c r="A20" t="s">
        <v>74</v>
      </c>
      <c r="B20">
        <f>11123+17439+18520+21335</f>
        <v>68417</v>
      </c>
      <c r="C20">
        <f>13789+22053+22912+26529</f>
        <v>85283</v>
      </c>
      <c r="D20">
        <f>14951+23101+24001+27710</f>
        <v>89763</v>
      </c>
      <c r="E20">
        <f>14257+22073+22118+24896</f>
        <v>83344</v>
      </c>
      <c r="F20">
        <f>13494+22070+21849+23564</f>
        <v>80977</v>
      </c>
      <c r="G20">
        <f>13317+22279+21265+23121</f>
        <v>79982</v>
      </c>
      <c r="H20">
        <f>12029+19272+18453+20350</f>
        <v>70104</v>
      </c>
      <c r="I20">
        <f>11385+17618+17275+18070</f>
        <v>64348</v>
      </c>
      <c r="J20">
        <f>8761+14274+13590+13967</f>
        <v>50592</v>
      </c>
      <c r="K20">
        <f>8222+13315+12197+12775</f>
        <v>46509</v>
      </c>
      <c r="L20">
        <f>8160+13108+11876+11763</f>
        <v>44907</v>
      </c>
    </row>
    <row r="21" spans="1:12">
      <c r="A21" t="s">
        <v>75</v>
      </c>
      <c r="B21">
        <f>25058+23138+18357+21415</f>
        <v>87968</v>
      </c>
      <c r="C21">
        <f>31512+29794+24316+27356</f>
        <v>112978</v>
      </c>
      <c r="D21">
        <f>31982+30352+25012+28891</f>
        <v>116237</v>
      </c>
      <c r="E21">
        <f>26772+26951+21120+24199</f>
        <v>99042</v>
      </c>
      <c r="F21">
        <f>26448+25611+22530+24840</f>
        <v>99429</v>
      </c>
      <c r="G21">
        <f>24593+24958+21922+24578</f>
        <v>96051</v>
      </c>
      <c r="H21">
        <f>21728+22678+19832+22074</f>
        <v>86312</v>
      </c>
      <c r="I21">
        <f>18728+19882+17203+19842</f>
        <v>75655</v>
      </c>
      <c r="J21">
        <f>14822+15316+14016+15889</f>
        <v>60043</v>
      </c>
      <c r="K21">
        <f>13601+14649+12863+14504</f>
        <v>55617</v>
      </c>
      <c r="L21">
        <f>12629+13436+11883+13237</f>
        <v>51185</v>
      </c>
    </row>
    <row r="22" spans="1:12">
      <c r="A22" t="s">
        <v>76</v>
      </c>
      <c r="B22">
        <f>25436+26170+25790+24327</f>
        <v>101723</v>
      </c>
      <c r="C22">
        <f>33518+34222+33375+32276</f>
        <v>133391</v>
      </c>
      <c r="D22">
        <f>34568+34511+34230+32151</f>
        <v>135460</v>
      </c>
      <c r="E22">
        <f>29277+31445+29103+29969</f>
        <v>119794</v>
      </c>
      <c r="F22">
        <f>28359+28352+28234+28103</f>
        <v>113048</v>
      </c>
      <c r="G22">
        <f>27255+27321+26775+28422</f>
        <v>109773</v>
      </c>
      <c r="H22">
        <f>25006+25308+25351+26343</f>
        <v>102008</v>
      </c>
      <c r="I22">
        <f>22567+21708+21996+23012</f>
        <v>89283</v>
      </c>
      <c r="J22">
        <f>18131+17930+18244+18787</f>
        <v>73092</v>
      </c>
      <c r="K22">
        <f>16500+16050+16265+17308</f>
        <v>66123</v>
      </c>
      <c r="L22">
        <f>14789+14364+14553+15809</f>
        <v>59515</v>
      </c>
    </row>
    <row r="23" spans="1:12">
      <c r="A23" t="s">
        <v>77</v>
      </c>
      <c r="B23">
        <f>21839+22060+22742+19805</f>
        <v>86446</v>
      </c>
      <c r="C23">
        <f>30008+30046+31259+26532</f>
        <v>117845</v>
      </c>
      <c r="D23">
        <f>30689+31701+32208+27766</f>
        <v>122364</v>
      </c>
      <c r="E23">
        <f>29903+28771+28359+24830</f>
        <v>111863</v>
      </c>
      <c r="F23">
        <f>28457+28974+28489+24037</f>
        <v>109957</v>
      </c>
      <c r="G23">
        <f>28886+29373+28105+23863</f>
        <v>110227</v>
      </c>
      <c r="H23">
        <f>26774+27636+26774+22592</f>
        <v>103776</v>
      </c>
      <c r="I23">
        <f>23836+24487+23743+19836</f>
        <v>91902</v>
      </c>
      <c r="J23">
        <f>19465+19922+18840+15772</f>
        <v>73999</v>
      </c>
      <c r="K23">
        <f>18228+17921+16270+13556</f>
        <v>65975</v>
      </c>
      <c r="L23">
        <f>16371+16270+14803+12056</f>
        <v>59500</v>
      </c>
    </row>
    <row r="24" spans="1:12" ht="16">
      <c r="A24" s="2" t="s">
        <v>126</v>
      </c>
      <c r="B24">
        <f>SUM(B18:B23)</f>
        <v>418719</v>
      </c>
      <c r="C24">
        <f t="shared" ref="C24:D24" si="1">SUM(C18:C23)</f>
        <v>546486</v>
      </c>
      <c r="D24">
        <f t="shared" si="1"/>
        <v>562074</v>
      </c>
      <c r="E24">
        <f t="shared" ref="E24" si="2">SUM(E18:E23)</f>
        <v>494175</v>
      </c>
      <c r="F24">
        <f t="shared" ref="F24" si="3">SUM(F18:F23)</f>
        <v>480863</v>
      </c>
      <c r="G24">
        <f t="shared" ref="G24" si="4">SUM(G18:G23)</f>
        <v>469911</v>
      </c>
      <c r="H24">
        <f t="shared" ref="H24" si="5">SUM(H18:H23)</f>
        <v>431139</v>
      </c>
      <c r="I24">
        <f t="shared" ref="I24" si="6">SUM(I18:I23)</f>
        <v>380442</v>
      </c>
      <c r="J24">
        <f t="shared" ref="J24" si="7">SUM(J18:J23)</f>
        <v>304919</v>
      </c>
      <c r="K24">
        <f t="shared" ref="K24" si="8">SUM(K18:K23)</f>
        <v>275125</v>
      </c>
      <c r="L24">
        <f t="shared" ref="L24" si="9">SUM(L18:L23)</f>
        <v>254075</v>
      </c>
    </row>
    <row r="26" spans="1:12">
      <c r="A26" s="13" t="s">
        <v>3</v>
      </c>
      <c r="B26">
        <v>2000</v>
      </c>
      <c r="C26">
        <v>2001</v>
      </c>
      <c r="D26">
        <v>2002</v>
      </c>
      <c r="E26">
        <v>2003</v>
      </c>
      <c r="F26">
        <v>2004</v>
      </c>
      <c r="G26">
        <v>2005</v>
      </c>
      <c r="H26">
        <v>2006</v>
      </c>
      <c r="I26">
        <v>2007</v>
      </c>
      <c r="J26">
        <v>2008</v>
      </c>
      <c r="K26">
        <v>2009</v>
      </c>
      <c r="L26">
        <v>2010</v>
      </c>
    </row>
    <row r="27" spans="1:12">
      <c r="A27" t="s">
        <v>72</v>
      </c>
      <c r="B27">
        <f>(B10+B18)/B2</f>
        <v>0.81370401712379914</v>
      </c>
      <c r="C27">
        <f t="shared" ref="C27:L27" si="10">(C10+C18)/C2</f>
        <v>0.87985429463502229</v>
      </c>
      <c r="D27">
        <f t="shared" si="10"/>
        <v>0.87509723994150046</v>
      </c>
      <c r="E27">
        <f t="shared" si="10"/>
        <v>0.91899382394732765</v>
      </c>
      <c r="F27">
        <f t="shared" si="10"/>
        <v>1.1679148600709499</v>
      </c>
      <c r="G27">
        <f t="shared" si="10"/>
        <v>1.3299346788376183</v>
      </c>
      <c r="H27">
        <f t="shared" si="10"/>
        <v>1.4374830685876123</v>
      </c>
      <c r="I27">
        <f t="shared" si="10"/>
        <v>1.4814578376182461</v>
      </c>
      <c r="J27">
        <f t="shared" si="10"/>
        <v>1.4993234100135318</v>
      </c>
      <c r="K27">
        <f t="shared" si="10"/>
        <v>1.5278925619834711</v>
      </c>
      <c r="L27">
        <f t="shared" si="10"/>
        <v>1.5451590434176921</v>
      </c>
    </row>
    <row r="28" spans="1:12">
      <c r="A28" t="s">
        <v>73</v>
      </c>
      <c r="B28">
        <f t="shared" ref="B28:L32" si="11">(B11+B19)/B3</f>
        <v>0.84471184646667219</v>
      </c>
      <c r="C28">
        <f t="shared" si="11"/>
        <v>0.82732704696106807</v>
      </c>
      <c r="D28">
        <f t="shared" si="11"/>
        <v>0.86457185668326653</v>
      </c>
      <c r="E28">
        <f t="shared" si="11"/>
        <v>0.95190820653529562</v>
      </c>
      <c r="F28">
        <f t="shared" si="11"/>
        <v>1.2026074932508066</v>
      </c>
      <c r="G28">
        <f t="shared" si="11"/>
        <v>1.3546763767285819</v>
      </c>
      <c r="H28">
        <f t="shared" si="11"/>
        <v>1.4834757834757835</v>
      </c>
      <c r="I28">
        <f t="shared" si="11"/>
        <v>1.491640105127775</v>
      </c>
      <c r="J28">
        <f t="shared" si="11"/>
        <v>1.5337334437086092</v>
      </c>
      <c r="K28">
        <f t="shared" si="11"/>
        <v>1.5647923672479862</v>
      </c>
      <c r="L28">
        <f t="shared" si="11"/>
        <v>1.5840869427256863</v>
      </c>
    </row>
    <row r="29" spans="1:12">
      <c r="A29" t="s">
        <v>74</v>
      </c>
      <c r="B29">
        <f t="shared" si="11"/>
        <v>0.802804037970133</v>
      </c>
      <c r="C29">
        <f t="shared" si="11"/>
        <v>0.83206670538455152</v>
      </c>
      <c r="D29">
        <f t="shared" si="11"/>
        <v>0.84473152172182686</v>
      </c>
      <c r="E29">
        <f t="shared" si="11"/>
        <v>0.86730255227713438</v>
      </c>
      <c r="F29">
        <f t="shared" si="11"/>
        <v>1.1019389518141678</v>
      </c>
      <c r="G29">
        <f t="shared" si="11"/>
        <v>1.2387481914990681</v>
      </c>
      <c r="H29">
        <f t="shared" si="11"/>
        <v>1.3549749915019667</v>
      </c>
      <c r="I29">
        <f t="shared" si="11"/>
        <v>1.4028296218066607</v>
      </c>
      <c r="J29">
        <f t="shared" si="11"/>
        <v>1.4015290728011072</v>
      </c>
      <c r="K29">
        <f t="shared" si="11"/>
        <v>1.3885409079873756</v>
      </c>
      <c r="L29">
        <f t="shared" si="11"/>
        <v>1.4244663172695897</v>
      </c>
    </row>
    <row r="30" spans="1:12">
      <c r="A30" t="s">
        <v>75</v>
      </c>
      <c r="B30">
        <f t="shared" si="11"/>
        <v>0.77797323476363311</v>
      </c>
      <c r="C30">
        <f t="shared" si="11"/>
        <v>0.80232153221125946</v>
      </c>
      <c r="D30">
        <f t="shared" si="11"/>
        <v>0.80920315598396841</v>
      </c>
      <c r="E30">
        <f t="shared" si="11"/>
        <v>0.8128268764284412</v>
      </c>
      <c r="F30">
        <f t="shared" si="11"/>
        <v>1.0844756872598285</v>
      </c>
      <c r="G30">
        <f t="shared" si="11"/>
        <v>1.2260646148800087</v>
      </c>
      <c r="H30">
        <f t="shared" si="11"/>
        <v>1.3522617514488087</v>
      </c>
      <c r="I30">
        <f t="shared" si="11"/>
        <v>1.391877488322518</v>
      </c>
      <c r="J30">
        <f t="shared" si="11"/>
        <v>1.4010769260783893</v>
      </c>
      <c r="K30">
        <f t="shared" si="11"/>
        <v>1.4197567613539717</v>
      </c>
      <c r="L30">
        <f t="shared" si="11"/>
        <v>1.435840862113013</v>
      </c>
    </row>
    <row r="31" spans="1:12">
      <c r="A31" t="s">
        <v>76</v>
      </c>
      <c r="B31">
        <f t="shared" si="11"/>
        <v>0.8259816394243491</v>
      </c>
      <c r="C31">
        <f t="shared" si="11"/>
        <v>0.85617220258611226</v>
      </c>
      <c r="D31">
        <f t="shared" si="11"/>
        <v>0.85880358966558745</v>
      </c>
      <c r="E31">
        <f t="shared" si="11"/>
        <v>0.88361574881634686</v>
      </c>
      <c r="F31">
        <f t="shared" si="11"/>
        <v>1.1221713429356424</v>
      </c>
      <c r="G31">
        <f t="shared" si="11"/>
        <v>1.2412918902888195</v>
      </c>
      <c r="H31">
        <f t="shared" si="11"/>
        <v>1.3531801404393231</v>
      </c>
      <c r="I31">
        <f t="shared" si="11"/>
        <v>1.3965762444034764</v>
      </c>
      <c r="J31">
        <f t="shared" si="11"/>
        <v>1.4217729643000401</v>
      </c>
      <c r="K31">
        <f t="shared" si="11"/>
        <v>1.4408326460357872</v>
      </c>
      <c r="L31">
        <f t="shared" si="11"/>
        <v>1.450686319302358</v>
      </c>
    </row>
    <row r="32" spans="1:12">
      <c r="A32" t="s">
        <v>77</v>
      </c>
      <c r="B32">
        <f t="shared" si="11"/>
        <v>0.9308460979910792</v>
      </c>
      <c r="C32">
        <f t="shared" si="11"/>
        <v>0.96912284503189283</v>
      </c>
      <c r="D32">
        <f t="shared" si="11"/>
        <v>0.96026631330596945</v>
      </c>
      <c r="E32">
        <f t="shared" si="11"/>
        <v>0.99496722930831849</v>
      </c>
      <c r="F32">
        <f t="shared" si="11"/>
        <v>1.1888329383886256</v>
      </c>
      <c r="G32">
        <f t="shared" si="11"/>
        <v>1.2824470963515708</v>
      </c>
      <c r="H32">
        <f t="shared" si="11"/>
        <v>1.3730378879352543</v>
      </c>
      <c r="I32">
        <f t="shared" si="11"/>
        <v>1.4021843479995511</v>
      </c>
      <c r="J32">
        <f t="shared" si="11"/>
        <v>1.4149671252891758</v>
      </c>
      <c r="K32">
        <f t="shared" si="11"/>
        <v>1.4236492046077893</v>
      </c>
      <c r="L32">
        <f t="shared" si="11"/>
        <v>1.4278472392986172</v>
      </c>
    </row>
    <row r="33" spans="1:12" ht="16">
      <c r="A33" s="2" t="s">
        <v>173</v>
      </c>
      <c r="B33">
        <v>0.83079107445892919</v>
      </c>
      <c r="C33">
        <v>0.8642185453008866</v>
      </c>
      <c r="D33">
        <v>0.86848126528674741</v>
      </c>
      <c r="E33">
        <v>0.89668872386357001</v>
      </c>
      <c r="F33">
        <v>1.1352645064869114</v>
      </c>
      <c r="G33">
        <v>1.2629515784423904</v>
      </c>
      <c r="H33">
        <v>1.3743931189790406</v>
      </c>
      <c r="I33">
        <v>1.4122197127829614</v>
      </c>
      <c r="J33">
        <v>1.4268374534320749</v>
      </c>
      <c r="K33">
        <v>1.4385674908013812</v>
      </c>
      <c r="L33">
        <v>1.4545305460525417</v>
      </c>
    </row>
    <row r="34" spans="1:12">
      <c r="A34" s="13" t="s">
        <v>4</v>
      </c>
      <c r="B34">
        <v>2000</v>
      </c>
      <c r="C34">
        <v>2001</v>
      </c>
      <c r="D34">
        <v>2002</v>
      </c>
      <c r="E34">
        <v>2003</v>
      </c>
      <c r="F34">
        <v>2004</v>
      </c>
      <c r="G34">
        <v>2005</v>
      </c>
      <c r="H34">
        <v>2006</v>
      </c>
      <c r="I34">
        <v>2007</v>
      </c>
      <c r="J34">
        <v>2008</v>
      </c>
      <c r="K34">
        <v>2009</v>
      </c>
      <c r="L34">
        <v>2010</v>
      </c>
    </row>
    <row r="35" spans="1:12">
      <c r="A35" t="s">
        <v>72</v>
      </c>
      <c r="B35">
        <f>B10/(B10+B18)</f>
        <v>0.20356039519163124</v>
      </c>
      <c r="C35">
        <f t="shared" ref="C35:L35" si="12">C10/(C10+C18)</f>
        <v>0.18565249156335889</v>
      </c>
      <c r="D35">
        <f t="shared" si="12"/>
        <v>0.1865614147376406</v>
      </c>
      <c r="E35">
        <f t="shared" si="12"/>
        <v>0.20916063254902562</v>
      </c>
      <c r="F35">
        <f t="shared" si="12"/>
        <v>0.21222348357009174</v>
      </c>
      <c r="G35">
        <f t="shared" si="12"/>
        <v>0.21063236937802057</v>
      </c>
      <c r="H35">
        <f t="shared" si="12"/>
        <v>0.20596549538282308</v>
      </c>
      <c r="I35">
        <f t="shared" si="12"/>
        <v>0.21375406432404906</v>
      </c>
      <c r="J35">
        <f t="shared" si="12"/>
        <v>0.23051029368718901</v>
      </c>
      <c r="K35">
        <f t="shared" si="12"/>
        <v>0.23932274059048908</v>
      </c>
      <c r="L35">
        <f t="shared" si="12"/>
        <v>0.24444778362133734</v>
      </c>
    </row>
    <row r="36" spans="1:12">
      <c r="A36" t="s">
        <v>73</v>
      </c>
      <c r="B36">
        <f t="shared" ref="B36:L40" si="13">B11/(B11+B19)</f>
        <v>0.27161511574226738</v>
      </c>
      <c r="C36">
        <f t="shared" si="13"/>
        <v>0.24485132313942334</v>
      </c>
      <c r="D36">
        <f t="shared" si="13"/>
        <v>0.2450555612192884</v>
      </c>
      <c r="E36">
        <f t="shared" si="13"/>
        <v>0.25391750956448822</v>
      </c>
      <c r="F36">
        <f t="shared" si="13"/>
        <v>0.28547963206307492</v>
      </c>
      <c r="G36">
        <f t="shared" si="13"/>
        <v>0.28316873546555527</v>
      </c>
      <c r="H36">
        <f t="shared" si="13"/>
        <v>0.27687087894500995</v>
      </c>
      <c r="I36">
        <f t="shared" si="13"/>
        <v>0.2834864104967198</v>
      </c>
      <c r="J36">
        <f t="shared" si="13"/>
        <v>0.29622633022983852</v>
      </c>
      <c r="K36">
        <f t="shared" si="13"/>
        <v>0.3053126093258034</v>
      </c>
      <c r="L36">
        <f t="shared" si="13"/>
        <v>0.30757674395312734</v>
      </c>
    </row>
    <row r="37" spans="1:12">
      <c r="A37" t="s">
        <v>74</v>
      </c>
      <c r="B37">
        <f t="shared" si="13"/>
        <v>0.17197768283974971</v>
      </c>
      <c r="C37">
        <f t="shared" si="13"/>
        <v>0.14962757630448006</v>
      </c>
      <c r="D37">
        <f t="shared" si="13"/>
        <v>0.15419261827810077</v>
      </c>
      <c r="E37">
        <f t="shared" si="13"/>
        <v>0.16063407658065945</v>
      </c>
      <c r="F37">
        <f t="shared" si="13"/>
        <v>0.1701475712236114</v>
      </c>
      <c r="G37">
        <f t="shared" si="13"/>
        <v>0.15842084218944003</v>
      </c>
      <c r="H37">
        <f t="shared" si="13"/>
        <v>0.1625273268107372</v>
      </c>
      <c r="I37">
        <f t="shared" si="13"/>
        <v>0.16476726980088782</v>
      </c>
      <c r="J37">
        <f t="shared" si="13"/>
        <v>0.1810676940011007</v>
      </c>
      <c r="K37">
        <f t="shared" si="13"/>
        <v>0.18682029583522747</v>
      </c>
      <c r="L37">
        <f t="shared" si="13"/>
        <v>0.19403065436663197</v>
      </c>
    </row>
    <row r="38" spans="1:12">
      <c r="A38" t="s">
        <v>75</v>
      </c>
      <c r="B38">
        <f t="shared" si="13"/>
        <v>0.16072280420554505</v>
      </c>
      <c r="C38">
        <f t="shared" si="13"/>
        <v>0.13972648635477583</v>
      </c>
      <c r="D38">
        <f t="shared" si="13"/>
        <v>0.13945051934879657</v>
      </c>
      <c r="E38">
        <f t="shared" si="13"/>
        <v>0.14574780058651027</v>
      </c>
      <c r="F38">
        <f t="shared" si="13"/>
        <v>0.15308217136140237</v>
      </c>
      <c r="G38">
        <f t="shared" si="13"/>
        <v>0.14348772092525547</v>
      </c>
      <c r="H38">
        <f t="shared" si="13"/>
        <v>0.1437556421931887</v>
      </c>
      <c r="I38">
        <f t="shared" si="13"/>
        <v>0.14801968490636155</v>
      </c>
      <c r="J38">
        <f t="shared" si="13"/>
        <v>0.16392118638167513</v>
      </c>
      <c r="K38">
        <f t="shared" si="13"/>
        <v>0.16708599155359871</v>
      </c>
      <c r="L38">
        <f t="shared" si="13"/>
        <v>0.17207188263267717</v>
      </c>
    </row>
    <row r="39" spans="1:12">
      <c r="A39" t="s">
        <v>76</v>
      </c>
      <c r="B39">
        <f t="shared" si="13"/>
        <v>0.16438299899781492</v>
      </c>
      <c r="C39">
        <f t="shared" si="13"/>
        <v>0.14491852459646917</v>
      </c>
      <c r="D39">
        <f t="shared" si="13"/>
        <v>0.14315714900184703</v>
      </c>
      <c r="E39">
        <f t="shared" si="13"/>
        <v>0.15541674304488218</v>
      </c>
      <c r="F39">
        <f t="shared" si="13"/>
        <v>0.16126543209876543</v>
      </c>
      <c r="G39">
        <f t="shared" si="13"/>
        <v>0.15397183836733436</v>
      </c>
      <c r="H39">
        <f t="shared" si="13"/>
        <v>0.15169356917729046</v>
      </c>
      <c r="I39">
        <f t="shared" si="13"/>
        <v>0.15815229689975108</v>
      </c>
      <c r="J39">
        <f t="shared" si="13"/>
        <v>0.17514557847695572</v>
      </c>
      <c r="K39">
        <f t="shared" si="13"/>
        <v>0.17717549557621234</v>
      </c>
      <c r="L39">
        <f t="shared" si="13"/>
        <v>0.18504977474701831</v>
      </c>
    </row>
    <row r="40" spans="1:12">
      <c r="A40" t="s">
        <v>77</v>
      </c>
      <c r="B40">
        <f t="shared" si="13"/>
        <v>0.19722521451654842</v>
      </c>
      <c r="C40">
        <f t="shared" si="13"/>
        <v>0.1766115621637484</v>
      </c>
      <c r="D40">
        <f t="shared" si="13"/>
        <v>0.17632170600035002</v>
      </c>
      <c r="E40">
        <f t="shared" si="13"/>
        <v>0.18935743117404505</v>
      </c>
      <c r="F40">
        <f t="shared" si="13"/>
        <v>0.19421218094812362</v>
      </c>
      <c r="G40">
        <f t="shared" si="13"/>
        <v>0.18401142992508365</v>
      </c>
      <c r="H40">
        <f t="shared" si="13"/>
        <v>0.17782953843228597</v>
      </c>
      <c r="I40">
        <f t="shared" si="13"/>
        <v>0.18283910549948873</v>
      </c>
      <c r="J40">
        <f t="shared" si="13"/>
        <v>0.20404651012703159</v>
      </c>
      <c r="K40">
        <f t="shared" si="13"/>
        <v>0.20559903672486454</v>
      </c>
      <c r="L40">
        <f t="shared" si="13"/>
        <v>0.21177436875712052</v>
      </c>
    </row>
    <row r="41" spans="1:12" ht="16">
      <c r="A41" s="2" t="s">
        <v>173</v>
      </c>
      <c r="B41">
        <v>0.18310136682703376</v>
      </c>
      <c r="C41">
        <v>0.16236597870987024</v>
      </c>
      <c r="D41">
        <v>0.16290146026167054</v>
      </c>
      <c r="E41">
        <v>0.17437590427469235</v>
      </c>
      <c r="F41">
        <v>0.1821220156444269</v>
      </c>
      <c r="G41">
        <v>0.17363610944536964</v>
      </c>
      <c r="H41">
        <v>0.17183256049820014</v>
      </c>
      <c r="I41">
        <v>0.17669463374097311</v>
      </c>
      <c r="J41">
        <v>0.19419507773458455</v>
      </c>
      <c r="K41">
        <v>0.19761493682994832</v>
      </c>
      <c r="L41">
        <v>0.20427497651111806</v>
      </c>
    </row>
    <row r="43" spans="1:12">
      <c r="A43" t="s">
        <v>156</v>
      </c>
      <c r="B43" t="s">
        <v>136</v>
      </c>
    </row>
    <row r="44" spans="1:12">
      <c r="A44" t="s">
        <v>77</v>
      </c>
      <c r="B44">
        <v>15986</v>
      </c>
    </row>
    <row r="45" spans="1:12">
      <c r="A45" t="s">
        <v>76</v>
      </c>
      <c r="B45">
        <v>13514</v>
      </c>
    </row>
    <row r="46" spans="1:12">
      <c r="A46" t="s">
        <v>74</v>
      </c>
      <c r="B46">
        <v>10811</v>
      </c>
    </row>
    <row r="47" spans="1:12">
      <c r="A47" t="s">
        <v>75</v>
      </c>
      <c r="B47">
        <v>10638</v>
      </c>
    </row>
    <row r="48" spans="1:12">
      <c r="A48" t="s">
        <v>72</v>
      </c>
      <c r="B48">
        <v>8134</v>
      </c>
    </row>
    <row r="49" spans="1:12">
      <c r="A49" t="s">
        <v>73</v>
      </c>
      <c r="B49">
        <v>6142</v>
      </c>
    </row>
    <row r="52" spans="1:12">
      <c r="A52" t="s">
        <v>65</v>
      </c>
      <c r="B52">
        <v>2000</v>
      </c>
      <c r="C52">
        <v>2001</v>
      </c>
      <c r="D52">
        <v>2002</v>
      </c>
      <c r="E52">
        <v>2003</v>
      </c>
      <c r="F52">
        <v>2004</v>
      </c>
      <c r="G52">
        <v>2005</v>
      </c>
      <c r="H52">
        <v>2006</v>
      </c>
      <c r="I52">
        <v>2007</v>
      </c>
      <c r="J52">
        <v>2008</v>
      </c>
      <c r="K52">
        <v>2009</v>
      </c>
      <c r="L52">
        <v>2010</v>
      </c>
    </row>
    <row r="53" spans="1:12">
      <c r="A53" t="s">
        <v>77</v>
      </c>
      <c r="B53">
        <v>21238</v>
      </c>
      <c r="C53">
        <v>25277</v>
      </c>
      <c r="D53">
        <v>26194</v>
      </c>
      <c r="E53">
        <v>26130</v>
      </c>
      <c r="F53">
        <v>26502</v>
      </c>
      <c r="G53">
        <v>24857</v>
      </c>
      <c r="H53">
        <v>22446</v>
      </c>
      <c r="I53">
        <v>20563</v>
      </c>
      <c r="J53">
        <v>18970</v>
      </c>
      <c r="K53">
        <v>17075</v>
      </c>
      <c r="L53">
        <v>15986</v>
      </c>
    </row>
    <row r="54" spans="1:12">
      <c r="A54" t="s">
        <v>76</v>
      </c>
      <c r="B54">
        <v>20011</v>
      </c>
      <c r="C54">
        <v>22607</v>
      </c>
      <c r="D54">
        <v>22632</v>
      </c>
      <c r="E54">
        <v>22044</v>
      </c>
      <c r="F54">
        <v>21736</v>
      </c>
      <c r="G54">
        <v>19978</v>
      </c>
      <c r="H54">
        <v>18241</v>
      </c>
      <c r="I54">
        <v>16773</v>
      </c>
      <c r="J54">
        <v>15520</v>
      </c>
      <c r="K54">
        <v>14238</v>
      </c>
      <c r="L54">
        <v>13514</v>
      </c>
    </row>
    <row r="55" spans="1:12">
      <c r="A55" t="s">
        <v>74</v>
      </c>
      <c r="B55">
        <v>14210</v>
      </c>
      <c r="C55">
        <v>15006</v>
      </c>
      <c r="D55">
        <v>16364</v>
      </c>
      <c r="E55">
        <v>15950</v>
      </c>
      <c r="F55">
        <v>16603</v>
      </c>
      <c r="G55">
        <v>15056</v>
      </c>
      <c r="H55">
        <v>13605</v>
      </c>
      <c r="I55">
        <v>12694</v>
      </c>
      <c r="J55">
        <v>11186</v>
      </c>
      <c r="K55">
        <v>10685</v>
      </c>
      <c r="L55">
        <v>10811</v>
      </c>
    </row>
    <row r="56" spans="1:12">
      <c r="A56" t="s">
        <v>75</v>
      </c>
      <c r="B56">
        <v>16846</v>
      </c>
      <c r="C56">
        <v>18350</v>
      </c>
      <c r="D56">
        <v>18836</v>
      </c>
      <c r="E56">
        <v>16898</v>
      </c>
      <c r="F56">
        <v>17972</v>
      </c>
      <c r="G56">
        <v>16091</v>
      </c>
      <c r="H56">
        <v>14491</v>
      </c>
      <c r="I56">
        <v>13144</v>
      </c>
      <c r="J56">
        <v>11772</v>
      </c>
      <c r="K56">
        <v>11157</v>
      </c>
      <c r="L56">
        <v>10638</v>
      </c>
    </row>
    <row r="57" spans="1:12">
      <c r="A57" t="s">
        <v>72</v>
      </c>
      <c r="B57">
        <v>13310</v>
      </c>
      <c r="C57">
        <v>16009</v>
      </c>
      <c r="D57">
        <v>15740</v>
      </c>
      <c r="E57">
        <v>13663</v>
      </c>
      <c r="F57">
        <v>13834</v>
      </c>
      <c r="G57">
        <v>13380</v>
      </c>
      <c r="H57">
        <v>12022</v>
      </c>
      <c r="I57">
        <v>10913</v>
      </c>
      <c r="J57">
        <v>9450</v>
      </c>
      <c r="K57">
        <v>8495</v>
      </c>
      <c r="L57">
        <v>8134</v>
      </c>
    </row>
    <row r="58" spans="1:12">
      <c r="A58" t="s">
        <v>73</v>
      </c>
      <c r="B58">
        <v>8237</v>
      </c>
      <c r="C58">
        <v>8679</v>
      </c>
      <c r="D58">
        <v>9615</v>
      </c>
      <c r="E58">
        <v>9690</v>
      </c>
      <c r="F58">
        <v>10428</v>
      </c>
      <c r="G58">
        <v>9376</v>
      </c>
      <c r="H58">
        <v>8650</v>
      </c>
      <c r="I58">
        <v>7562</v>
      </c>
      <c r="J58">
        <v>6586</v>
      </c>
      <c r="K58">
        <v>6109</v>
      </c>
      <c r="L58">
        <v>6142</v>
      </c>
    </row>
    <row r="67" spans="1:20">
      <c r="A67" t="s">
        <v>3</v>
      </c>
      <c r="B67">
        <v>2000</v>
      </c>
      <c r="C67">
        <v>2001</v>
      </c>
      <c r="D67">
        <v>2002</v>
      </c>
      <c r="E67">
        <v>2003</v>
      </c>
      <c r="F67">
        <v>2004</v>
      </c>
      <c r="G67">
        <v>2005</v>
      </c>
      <c r="H67">
        <v>2006</v>
      </c>
      <c r="I67">
        <v>2007</v>
      </c>
      <c r="J67">
        <v>2008</v>
      </c>
      <c r="K67">
        <v>2009</v>
      </c>
      <c r="L67">
        <v>2010</v>
      </c>
      <c r="N67" s="35" t="s">
        <v>3</v>
      </c>
      <c r="O67" s="35" t="s">
        <v>72</v>
      </c>
      <c r="P67" s="35" t="s">
        <v>73</v>
      </c>
      <c r="Q67" s="35" t="s">
        <v>74</v>
      </c>
      <c r="R67" s="35" t="s">
        <v>75</v>
      </c>
      <c r="S67" s="35" t="s">
        <v>76</v>
      </c>
      <c r="T67" s="35" t="s">
        <v>77</v>
      </c>
    </row>
    <row r="68" spans="1:20">
      <c r="A68" t="s">
        <v>72</v>
      </c>
      <c r="B68">
        <v>0.81370401712379914</v>
      </c>
      <c r="C68">
        <v>0.87985429463502229</v>
      </c>
      <c r="D68">
        <v>0.87509723994150046</v>
      </c>
      <c r="E68">
        <v>0.91899382394732765</v>
      </c>
      <c r="F68">
        <v>1.1679148600709499</v>
      </c>
      <c r="G68">
        <v>1.3299346788376183</v>
      </c>
      <c r="H68">
        <v>1.4374830685876123</v>
      </c>
      <c r="I68">
        <v>1.4814578376182461</v>
      </c>
      <c r="J68">
        <v>1.4993234100135318</v>
      </c>
      <c r="K68">
        <v>1.5278925619834711</v>
      </c>
      <c r="L68">
        <v>1.5451590434176921</v>
      </c>
      <c r="N68" s="35" t="s">
        <v>72</v>
      </c>
      <c r="O68" s="35">
        <v>1</v>
      </c>
      <c r="P68" s="35"/>
      <c r="Q68" s="35"/>
      <c r="R68" s="35"/>
      <c r="S68" s="35"/>
      <c r="T68" s="35"/>
    </row>
    <row r="69" spans="1:20">
      <c r="A69" t="s">
        <v>73</v>
      </c>
      <c r="B69">
        <v>0.84471184646667219</v>
      </c>
      <c r="C69">
        <v>0.82732704696106807</v>
      </c>
      <c r="D69">
        <v>0.86457185668326653</v>
      </c>
      <c r="E69">
        <v>0.95190820653529562</v>
      </c>
      <c r="F69">
        <v>1.2026074932508066</v>
      </c>
      <c r="G69">
        <v>1.3546763767285819</v>
      </c>
      <c r="H69">
        <v>1.4834757834757835</v>
      </c>
      <c r="I69">
        <v>1.491640105127775</v>
      </c>
      <c r="J69">
        <v>1.5337334437086092</v>
      </c>
      <c r="K69">
        <v>1.5647923672479862</v>
      </c>
      <c r="L69">
        <v>1.5840869427256863</v>
      </c>
      <c r="N69" s="35" t="s">
        <v>73</v>
      </c>
      <c r="O69" s="35">
        <v>0.99314815337983908</v>
      </c>
      <c r="P69" s="35">
        <v>1</v>
      </c>
      <c r="Q69" s="35"/>
      <c r="R69" s="35"/>
      <c r="S69" s="35"/>
      <c r="T69" s="35"/>
    </row>
    <row r="70" spans="1:20">
      <c r="A70" t="s">
        <v>74</v>
      </c>
      <c r="B70">
        <v>0.802804037970133</v>
      </c>
      <c r="C70">
        <v>0.83206670538455152</v>
      </c>
      <c r="D70">
        <v>0.84473152172182686</v>
      </c>
      <c r="E70">
        <v>0.86730255227713438</v>
      </c>
      <c r="F70">
        <v>1.1019389518141678</v>
      </c>
      <c r="G70">
        <v>1.2387481914990681</v>
      </c>
      <c r="H70">
        <v>1.3549749915019667</v>
      </c>
      <c r="I70">
        <v>1.4028296218066607</v>
      </c>
      <c r="J70">
        <v>1.4015290728011072</v>
      </c>
      <c r="K70">
        <v>1.3885409079873756</v>
      </c>
      <c r="L70">
        <v>1.4244663172695897</v>
      </c>
      <c r="N70" s="35" t="s">
        <v>74</v>
      </c>
      <c r="O70" s="35">
        <v>0.95402441346630817</v>
      </c>
      <c r="P70" s="35">
        <v>0.92509827311644988</v>
      </c>
      <c r="Q70" s="35">
        <v>1</v>
      </c>
      <c r="R70" s="35"/>
      <c r="S70" s="35"/>
      <c r="T70" s="35"/>
    </row>
    <row r="71" spans="1:20">
      <c r="A71" t="s">
        <v>75</v>
      </c>
      <c r="B71">
        <v>0.77797323476363311</v>
      </c>
      <c r="C71">
        <v>0.80232153221125946</v>
      </c>
      <c r="D71">
        <v>0.80920315598396841</v>
      </c>
      <c r="E71">
        <v>0.8128268764284412</v>
      </c>
      <c r="F71">
        <v>1.0844756872598285</v>
      </c>
      <c r="G71">
        <v>1.2260646148800087</v>
      </c>
      <c r="H71">
        <v>1.3522617514488087</v>
      </c>
      <c r="I71">
        <v>1.391877488322518</v>
      </c>
      <c r="J71">
        <v>1.4010769260783893</v>
      </c>
      <c r="K71">
        <v>1.4197567613539717</v>
      </c>
      <c r="L71">
        <v>1.435840862113013</v>
      </c>
      <c r="N71" s="35" t="s">
        <v>75</v>
      </c>
      <c r="O71" s="35">
        <v>0.94917193413302448</v>
      </c>
      <c r="P71" s="35">
        <v>0.92230984428341711</v>
      </c>
      <c r="Q71" s="35">
        <v>0.99511853600480549</v>
      </c>
      <c r="R71" s="35">
        <v>1</v>
      </c>
      <c r="S71" s="35"/>
      <c r="T71" s="35"/>
    </row>
    <row r="72" spans="1:20">
      <c r="A72" t="s">
        <v>76</v>
      </c>
      <c r="B72">
        <v>0.8259816394243491</v>
      </c>
      <c r="C72">
        <v>0.85617220258611226</v>
      </c>
      <c r="D72">
        <v>0.85880358966558745</v>
      </c>
      <c r="E72">
        <v>0.88361574881634686</v>
      </c>
      <c r="F72">
        <v>1.1221713429356424</v>
      </c>
      <c r="G72">
        <v>1.2412918902888195</v>
      </c>
      <c r="H72">
        <v>1.3531801404393231</v>
      </c>
      <c r="I72">
        <v>1.3965762444034764</v>
      </c>
      <c r="J72">
        <v>1.4217729643000401</v>
      </c>
      <c r="K72">
        <v>1.4408326460357872</v>
      </c>
      <c r="L72">
        <v>1.450686319302358</v>
      </c>
      <c r="N72" s="35" t="s">
        <v>76</v>
      </c>
      <c r="O72" s="35">
        <v>0.96975298399031273</v>
      </c>
      <c r="P72" s="35">
        <v>0.94410543830856231</v>
      </c>
      <c r="Q72" s="35">
        <v>0.99583955658035417</v>
      </c>
      <c r="R72" s="35">
        <v>0.98985943788635311</v>
      </c>
      <c r="S72" s="35">
        <v>1</v>
      </c>
      <c r="T72" s="35"/>
    </row>
    <row r="73" spans="1:20">
      <c r="A73" t="s">
        <v>77</v>
      </c>
      <c r="B73">
        <v>0.9308460979910792</v>
      </c>
      <c r="C73">
        <v>0.96912284503189283</v>
      </c>
      <c r="D73">
        <v>0.96026631330596945</v>
      </c>
      <c r="E73">
        <v>0.99496722930831849</v>
      </c>
      <c r="F73">
        <v>1.1888329383886256</v>
      </c>
      <c r="G73">
        <v>1.2824470963515708</v>
      </c>
      <c r="H73">
        <v>1.3730378879352543</v>
      </c>
      <c r="I73">
        <v>1.4021843479995511</v>
      </c>
      <c r="J73">
        <v>1.4149671252891758</v>
      </c>
      <c r="K73">
        <v>1.4236492046077893</v>
      </c>
      <c r="L73">
        <v>1.4278472392986172</v>
      </c>
      <c r="N73" s="35" t="s">
        <v>77</v>
      </c>
      <c r="O73" s="35">
        <v>0.94096278882326556</v>
      </c>
      <c r="P73" s="35">
        <v>0.91552802504324859</v>
      </c>
      <c r="Q73" s="35">
        <v>0.93543715128087623</v>
      </c>
      <c r="R73" s="35">
        <v>0.90582637585959869</v>
      </c>
      <c r="S73" s="35">
        <v>0.95372292651243906</v>
      </c>
      <c r="T73" s="35">
        <v>1</v>
      </c>
    </row>
    <row r="74" spans="1:20">
      <c r="A74" t="s">
        <v>173</v>
      </c>
      <c r="B74">
        <v>0.83079107445892919</v>
      </c>
      <c r="C74">
        <v>0.8642185453008866</v>
      </c>
      <c r="D74">
        <v>0.86848126528674741</v>
      </c>
      <c r="E74">
        <v>0.89668872386357001</v>
      </c>
      <c r="F74">
        <v>1.1352645064869114</v>
      </c>
      <c r="G74">
        <v>1.2629515784423904</v>
      </c>
      <c r="H74">
        <v>1.3743931189790406</v>
      </c>
      <c r="I74">
        <v>1.4122197127829614</v>
      </c>
      <c r="J74">
        <v>1.4268374534320749</v>
      </c>
      <c r="K74">
        <v>1.4385674908013812</v>
      </c>
      <c r="L74">
        <v>1.4545305460525417</v>
      </c>
      <c r="N74" s="35"/>
      <c r="O74" s="35"/>
      <c r="P74" s="35"/>
      <c r="Q74" s="35"/>
      <c r="R74" s="35"/>
      <c r="S74" s="35"/>
      <c r="T74" s="35"/>
    </row>
    <row r="75" spans="1:20">
      <c r="A75" t="s">
        <v>4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N75" s="36" t="s">
        <v>3</v>
      </c>
      <c r="O75" s="36" t="s">
        <v>72</v>
      </c>
      <c r="P75" s="36" t="s">
        <v>73</v>
      </c>
      <c r="Q75" s="36" t="s">
        <v>74</v>
      </c>
      <c r="R75" s="36" t="s">
        <v>75</v>
      </c>
      <c r="S75" s="36" t="s">
        <v>76</v>
      </c>
      <c r="T75" s="36" t="s">
        <v>77</v>
      </c>
    </row>
    <row r="76" spans="1:20">
      <c r="A76" t="s">
        <v>72</v>
      </c>
      <c r="B76">
        <v>0.20356039519163124</v>
      </c>
      <c r="C76">
        <v>0.18565249156335889</v>
      </c>
      <c r="D76">
        <v>0.1865614147376406</v>
      </c>
      <c r="E76">
        <v>0.20916063254902562</v>
      </c>
      <c r="F76">
        <v>0.21222348357009174</v>
      </c>
      <c r="G76">
        <v>0.21063236937802057</v>
      </c>
      <c r="H76">
        <v>0.20596549538282308</v>
      </c>
      <c r="I76">
        <v>0.21375406432404906</v>
      </c>
      <c r="J76">
        <v>0.23051029368718901</v>
      </c>
      <c r="K76">
        <v>0.23932274059048908</v>
      </c>
      <c r="L76">
        <v>0.24444778362133734</v>
      </c>
      <c r="N76" s="36" t="s">
        <v>72</v>
      </c>
      <c r="O76" s="36">
        <v>1</v>
      </c>
      <c r="P76" s="36"/>
      <c r="Q76" s="36"/>
      <c r="R76" s="36"/>
      <c r="S76" s="36"/>
      <c r="T76" s="36"/>
    </row>
    <row r="77" spans="1:20">
      <c r="A77" t="s">
        <v>73</v>
      </c>
      <c r="B77">
        <v>0.27161511574226738</v>
      </c>
      <c r="C77">
        <v>0.24485132313942334</v>
      </c>
      <c r="D77">
        <v>0.2450555612192884</v>
      </c>
      <c r="E77">
        <v>0.25391750956448822</v>
      </c>
      <c r="F77">
        <v>0.28547963206307492</v>
      </c>
      <c r="G77">
        <v>0.28316873546555527</v>
      </c>
      <c r="H77">
        <v>0.27687087894500995</v>
      </c>
      <c r="I77">
        <v>0.2834864104967198</v>
      </c>
      <c r="J77">
        <v>0.29622633022983852</v>
      </c>
      <c r="K77">
        <v>0.3053126093258034</v>
      </c>
      <c r="L77">
        <v>0.30757674395312734</v>
      </c>
      <c r="N77" s="36" t="s">
        <v>73</v>
      </c>
      <c r="O77" s="35">
        <v>-0.48403554824226575</v>
      </c>
      <c r="P77" s="36">
        <v>1</v>
      </c>
      <c r="Q77" s="36"/>
      <c r="R77" s="36"/>
      <c r="S77" s="36"/>
      <c r="T77" s="36"/>
    </row>
    <row r="78" spans="1:20">
      <c r="A78" t="s">
        <v>74</v>
      </c>
      <c r="B78">
        <v>0.17197768283974971</v>
      </c>
      <c r="C78">
        <v>0.14962757630448006</v>
      </c>
      <c r="D78">
        <v>0.15419261827810077</v>
      </c>
      <c r="E78">
        <v>0.16063407658065945</v>
      </c>
      <c r="F78">
        <v>0.1701475712236114</v>
      </c>
      <c r="G78">
        <v>0.15842084218944003</v>
      </c>
      <c r="H78">
        <v>0.1625273268107372</v>
      </c>
      <c r="I78">
        <v>0.16476726980088782</v>
      </c>
      <c r="J78">
        <v>0.1810676940011007</v>
      </c>
      <c r="K78">
        <v>0.18682029583522747</v>
      </c>
      <c r="L78">
        <v>0.19403065436663197</v>
      </c>
      <c r="N78" s="36" t="s">
        <v>74</v>
      </c>
      <c r="O78" s="35">
        <v>-0.36046778074242714</v>
      </c>
      <c r="P78" s="35">
        <v>-0.83106218151586531</v>
      </c>
      <c r="Q78" s="36">
        <v>1</v>
      </c>
      <c r="R78" s="36"/>
      <c r="S78" s="36"/>
      <c r="T78" s="36"/>
    </row>
    <row r="79" spans="1:20">
      <c r="A79" t="s">
        <v>75</v>
      </c>
      <c r="B79">
        <v>0.16072280420554505</v>
      </c>
      <c r="C79">
        <v>0.13972648635477583</v>
      </c>
      <c r="D79">
        <v>0.13945051934879657</v>
      </c>
      <c r="E79">
        <v>0.14574780058651027</v>
      </c>
      <c r="F79">
        <v>0.15308217136140237</v>
      </c>
      <c r="G79">
        <v>0.14348772092525547</v>
      </c>
      <c r="H79">
        <v>0.1437556421931887</v>
      </c>
      <c r="I79">
        <v>0.14801968490636155</v>
      </c>
      <c r="J79">
        <v>0.16392118638167513</v>
      </c>
      <c r="K79">
        <v>0.16708599155359871</v>
      </c>
      <c r="L79">
        <v>0.17207188263267717</v>
      </c>
      <c r="N79" s="36" t="s">
        <v>75</v>
      </c>
      <c r="O79" s="35">
        <v>-0.64889285637485383</v>
      </c>
      <c r="P79" s="35">
        <v>-0.88732872010332564</v>
      </c>
      <c r="Q79" s="35">
        <v>0.36826783821300335</v>
      </c>
      <c r="R79" s="36">
        <v>1</v>
      </c>
      <c r="S79" s="36"/>
      <c r="T79" s="36"/>
    </row>
    <row r="80" spans="1:20">
      <c r="A80" t="s">
        <v>76</v>
      </c>
      <c r="B80">
        <v>0.16438299899781492</v>
      </c>
      <c r="C80">
        <v>0.14491852459646917</v>
      </c>
      <c r="D80">
        <v>0.14315714900184703</v>
      </c>
      <c r="E80">
        <v>0.15541674304488218</v>
      </c>
      <c r="F80">
        <v>0.16126543209876543</v>
      </c>
      <c r="G80">
        <v>0.15397183836733436</v>
      </c>
      <c r="H80">
        <v>0.15169356917729046</v>
      </c>
      <c r="I80">
        <v>0.15815229689975108</v>
      </c>
      <c r="J80">
        <v>0.17514557847695572</v>
      </c>
      <c r="K80">
        <v>0.17717549557621234</v>
      </c>
      <c r="L80">
        <v>0.18504977474701831</v>
      </c>
      <c r="N80" s="36" t="s">
        <v>76</v>
      </c>
      <c r="O80" s="35">
        <v>-0.49513009634922128</v>
      </c>
      <c r="P80" s="35">
        <v>-0.85422658485338532</v>
      </c>
      <c r="Q80" s="35">
        <v>0.82812910007760521</v>
      </c>
      <c r="R80" s="35">
        <v>0.7503354913949648</v>
      </c>
      <c r="S80" s="36">
        <v>1</v>
      </c>
      <c r="T80" s="36"/>
    </row>
    <row r="81" spans="1:25">
      <c r="A81" t="s">
        <v>77</v>
      </c>
      <c r="B81">
        <v>0.19722521451654842</v>
      </c>
      <c r="C81">
        <v>0.1766115621637484</v>
      </c>
      <c r="D81">
        <v>0.17632170600035002</v>
      </c>
      <c r="E81">
        <v>0.18935743117404505</v>
      </c>
      <c r="F81">
        <v>0.19421218094812362</v>
      </c>
      <c r="G81">
        <v>0.18401142992508365</v>
      </c>
      <c r="H81">
        <v>0.17782953843228597</v>
      </c>
      <c r="I81">
        <v>0.18283910549948873</v>
      </c>
      <c r="J81">
        <v>0.20404651012703159</v>
      </c>
      <c r="K81">
        <v>0.20559903672486454</v>
      </c>
      <c r="L81">
        <v>0.21177436875712052</v>
      </c>
      <c r="N81" s="36" t="s">
        <v>77</v>
      </c>
      <c r="O81" s="35">
        <v>0.19528361503854955</v>
      </c>
      <c r="P81" s="35">
        <v>-0.77432815314343784</v>
      </c>
      <c r="Q81" s="35">
        <v>9.3315663738689311E-2</v>
      </c>
      <c r="R81" s="35">
        <v>-0.47756437473724422</v>
      </c>
      <c r="S81" s="35">
        <v>-0.19910114707098503</v>
      </c>
      <c r="T81" s="36">
        <v>1</v>
      </c>
    </row>
    <row r="82" spans="1:25">
      <c r="A82" t="s">
        <v>173</v>
      </c>
      <c r="B82">
        <v>0.18310136682703376</v>
      </c>
      <c r="C82">
        <v>0.16236597870987024</v>
      </c>
      <c r="D82">
        <v>0.16290146026167054</v>
      </c>
      <c r="E82">
        <v>0.17437590427469235</v>
      </c>
      <c r="F82">
        <v>0.1821220156444269</v>
      </c>
      <c r="G82">
        <v>0.17363610944536964</v>
      </c>
      <c r="H82">
        <v>0.17183256049820014</v>
      </c>
      <c r="I82">
        <v>0.17669463374097311</v>
      </c>
      <c r="J82">
        <v>0.19419507773458455</v>
      </c>
      <c r="K82">
        <v>0.19761493682994832</v>
      </c>
      <c r="L82">
        <v>0.20427497651111806</v>
      </c>
    </row>
    <row r="86" spans="1:25">
      <c r="X86" t="s">
        <v>185</v>
      </c>
      <c r="Y86" t="s">
        <v>186</v>
      </c>
    </row>
    <row r="87" spans="1:25" s="31" customFormat="1" ht="16">
      <c r="A87" s="30">
        <v>2202</v>
      </c>
      <c r="B87" s="31">
        <v>0.81370401712379914</v>
      </c>
      <c r="C87" s="31">
        <v>0.87985429463502229</v>
      </c>
      <c r="D87" s="31">
        <v>0.87509723994150046</v>
      </c>
      <c r="E87" s="31">
        <v>0.91899382394732765</v>
      </c>
      <c r="F87" s="31">
        <v>1.1679148600709499</v>
      </c>
      <c r="G87" s="31">
        <v>1.3299346788376183</v>
      </c>
      <c r="H87" s="31">
        <v>1.4374830685876123</v>
      </c>
      <c r="I87" s="31">
        <v>1.4814578376182461</v>
      </c>
      <c r="J87" s="31">
        <v>1.4993234100135318</v>
      </c>
      <c r="K87" s="31">
        <v>1.5278925619834711</v>
      </c>
      <c r="L87" s="31">
        <v>1.5451590434176921</v>
      </c>
      <c r="M87">
        <v>0.84471184646667219</v>
      </c>
      <c r="N87">
        <v>0.82732704696106807</v>
      </c>
      <c r="O87">
        <v>0.86457185668326653</v>
      </c>
      <c r="P87">
        <v>0.95190820653529562</v>
      </c>
      <c r="Q87">
        <v>1.2026074932508066</v>
      </c>
      <c r="R87">
        <v>1.3546763767285819</v>
      </c>
      <c r="S87">
        <v>1.4834757834757835</v>
      </c>
      <c r="T87">
        <v>1.491640105127775</v>
      </c>
      <c r="U87">
        <v>1.5337334437086092</v>
      </c>
      <c r="V87">
        <v>1.5647923672479862</v>
      </c>
      <c r="W87">
        <v>1.5840869427256863</v>
      </c>
      <c r="X87" s="31">
        <f>AVERAGE(B87:W87)</f>
        <v>1.2354702865949228</v>
      </c>
      <c r="Y87" s="31">
        <f>(_xlfn.STDEV.P(B87:W87))^2</f>
        <v>8.6310532711362492E-2</v>
      </c>
    </row>
    <row r="88" spans="1:25">
      <c r="B88">
        <f>B87-$X87</f>
        <v>-0.42176626947112361</v>
      </c>
      <c r="C88">
        <f>C87-$X87</f>
        <v>-0.35561599195990046</v>
      </c>
      <c r="D88">
        <f>D87-$X87</f>
        <v>-0.36037304665342229</v>
      </c>
      <c r="E88">
        <f>E87-$X87</f>
        <v>-0.3164764626475951</v>
      </c>
      <c r="F88">
        <f>F87-$X87</f>
        <v>-6.7555426523972839E-2</v>
      </c>
      <c r="G88">
        <f>G87-$X87</f>
        <v>9.4464392242695538E-2</v>
      </c>
      <c r="H88">
        <f>H87-$X87</f>
        <v>0.20201278199268957</v>
      </c>
      <c r="I88">
        <f>I87-$X87</f>
        <v>0.24598755102332337</v>
      </c>
      <c r="J88">
        <f>J87-$X87</f>
        <v>0.263853123418609</v>
      </c>
      <c r="K88">
        <f>K87-$X87</f>
        <v>0.29242227538854837</v>
      </c>
      <c r="L88">
        <f>L87-$X87</f>
        <v>0.30968875682276931</v>
      </c>
      <c r="M88">
        <f>M87-$X87</f>
        <v>-0.39075844012825056</v>
      </c>
      <c r="N88">
        <f>N87-$X87</f>
        <v>-0.40814323963385468</v>
      </c>
      <c r="O88">
        <f>O87-$X87</f>
        <v>-0.37089842991165622</v>
      </c>
      <c r="P88">
        <f>P87-$X87</f>
        <v>-0.28356208005962713</v>
      </c>
      <c r="Q88">
        <f>Q87-$X87</f>
        <v>-3.2862793344116126E-2</v>
      </c>
      <c r="R88">
        <f>R87-$X87</f>
        <v>0.11920609013365913</v>
      </c>
      <c r="S88">
        <f>S87-$X87</f>
        <v>0.24800549688086071</v>
      </c>
      <c r="T88">
        <f>T87-$X87</f>
        <v>0.25616981853285226</v>
      </c>
      <c r="U88">
        <f>U87-$X87</f>
        <v>0.29826315711368645</v>
      </c>
      <c r="V88">
        <f>V87-$X87</f>
        <v>0.32932208065306345</v>
      </c>
      <c r="W88">
        <f>W87-$X87</f>
        <v>0.34861665613076354</v>
      </c>
    </row>
    <row r="89" spans="1:25">
      <c r="M89">
        <f>B88*M88</f>
        <v>0.16480872955724765</v>
      </c>
      <c r="N89">
        <f>C88*N88</f>
        <v>0.14514226302412059</v>
      </c>
      <c r="O89">
        <f>D88*O88</f>
        <v>0.13366179718623436</v>
      </c>
      <c r="P89">
        <f>E88*P88</f>
        <v>8.9740724038264955E-2</v>
      </c>
      <c r="Q89">
        <f>F88*Q88</f>
        <v>2.2200600211309406E-3</v>
      </c>
      <c r="R89">
        <f>G88*R88</f>
        <v>1.1260730856104094E-2</v>
      </c>
      <c r="S89">
        <f>H88*S88</f>
        <v>5.0100280374381967E-2</v>
      </c>
      <c r="T89">
        <f>I88*T88</f>
        <v>6.3014586306985476E-2</v>
      </c>
      <c r="U89">
        <f>J88*U88</f>
        <v>7.8697665605141479E-2</v>
      </c>
      <c r="V89">
        <f>K88*V88</f>
        <v>9.6301112160259855E-2</v>
      </c>
      <c r="W89">
        <f>L88*W88</f>
        <v>0.10796265884484701</v>
      </c>
      <c r="X89">
        <f>SUM(M89:W89)</f>
        <v>0.94291060797471837</v>
      </c>
      <c r="Y89">
        <f>X89/11/Y87</f>
        <v>0.99314815337983908</v>
      </c>
    </row>
    <row r="90" spans="1:25" s="33" customFormat="1" ht="16">
      <c r="A90" s="32">
        <v>2206</v>
      </c>
      <c r="B90">
        <v>0.81370401712379914</v>
      </c>
      <c r="C90">
        <v>0.87985429463502229</v>
      </c>
      <c r="D90">
        <v>0.87509723994150046</v>
      </c>
      <c r="E90">
        <v>0.91899382394732765</v>
      </c>
      <c r="F90">
        <v>1.1679148600709499</v>
      </c>
      <c r="G90">
        <v>1.3299346788376183</v>
      </c>
      <c r="H90">
        <v>1.4374830685876123</v>
      </c>
      <c r="I90">
        <v>1.4814578376182461</v>
      </c>
      <c r="J90">
        <v>1.4993234100135318</v>
      </c>
      <c r="K90">
        <v>1.5278925619834711</v>
      </c>
      <c r="L90">
        <v>1.5451590434176921</v>
      </c>
      <c r="M90">
        <v>0.802804037970133</v>
      </c>
      <c r="N90">
        <v>0.83206670538455152</v>
      </c>
      <c r="O90">
        <v>0.84473152172182686</v>
      </c>
      <c r="P90">
        <v>0.86730255227713438</v>
      </c>
      <c r="Q90">
        <v>1.1019389518141678</v>
      </c>
      <c r="R90">
        <v>1.2387481914990681</v>
      </c>
      <c r="S90">
        <v>1.3549749915019667</v>
      </c>
      <c r="T90">
        <v>1.4028296218066607</v>
      </c>
      <c r="U90">
        <v>1.4015290728011072</v>
      </c>
      <c r="V90">
        <v>1.3885409079873756</v>
      </c>
      <c r="W90">
        <v>1.4244663172695897</v>
      </c>
      <c r="X90" s="31">
        <f>AVERAGE(B90:W90)</f>
        <v>1.1880339867368341</v>
      </c>
      <c r="Y90" s="31">
        <f>(_xlfn.STDEV.P(B90:W90))^2</f>
        <v>7.43513701001835E-2</v>
      </c>
    </row>
    <row r="91" spans="1:25" s="34" customFormat="1">
      <c r="B91">
        <f>B90-$X90</f>
        <v>-0.374329969613035</v>
      </c>
      <c r="C91">
        <f>C90-$X90</f>
        <v>-0.30817969210181184</v>
      </c>
      <c r="D91">
        <f>D90-$X90</f>
        <v>-0.31293674679533368</v>
      </c>
      <c r="E91">
        <f>E90-$X90</f>
        <v>-0.26904016278950649</v>
      </c>
      <c r="F91">
        <f>F90-$X90</f>
        <v>-2.0119126665884224E-2</v>
      </c>
      <c r="G91">
        <f>G90-$X90</f>
        <v>0.14190069210078415</v>
      </c>
      <c r="H91">
        <f>H90-$X90</f>
        <v>0.24944908185077819</v>
      </c>
      <c r="I91">
        <f>I90-$X90</f>
        <v>0.29342385088141199</v>
      </c>
      <c r="J91">
        <f>J90-$X90</f>
        <v>0.31128942327669762</v>
      </c>
      <c r="K91">
        <f>K90-$X90</f>
        <v>0.33985857524663698</v>
      </c>
      <c r="L91">
        <f>L90-$X90</f>
        <v>0.35712505668085792</v>
      </c>
      <c r="M91">
        <f>M90-$X90</f>
        <v>-0.38522994876670114</v>
      </c>
      <c r="N91">
        <f>N90-$X90</f>
        <v>-0.35596728135228262</v>
      </c>
      <c r="O91">
        <f>O90-$X90</f>
        <v>-0.34330246501500727</v>
      </c>
      <c r="P91">
        <f>P90-$X90</f>
        <v>-0.32073143445969976</v>
      </c>
      <c r="Q91">
        <f>Q90-$X90</f>
        <v>-8.6095034922666347E-2</v>
      </c>
      <c r="R91">
        <f>R90-$X90</f>
        <v>5.0714204762233983E-2</v>
      </c>
      <c r="S91">
        <f>S90-$X90</f>
        <v>0.16694100476513252</v>
      </c>
      <c r="T91">
        <f>T90-$X90</f>
        <v>0.21479563506982657</v>
      </c>
      <c r="U91">
        <f>U90-$X90</f>
        <v>0.21349508606427303</v>
      </c>
      <c r="V91">
        <f>V90-$X90</f>
        <v>0.20050692125054148</v>
      </c>
      <c r="W91">
        <f>W90-$X90</f>
        <v>0.23643233053275559</v>
      </c>
      <c r="X91"/>
      <c r="Y91"/>
    </row>
    <row r="92" spans="1:25" s="34" customFormat="1">
      <c r="B92"/>
      <c r="C92"/>
      <c r="D92"/>
      <c r="E92"/>
      <c r="F92"/>
      <c r="G92"/>
      <c r="H92"/>
      <c r="I92"/>
      <c r="J92"/>
      <c r="K92"/>
      <c r="L92"/>
      <c r="M92">
        <f>B91*M91</f>
        <v>0.14420311501587027</v>
      </c>
      <c r="N92">
        <f>C91*N91</f>
        <v>0.10970188716546549</v>
      </c>
      <c r="O92">
        <f>D91*O91</f>
        <v>0.10743195656861523</v>
      </c>
      <c r="P92">
        <f>E91*P91</f>
        <v>8.6289637338749559E-2</v>
      </c>
      <c r="Q92">
        <f>F91*Q91</f>
        <v>1.73215691291285E-3</v>
      </c>
      <c r="R92">
        <f>G91*R91</f>
        <v>7.196380755101886E-3</v>
      </c>
      <c r="S92">
        <f>H91*S91</f>
        <v>4.1643280361908695E-2</v>
      </c>
      <c r="T92">
        <f>I91*T91</f>
        <v>6.3026162394706986E-2</v>
      </c>
      <c r="U92">
        <f>J91*U91</f>
        <v>6.6458762213356476E-2</v>
      </c>
      <c r="V92">
        <f>K91*V91</f>
        <v>6.8143996583298672E-2</v>
      </c>
      <c r="W92">
        <f>L91*W91</f>
        <v>8.4435909442697674E-2</v>
      </c>
      <c r="X92">
        <f>SUM(M92:W92)</f>
        <v>0.7802632447526836</v>
      </c>
      <c r="Y92">
        <f>X92/11/Y90</f>
        <v>0.95402441346630817</v>
      </c>
    </row>
    <row r="93" spans="1:25" s="29" customFormat="1" ht="16">
      <c r="A93" s="28">
        <v>2210</v>
      </c>
      <c r="B93">
        <v>0.81370401712379914</v>
      </c>
      <c r="C93">
        <v>0.87985429463502229</v>
      </c>
      <c r="D93">
        <v>0.87509723994150046</v>
      </c>
      <c r="E93">
        <v>0.91899382394732765</v>
      </c>
      <c r="F93">
        <v>1.1679148600709499</v>
      </c>
      <c r="G93">
        <v>1.3299346788376183</v>
      </c>
      <c r="H93">
        <v>1.4374830685876123</v>
      </c>
      <c r="I93">
        <v>1.4814578376182461</v>
      </c>
      <c r="J93">
        <v>1.4993234100135318</v>
      </c>
      <c r="K93">
        <v>1.5278925619834711</v>
      </c>
      <c r="L93">
        <v>1.5451590434176921</v>
      </c>
      <c r="M93">
        <v>0.77797323476363311</v>
      </c>
      <c r="N93">
        <v>0.80232153221125946</v>
      </c>
      <c r="O93">
        <v>0.80920315598396841</v>
      </c>
      <c r="P93">
        <v>0.8128268764284412</v>
      </c>
      <c r="Q93">
        <v>1.0844756872598285</v>
      </c>
      <c r="R93">
        <v>1.2260646148800087</v>
      </c>
      <c r="S93">
        <v>1.3522617514488087</v>
      </c>
      <c r="T93">
        <v>1.391877488322518</v>
      </c>
      <c r="U93">
        <v>1.4010769260783893</v>
      </c>
      <c r="V93">
        <v>1.4197567613539717</v>
      </c>
      <c r="W93">
        <v>1.435840862113013</v>
      </c>
      <c r="X93" s="31">
        <f>AVERAGE(B93:W93)</f>
        <v>1.1813860785009369</v>
      </c>
      <c r="Y93" s="31">
        <f>(_xlfn.STDEV.P(B93:W93))^2</f>
        <v>7.980205866497056E-2</v>
      </c>
    </row>
    <row r="94" spans="1:25">
      <c r="B94">
        <f>B93-$X93</f>
        <v>-0.36768206137713777</v>
      </c>
      <c r="C94">
        <f>C93-$X93</f>
        <v>-0.30153178386591462</v>
      </c>
      <c r="D94">
        <f>D93-$X93</f>
        <v>-0.30628883855943645</v>
      </c>
      <c r="E94">
        <f>E93-$X93</f>
        <v>-0.26239225455360926</v>
      </c>
      <c r="F94">
        <f>F93-$X93</f>
        <v>-1.3471218429986997E-2</v>
      </c>
      <c r="G94">
        <f>G93-$X93</f>
        <v>0.14854860033668138</v>
      </c>
      <c r="H94">
        <f>H93-$X93</f>
        <v>0.25609699008667541</v>
      </c>
      <c r="I94">
        <f>I93-$X93</f>
        <v>0.30007175911730921</v>
      </c>
      <c r="J94">
        <f>J93-$X93</f>
        <v>0.31793733151259485</v>
      </c>
      <c r="K94">
        <f>K93-$X93</f>
        <v>0.34650648348253421</v>
      </c>
      <c r="L94">
        <f>L93-$X93</f>
        <v>0.36377296491675515</v>
      </c>
      <c r="M94">
        <f>M93-$X93</f>
        <v>-0.40341284373730379</v>
      </c>
      <c r="N94">
        <f>N93-$X93</f>
        <v>-0.37906454628967745</v>
      </c>
      <c r="O94">
        <f>O93-$X93</f>
        <v>-0.3721829225169685</v>
      </c>
      <c r="P94">
        <f>P93-$X93</f>
        <v>-0.36855920207249571</v>
      </c>
      <c r="Q94">
        <f>Q93-$X93</f>
        <v>-9.6910391241108451E-2</v>
      </c>
      <c r="R94">
        <f>R93-$X93</f>
        <v>4.467853637907182E-2</v>
      </c>
      <c r="S94">
        <f>S93-$X93</f>
        <v>0.17087567294787176</v>
      </c>
      <c r="T94">
        <f>T93-$X93</f>
        <v>0.2104914098215811</v>
      </c>
      <c r="U94">
        <f>U93-$X93</f>
        <v>0.21969084757745239</v>
      </c>
      <c r="V94">
        <f>V93-$X93</f>
        <v>0.23837068285303475</v>
      </c>
      <c r="W94">
        <f>W93-$X93</f>
        <v>0.25445478361207607</v>
      </c>
    </row>
    <row r="95" spans="1:25">
      <c r="M95">
        <f>B94*M94</f>
        <v>0.14832766597134503</v>
      </c>
      <c r="N95">
        <f>C94*N94</f>
        <v>0.11430000884305001</v>
      </c>
      <c r="O95">
        <f>D94*O94</f>
        <v>0.113995475069379</v>
      </c>
      <c r="P95">
        <f>E94*P94</f>
        <v>9.6707079968281401E-2</v>
      </c>
      <c r="Q95">
        <f>F94*Q94</f>
        <v>1.3055010485444707E-3</v>
      </c>
      <c r="R95">
        <f>G94*R94</f>
        <v>6.6369340442026196E-3</v>
      </c>
      <c r="S95">
        <f>H94*S94</f>
        <v>4.3760745520985106E-2</v>
      </c>
      <c r="T95">
        <f>I94*T94</f>
        <v>6.3162527624244291E-2</v>
      </c>
      <c r="U95">
        <f>J94*U94</f>
        <v>6.984792183651542E-2</v>
      </c>
      <c r="V95">
        <f>K94*V94</f>
        <v>8.2596987080735484E-2</v>
      </c>
      <c r="W95">
        <f>L94*W94</f>
        <v>9.2563771071816278E-2</v>
      </c>
      <c r="X95">
        <f>SUM(M95:W95)</f>
        <v>0.83320461807909907</v>
      </c>
      <c r="Y95">
        <f>X95/11/Y93</f>
        <v>0.94917193413302448</v>
      </c>
    </row>
    <row r="96" spans="1:25" s="33" customFormat="1" ht="16">
      <c r="A96" s="32">
        <v>2214</v>
      </c>
      <c r="B96">
        <v>0.81370401712379914</v>
      </c>
      <c r="C96">
        <v>0.87985429463502229</v>
      </c>
      <c r="D96">
        <v>0.87509723994150046</v>
      </c>
      <c r="E96">
        <v>0.91899382394732765</v>
      </c>
      <c r="F96">
        <v>1.1679148600709499</v>
      </c>
      <c r="G96">
        <v>1.3299346788376183</v>
      </c>
      <c r="H96">
        <v>1.4374830685876123</v>
      </c>
      <c r="I96">
        <v>1.4814578376182461</v>
      </c>
      <c r="J96">
        <v>1.4993234100135318</v>
      </c>
      <c r="K96">
        <v>1.5278925619834711</v>
      </c>
      <c r="L96">
        <v>1.5451590434176921</v>
      </c>
      <c r="M96">
        <v>0.8259816394243491</v>
      </c>
      <c r="N96">
        <v>0.85617220258611226</v>
      </c>
      <c r="O96">
        <v>0.85880358966558745</v>
      </c>
      <c r="P96">
        <v>0.88361574881634686</v>
      </c>
      <c r="Q96">
        <v>1.1221713429356424</v>
      </c>
      <c r="R96">
        <v>1.2412918902888195</v>
      </c>
      <c r="S96">
        <v>1.3531801404393231</v>
      </c>
      <c r="T96">
        <v>1.3965762444034764</v>
      </c>
      <c r="U96">
        <v>1.4217729643000401</v>
      </c>
      <c r="V96">
        <v>1.4408326460357872</v>
      </c>
      <c r="W96">
        <v>1.450686319302358</v>
      </c>
      <c r="X96" s="31">
        <f>AVERAGE(B96:W96)</f>
        <v>1.1967227074715736</v>
      </c>
      <c r="Y96" s="31">
        <f>(_xlfn.STDEV.P(B96:W96))^2</f>
        <v>7.3649865909478585E-2</v>
      </c>
    </row>
    <row r="97" spans="1:25" s="34" customFormat="1">
      <c r="B97">
        <f>B96-$X96</f>
        <v>-0.38301869034777447</v>
      </c>
      <c r="C97">
        <f>C96-$X96</f>
        <v>-0.31686841283655132</v>
      </c>
      <c r="D97">
        <f>D96-$X96</f>
        <v>-0.32162546753007315</v>
      </c>
      <c r="E97">
        <f>E96-$X96</f>
        <v>-0.27772888352424596</v>
      </c>
      <c r="F97">
        <f>F96-$X96</f>
        <v>-2.8807847400623698E-2</v>
      </c>
      <c r="G97">
        <f>G96-$X96</f>
        <v>0.13321197136604468</v>
      </c>
      <c r="H97">
        <f>H96-$X96</f>
        <v>0.24076036111603871</v>
      </c>
      <c r="I97">
        <f>I96-$X96</f>
        <v>0.28473513014667251</v>
      </c>
      <c r="J97">
        <f>J96-$X96</f>
        <v>0.30260070254195814</v>
      </c>
      <c r="K97">
        <f>K96-$X96</f>
        <v>0.33116985451189751</v>
      </c>
      <c r="L97">
        <f>L96-$X96</f>
        <v>0.34843633594611845</v>
      </c>
      <c r="M97">
        <f>M96-$X96</f>
        <v>-0.37074106804722451</v>
      </c>
      <c r="N97">
        <f>N96-$X96</f>
        <v>-0.34055050488546135</v>
      </c>
      <c r="O97">
        <f>O96-$X96</f>
        <v>-0.33791911780598616</v>
      </c>
      <c r="P97">
        <f>P96-$X96</f>
        <v>-0.31310695865522675</v>
      </c>
      <c r="Q97">
        <f>Q96-$X96</f>
        <v>-7.4551364535931253E-2</v>
      </c>
      <c r="R97">
        <f>R96-$X96</f>
        <v>4.4569182817245867E-2</v>
      </c>
      <c r="S97">
        <f>S96-$X96</f>
        <v>0.1564574329677495</v>
      </c>
      <c r="T97">
        <f>T96-$X96</f>
        <v>0.19985353693190278</v>
      </c>
      <c r="U97">
        <f>U96-$X96</f>
        <v>0.22505025682846647</v>
      </c>
      <c r="V97">
        <f>V96-$X96</f>
        <v>0.24410993856421359</v>
      </c>
      <c r="W97">
        <f>W96-$X96</f>
        <v>0.25396361183078442</v>
      </c>
      <c r="X97"/>
      <c r="Y97"/>
    </row>
    <row r="98" spans="1:25" s="34" customFormat="1">
      <c r="B98"/>
      <c r="C98"/>
      <c r="D98"/>
      <c r="E98"/>
      <c r="F98"/>
      <c r="G98"/>
      <c r="H98"/>
      <c r="I98"/>
      <c r="J98"/>
      <c r="K98"/>
      <c r="L98"/>
      <c r="M98">
        <f>B97*M97</f>
        <v>0.14200075834158307</v>
      </c>
      <c r="N98">
        <f>C97*N97</f>
        <v>0.10790969797374235</v>
      </c>
      <c r="O98">
        <f>D97*O97</f>
        <v>0.10868339425170016</v>
      </c>
      <c r="P98">
        <f>E97*P97</f>
        <v>8.6958846050988373E-2</v>
      </c>
      <c r="Q98">
        <f>F97*Q97</f>
        <v>2.147664333059377E-3</v>
      </c>
      <c r="R98">
        <f>G97*R97</f>
        <v>5.9371487052589673E-3</v>
      </c>
      <c r="S98">
        <f>H97*S97</f>
        <v>3.7668748060603788E-2</v>
      </c>
      <c r="T98">
        <f>I97*T97</f>
        <v>5.690532284857816E-2</v>
      </c>
      <c r="U98">
        <f>J97*U97</f>
        <v>6.8100365823542064E-2</v>
      </c>
      <c r="V98">
        <f>K97*V97</f>
        <v>8.0841852839218853E-2</v>
      </c>
      <c r="W98">
        <f>L97*W97</f>
        <v>8.8490150369960816E-2</v>
      </c>
      <c r="X98">
        <f>SUM(M98:W98)</f>
        <v>0.78564394959823591</v>
      </c>
      <c r="Y98">
        <f>X98/11/Y96</f>
        <v>0.96975298399031273</v>
      </c>
    </row>
    <row r="99" spans="1:25" s="29" customFormat="1" ht="16">
      <c r="A99" s="28">
        <v>2218</v>
      </c>
      <c r="B99">
        <v>0.81370401712379914</v>
      </c>
      <c r="C99">
        <v>0.87985429463502229</v>
      </c>
      <c r="D99">
        <v>0.87509723994150046</v>
      </c>
      <c r="E99">
        <v>0.91899382394732765</v>
      </c>
      <c r="F99">
        <v>1.1679148600709499</v>
      </c>
      <c r="G99">
        <v>1.3299346788376183</v>
      </c>
      <c r="H99">
        <v>1.4374830685876123</v>
      </c>
      <c r="I99">
        <v>1.4814578376182461</v>
      </c>
      <c r="J99">
        <v>1.4993234100135318</v>
      </c>
      <c r="K99">
        <v>1.5278925619834711</v>
      </c>
      <c r="L99">
        <v>1.5451590434176921</v>
      </c>
      <c r="M99">
        <v>0.9308460979910792</v>
      </c>
      <c r="N99">
        <v>0.96912284503189283</v>
      </c>
      <c r="O99">
        <v>0.96026631330596945</v>
      </c>
      <c r="P99">
        <v>0.99496722930831849</v>
      </c>
      <c r="Q99">
        <v>1.1888329383886256</v>
      </c>
      <c r="R99">
        <v>1.2824470963515708</v>
      </c>
      <c r="S99">
        <v>1.3730378879352543</v>
      </c>
      <c r="T99">
        <v>1.4021843479995511</v>
      </c>
      <c r="U99">
        <v>1.4149671252891758</v>
      </c>
      <c r="V99">
        <v>1.4236492046077893</v>
      </c>
      <c r="W99">
        <v>1.4278472392986172</v>
      </c>
      <c r="X99" s="31">
        <f>AVERAGE(B99:W99)</f>
        <v>1.2202265073493006</v>
      </c>
      <c r="Y99" s="31">
        <f>(_xlfn.STDEV.P(B99:W99))^2</f>
        <v>6.128006747008094E-2</v>
      </c>
    </row>
    <row r="100" spans="1:25">
      <c r="B100">
        <f>B99-$X99</f>
        <v>-0.40652249022550146</v>
      </c>
      <c r="C100">
        <f>C99-$X99</f>
        <v>-0.34037221271427831</v>
      </c>
      <c r="D100">
        <f>D99-$X99</f>
        <v>-0.34512926740780014</v>
      </c>
      <c r="E100">
        <f>E99-$X99</f>
        <v>-0.30123268340197296</v>
      </c>
      <c r="F100">
        <f>F99-$X99</f>
        <v>-5.2311647278350693E-2</v>
      </c>
      <c r="G100">
        <f>G99-$X99</f>
        <v>0.10970817148831769</v>
      </c>
      <c r="H100">
        <f>H99-$X99</f>
        <v>0.21725656123831172</v>
      </c>
      <c r="I100">
        <f>I99-$X99</f>
        <v>0.26123133026894552</v>
      </c>
      <c r="J100">
        <f>J99-$X99</f>
        <v>0.27909690266423115</v>
      </c>
      <c r="K100">
        <f>K99-$X99</f>
        <v>0.30766605463417052</v>
      </c>
      <c r="L100">
        <f>L99-$X99</f>
        <v>0.32493253606839145</v>
      </c>
      <c r="M100">
        <f>M99-$X99</f>
        <v>-0.2893804093582214</v>
      </c>
      <c r="N100">
        <f>N99-$X99</f>
        <v>-0.25110366231740777</v>
      </c>
      <c r="O100">
        <f>O99-$X99</f>
        <v>-0.25996019404333115</v>
      </c>
      <c r="P100">
        <f>P99-$X99</f>
        <v>-0.22525927804098211</v>
      </c>
      <c r="Q100">
        <f>Q99-$X99</f>
        <v>-3.1393568960675022E-2</v>
      </c>
      <c r="R100">
        <f>R99-$X99</f>
        <v>6.2220589002270232E-2</v>
      </c>
      <c r="S100">
        <f>S99-$X99</f>
        <v>0.15281138058595367</v>
      </c>
      <c r="T100">
        <f>T99-$X99</f>
        <v>0.18195784065025045</v>
      </c>
      <c r="U100">
        <f>U99-$X99</f>
        <v>0.19474061793987518</v>
      </c>
      <c r="V100">
        <f>V99-$X99</f>
        <v>0.20342269725848872</v>
      </c>
      <c r="W100">
        <f>W99-$X99</f>
        <v>0.20762073194931663</v>
      </c>
    </row>
    <row r="101" spans="1:25">
      <c r="M101">
        <f>B100*M100</f>
        <v>0.11763964463477918</v>
      </c>
      <c r="N101">
        <f>C100*N100</f>
        <v>8.5468709163635026E-2</v>
      </c>
      <c r="O101">
        <f>D100*O100</f>
        <v>8.971987132536445E-2</v>
      </c>
      <c r="P101">
        <f>E100*P100</f>
        <v>6.7855456785476165E-2</v>
      </c>
      <c r="Q101">
        <f>F100*Q100</f>
        <v>1.6422493062794104E-3</v>
      </c>
      <c r="R101">
        <f>G100*R100</f>
        <v>6.8261070483651961E-3</v>
      </c>
      <c r="S101">
        <f>H100*S100</f>
        <v>3.3199275064183201E-2</v>
      </c>
      <c r="T101">
        <f>I100*T100</f>
        <v>4.7533088765929737E-2</v>
      </c>
      <c r="U101">
        <f>J100*U100</f>
        <v>5.4351503289937569E-2</v>
      </c>
      <c r="V101">
        <f>K100*V100</f>
        <v>6.258625868856052E-2</v>
      </c>
      <c r="W101">
        <f>L100*W100</f>
        <v>6.7462730972667154E-2</v>
      </c>
      <c r="X101">
        <f>SUM(M101:W101)</f>
        <v>0.6342848950451776</v>
      </c>
      <c r="Y101">
        <f>X101/11/Y99</f>
        <v>0.94096278882326556</v>
      </c>
    </row>
    <row r="102" spans="1:25" s="33" customFormat="1">
      <c r="A102" s="33">
        <v>206</v>
      </c>
      <c r="B102">
        <v>0.84471184646667219</v>
      </c>
      <c r="C102">
        <v>0.82732704696106807</v>
      </c>
      <c r="D102">
        <v>0.86457185668326653</v>
      </c>
      <c r="E102">
        <v>0.95190820653529562</v>
      </c>
      <c r="F102">
        <v>1.2026074932508066</v>
      </c>
      <c r="G102">
        <v>1.3546763767285819</v>
      </c>
      <c r="H102">
        <v>1.4834757834757835</v>
      </c>
      <c r="I102">
        <v>1.491640105127775</v>
      </c>
      <c r="J102">
        <v>1.5337334437086092</v>
      </c>
      <c r="K102">
        <v>1.5647923672479862</v>
      </c>
      <c r="L102">
        <v>1.5840869427256863</v>
      </c>
      <c r="M102">
        <v>0.802804037970133</v>
      </c>
      <c r="N102">
        <v>0.83206670538455152</v>
      </c>
      <c r="O102">
        <v>0.84473152172182686</v>
      </c>
      <c r="P102">
        <v>0.86730255227713438</v>
      </c>
      <c r="Q102">
        <v>1.1019389518141678</v>
      </c>
      <c r="R102">
        <v>1.2387481914990681</v>
      </c>
      <c r="S102">
        <v>1.3549749915019667</v>
      </c>
      <c r="T102">
        <v>1.4028296218066607</v>
      </c>
      <c r="U102">
        <v>1.4015290728011072</v>
      </c>
      <c r="V102">
        <v>1.3885409079873756</v>
      </c>
      <c r="W102">
        <v>1.4244663172695897</v>
      </c>
      <c r="X102" s="31">
        <f>AVERAGE(B102:W102)</f>
        <v>1.1983392882247779</v>
      </c>
      <c r="Y102" s="31">
        <f>(_xlfn.STDEV.P(B102:W102))^2</f>
        <v>7.9695368465760696E-2</v>
      </c>
    </row>
    <row r="103" spans="1:25" s="34" customFormat="1">
      <c r="B103">
        <f>B102-$X102</f>
        <v>-0.35362744175810568</v>
      </c>
      <c r="C103">
        <f>C102-$X102</f>
        <v>-0.3710122412637098</v>
      </c>
      <c r="D103">
        <f>D102-$X102</f>
        <v>-0.33376743154151134</v>
      </c>
      <c r="E103">
        <f>E102-$X102</f>
        <v>-0.24643108168948225</v>
      </c>
      <c r="F103">
        <f>F102-$X102</f>
        <v>4.2682050260287596E-3</v>
      </c>
      <c r="G103">
        <f>G102-$X102</f>
        <v>0.15633708850380401</v>
      </c>
      <c r="H103">
        <f>H102-$X102</f>
        <v>0.2851364952510056</v>
      </c>
      <c r="I103">
        <f>I102-$X102</f>
        <v>0.29330081690299714</v>
      </c>
      <c r="J103">
        <f>J102-$X102</f>
        <v>0.33539415548383134</v>
      </c>
      <c r="K103">
        <f>K102-$X102</f>
        <v>0.36645307902320834</v>
      </c>
      <c r="L103">
        <f>L102-$X102</f>
        <v>0.38574765450090842</v>
      </c>
      <c r="M103">
        <f>M102-$X102</f>
        <v>-0.39553525025464487</v>
      </c>
      <c r="N103">
        <f>N102-$X102</f>
        <v>-0.36627258284022635</v>
      </c>
      <c r="O103">
        <f>O102-$X102</f>
        <v>-0.353607766502951</v>
      </c>
      <c r="P103">
        <f>P102-$X102</f>
        <v>-0.33103673594764349</v>
      </c>
      <c r="Q103">
        <f>Q102-$X102</f>
        <v>-9.6400336410610077E-2</v>
      </c>
      <c r="R103">
        <f>R102-$X102</f>
        <v>4.0408903274290253E-2</v>
      </c>
      <c r="S103">
        <f>S102-$X102</f>
        <v>0.15663570327718879</v>
      </c>
      <c r="T103">
        <f>T102-$X102</f>
        <v>0.20449033358188284</v>
      </c>
      <c r="U103">
        <f>U102-$X102</f>
        <v>0.2031897845763293</v>
      </c>
      <c r="V103">
        <f>V102-$X102</f>
        <v>0.19020161976259775</v>
      </c>
      <c r="W103">
        <f>W102-$X102</f>
        <v>0.22612702904481186</v>
      </c>
      <c r="X103"/>
      <c r="Y103"/>
    </row>
    <row r="104" spans="1:25" s="34" customFormat="1">
      <c r="B104"/>
      <c r="C104"/>
      <c r="D104"/>
      <c r="E104"/>
      <c r="F104"/>
      <c r="G104"/>
      <c r="H104"/>
      <c r="I104"/>
      <c r="J104"/>
      <c r="K104"/>
      <c r="L104"/>
      <c r="M104">
        <f>B103*M103</f>
        <v>0.13987211867270219</v>
      </c>
      <c r="N104">
        <f>C103*N103</f>
        <v>0.1358916118730002</v>
      </c>
      <c r="O104">
        <f>D103*O103</f>
        <v>0.11802275599882042</v>
      </c>
      <c r="P104">
        <f>E103*P103</f>
        <v>8.1577740918533301E-2</v>
      </c>
      <c r="Q104">
        <f>F103*Q103</f>
        <v>-4.1145640037862916E-4</v>
      </c>
      <c r="R104">
        <f>G103*R103</f>
        <v>6.3174102875343712E-3</v>
      </c>
      <c r="S104">
        <f>H103*S103</f>
        <v>4.4662555463634061E-2</v>
      </c>
      <c r="T104">
        <f>I103*T103</f>
        <v>5.9977181888332627E-2</v>
      </c>
      <c r="U104">
        <f>J103*U103</f>
        <v>6.8148666200919583E-2</v>
      </c>
      <c r="V104">
        <f>K103*V103</f>
        <v>6.9699969197205461E-2</v>
      </c>
      <c r="W104">
        <f>L103*W103</f>
        <v>8.7227971073294969E-2</v>
      </c>
      <c r="X104">
        <f>SUM(M104:W104)</f>
        <v>0.81098652517359837</v>
      </c>
      <c r="Y104">
        <f>X104/11/Y102</f>
        <v>0.92509827311644988</v>
      </c>
    </row>
    <row r="105" spans="1:25" s="29" customFormat="1">
      <c r="A105" s="29">
        <v>210</v>
      </c>
      <c r="B105">
        <v>0.84471184646667219</v>
      </c>
      <c r="C105">
        <v>0.82732704696106807</v>
      </c>
      <c r="D105">
        <v>0.86457185668326653</v>
      </c>
      <c r="E105">
        <v>0.95190820653529562</v>
      </c>
      <c r="F105">
        <v>1.2026074932508066</v>
      </c>
      <c r="G105">
        <v>1.3546763767285819</v>
      </c>
      <c r="H105">
        <v>1.4834757834757835</v>
      </c>
      <c r="I105">
        <v>1.491640105127775</v>
      </c>
      <c r="J105">
        <v>1.5337334437086092</v>
      </c>
      <c r="K105">
        <v>1.5647923672479862</v>
      </c>
      <c r="L105">
        <v>1.5840869427256863</v>
      </c>
      <c r="M105">
        <v>0.77797323476363311</v>
      </c>
      <c r="N105">
        <v>0.80232153221125946</v>
      </c>
      <c r="O105">
        <v>0.80920315598396841</v>
      </c>
      <c r="P105">
        <v>0.8128268764284412</v>
      </c>
      <c r="Q105">
        <v>1.0844756872598285</v>
      </c>
      <c r="R105">
        <v>1.2260646148800087</v>
      </c>
      <c r="S105">
        <v>1.3522617514488087</v>
      </c>
      <c r="T105">
        <v>1.391877488322518</v>
      </c>
      <c r="U105">
        <v>1.4010769260783893</v>
      </c>
      <c r="V105">
        <v>1.4197567613539717</v>
      </c>
      <c r="W105">
        <v>1.435840862113013</v>
      </c>
      <c r="X105" s="31">
        <f>AVERAGE(B105:W105)</f>
        <v>1.1916913799888806</v>
      </c>
      <c r="Y105" s="31">
        <f>(_xlfn.STDEV.P(B105:W105))^2</f>
        <v>8.528307442781799E-2</v>
      </c>
    </row>
    <row r="106" spans="1:25">
      <c r="B106">
        <f>B105-$X105</f>
        <v>-0.34697953352220845</v>
      </c>
      <c r="C106">
        <f>C105-$X105</f>
        <v>-0.36436433302781257</v>
      </c>
      <c r="D106">
        <f>D105-$X105</f>
        <v>-0.32711952330561411</v>
      </c>
      <c r="E106">
        <f>E105-$X105</f>
        <v>-0.23978317345358502</v>
      </c>
      <c r="F106">
        <f>F105-$X105</f>
        <v>1.0916113261925986E-2</v>
      </c>
      <c r="G106">
        <f>G105-$X105</f>
        <v>0.16298499673970124</v>
      </c>
      <c r="H106">
        <f>H105-$X105</f>
        <v>0.29178440348690282</v>
      </c>
      <c r="I106">
        <f>I105-$X105</f>
        <v>0.29994872513889437</v>
      </c>
      <c r="J106">
        <f>J105-$X105</f>
        <v>0.34204206371972856</v>
      </c>
      <c r="K106">
        <f>K105-$X105</f>
        <v>0.37310098725910557</v>
      </c>
      <c r="L106">
        <f>L105-$X105</f>
        <v>0.39239556273680565</v>
      </c>
      <c r="M106">
        <f>M105-$X105</f>
        <v>-0.41371814522524752</v>
      </c>
      <c r="N106">
        <f>N105-$X105</f>
        <v>-0.38936984777762118</v>
      </c>
      <c r="O106">
        <f>O105-$X105</f>
        <v>-0.38248822400491223</v>
      </c>
      <c r="P106">
        <f>P105-$X105</f>
        <v>-0.37886450356043944</v>
      </c>
      <c r="Q106">
        <f>Q105-$X105</f>
        <v>-0.10721569272905218</v>
      </c>
      <c r="R106">
        <f>R105-$X105</f>
        <v>3.437323489112809E-2</v>
      </c>
      <c r="S106">
        <f>S105-$X105</f>
        <v>0.16057037145992803</v>
      </c>
      <c r="T106">
        <f>T105-$X105</f>
        <v>0.20018610833363737</v>
      </c>
      <c r="U106">
        <f>U105-$X105</f>
        <v>0.20938554608950866</v>
      </c>
      <c r="V106">
        <f>V105-$X105</f>
        <v>0.22806538136509102</v>
      </c>
      <c r="W106">
        <f>W105-$X105</f>
        <v>0.24414948212413234</v>
      </c>
    </row>
    <row r="107" spans="1:25">
      <c r="M107">
        <f>B106*M106</f>
        <v>0.14355172903992969</v>
      </c>
      <c r="N107">
        <f>C106*N106</f>
        <v>0.14187248488663384</v>
      </c>
      <c r="O107">
        <f>D106*O106</f>
        <v>0.12511936550649783</v>
      </c>
      <c r="P107">
        <f>E106*P106</f>
        <v>9.0845332972639234E-2</v>
      </c>
      <c r="Q107">
        <f>F106*Q106</f>
        <v>-1.1703786452861881E-3</v>
      </c>
      <c r="R107">
        <f>G106*R106</f>
        <v>5.6023215766634969E-3</v>
      </c>
      <c r="S107">
        <f>H106*S106</f>
        <v>4.6851930054105505E-2</v>
      </c>
      <c r="T107">
        <f>I106*T106</f>
        <v>6.0045567985191124E-2</v>
      </c>
      <c r="U107">
        <f>J106*U106</f>
        <v>7.1618664297537882E-2</v>
      </c>
      <c r="V107">
        <f>K106*V106</f>
        <v>8.5091418946939876E-2</v>
      </c>
      <c r="W107">
        <f>L106*W106</f>
        <v>9.5803173429998584E-2</v>
      </c>
      <c r="X107">
        <f>SUM(M107:W107)</f>
        <v>0.8652316100508507</v>
      </c>
      <c r="Y107">
        <f>X107/11/Y105</f>
        <v>0.92230984428341711</v>
      </c>
    </row>
    <row r="108" spans="1:25" s="33" customFormat="1">
      <c r="A108" s="33">
        <v>214</v>
      </c>
      <c r="B108">
        <v>0.84471184646667219</v>
      </c>
      <c r="C108">
        <v>0.82732704696106807</v>
      </c>
      <c r="D108">
        <v>0.86457185668326653</v>
      </c>
      <c r="E108">
        <v>0.95190820653529562</v>
      </c>
      <c r="F108">
        <v>1.2026074932508066</v>
      </c>
      <c r="G108">
        <v>1.3546763767285819</v>
      </c>
      <c r="H108">
        <v>1.4834757834757835</v>
      </c>
      <c r="I108">
        <v>1.491640105127775</v>
      </c>
      <c r="J108">
        <v>1.5337334437086092</v>
      </c>
      <c r="K108">
        <v>1.5647923672479862</v>
      </c>
      <c r="L108">
        <v>1.5840869427256863</v>
      </c>
      <c r="M108">
        <v>0.8259816394243491</v>
      </c>
      <c r="N108">
        <v>0.85617220258611226</v>
      </c>
      <c r="O108">
        <v>0.85880358966558745</v>
      </c>
      <c r="P108">
        <v>0.88361574881634686</v>
      </c>
      <c r="Q108">
        <v>1.1221713429356424</v>
      </c>
      <c r="R108">
        <v>1.2412918902888195</v>
      </c>
      <c r="S108">
        <v>1.3531801404393231</v>
      </c>
      <c r="T108">
        <v>1.3965762444034764</v>
      </c>
      <c r="U108">
        <v>1.4217729643000401</v>
      </c>
      <c r="V108">
        <v>1.4408326460357872</v>
      </c>
      <c r="W108">
        <v>1.450686319302358</v>
      </c>
      <c r="X108" s="31">
        <f>AVERAGE(B108:W108)</f>
        <v>1.2070280089595171</v>
      </c>
      <c r="Y108" s="31">
        <f>(_xlfn.STDEV.P(B108:W108))^2</f>
        <v>7.8814784501624699E-2</v>
      </c>
    </row>
    <row r="109" spans="1:25" s="34" customFormat="1">
      <c r="B109">
        <f>B108-$X108</f>
        <v>-0.36231616249284493</v>
      </c>
      <c r="C109">
        <f>C108-$X108</f>
        <v>-0.37970096199844905</v>
      </c>
      <c r="D109">
        <f>D108-$X108</f>
        <v>-0.34245615227625059</v>
      </c>
      <c r="E109">
        <f>E108-$X108</f>
        <v>-0.2551198024242215</v>
      </c>
      <c r="F109">
        <f>F108-$X108</f>
        <v>-4.4205157087104929E-3</v>
      </c>
      <c r="G109">
        <f>G108-$X108</f>
        <v>0.14764836776906476</v>
      </c>
      <c r="H109">
        <f>H108-$X108</f>
        <v>0.27644777451626634</v>
      </c>
      <c r="I109">
        <f>I108-$X108</f>
        <v>0.28461209616825789</v>
      </c>
      <c r="J109">
        <f>J108-$X108</f>
        <v>0.32670543474909208</v>
      </c>
      <c r="K109">
        <f>K108-$X108</f>
        <v>0.35776435828846909</v>
      </c>
      <c r="L109">
        <f>L108-$X108</f>
        <v>0.37705893376616917</v>
      </c>
      <c r="M109">
        <f>M108-$X108</f>
        <v>-0.38104636953516802</v>
      </c>
      <c r="N109">
        <f>N108-$X108</f>
        <v>-0.35085580637340485</v>
      </c>
      <c r="O109">
        <f>O108-$X108</f>
        <v>-0.34822441929392967</v>
      </c>
      <c r="P109">
        <f>P108-$X108</f>
        <v>-0.32341226014317026</v>
      </c>
      <c r="Q109">
        <f>Q108-$X108</f>
        <v>-8.4856666023874761E-2</v>
      </c>
      <c r="R109">
        <f>R108-$X108</f>
        <v>3.4263881329302359E-2</v>
      </c>
      <c r="S109">
        <f>S108-$X108</f>
        <v>0.14615213147980599</v>
      </c>
      <c r="T109">
        <f>T108-$X108</f>
        <v>0.18954823544395927</v>
      </c>
      <c r="U109">
        <f>U108-$X108</f>
        <v>0.21474495534052296</v>
      </c>
      <c r="V109">
        <f>V108-$X108</f>
        <v>0.23380463707627008</v>
      </c>
      <c r="W109">
        <f>W108-$X108</f>
        <v>0.24365831034284091</v>
      </c>
      <c r="X109"/>
      <c r="Y109"/>
    </row>
    <row r="110" spans="1:25" s="34" customFormat="1">
      <c r="B110"/>
      <c r="C110"/>
      <c r="D110"/>
      <c r="E110"/>
      <c r="F110"/>
      <c r="G110"/>
      <c r="H110"/>
      <c r="I110"/>
      <c r="J110"/>
      <c r="K110"/>
      <c r="L110"/>
      <c r="M110">
        <f>B109*M109</f>
        <v>0.13805925834181257</v>
      </c>
      <c r="N110">
        <f>C109*N109</f>
        <v>0.13322028720272339</v>
      </c>
      <c r="O110">
        <f>D109*O109</f>
        <v>0.11925159476003092</v>
      </c>
      <c r="P110">
        <f>E109*P109</f>
        <v>8.2508871909296524E-2</v>
      </c>
      <c r="Q110">
        <f>F109*Q109</f>
        <v>3.7511022514733833E-4</v>
      </c>
      <c r="R110">
        <f>G109*R109</f>
        <v>5.0590061517044264E-3</v>
      </c>
      <c r="S110">
        <f>H109*S109</f>
        <v>4.0403431488401122E-2</v>
      </c>
      <c r="T110">
        <f>I109*T109</f>
        <v>5.3947720614699726E-2</v>
      </c>
      <c r="U110">
        <f>J109*U109</f>
        <v>7.0158343994699918E-2</v>
      </c>
      <c r="V110">
        <f>K109*V109</f>
        <v>8.3646965948460175E-2</v>
      </c>
      <c r="W110">
        <f>L109*W109</f>
        <v>9.1873542701137942E-2</v>
      </c>
      <c r="X110">
        <f>SUM(M110:W110)</f>
        <v>0.818504133338114</v>
      </c>
      <c r="Y110">
        <f>X110/11/Y108</f>
        <v>0.94410543830856231</v>
      </c>
    </row>
    <row r="111" spans="1:25" s="29" customFormat="1">
      <c r="A111" s="29">
        <v>218</v>
      </c>
      <c r="B111">
        <v>0.84471184646667219</v>
      </c>
      <c r="C111">
        <v>0.82732704696106807</v>
      </c>
      <c r="D111">
        <v>0.86457185668326653</v>
      </c>
      <c r="E111">
        <v>0.95190820653529562</v>
      </c>
      <c r="F111">
        <v>1.2026074932508066</v>
      </c>
      <c r="G111">
        <v>1.3546763767285819</v>
      </c>
      <c r="H111">
        <v>1.4834757834757835</v>
      </c>
      <c r="I111">
        <v>1.491640105127775</v>
      </c>
      <c r="J111">
        <v>1.5337334437086092</v>
      </c>
      <c r="K111">
        <v>1.5647923672479862</v>
      </c>
      <c r="L111">
        <v>1.5840869427256863</v>
      </c>
      <c r="M111">
        <v>0.9308460979910792</v>
      </c>
      <c r="N111">
        <v>0.96912284503189283</v>
      </c>
      <c r="O111">
        <v>0.96026631330596945</v>
      </c>
      <c r="P111">
        <v>0.99496722930831849</v>
      </c>
      <c r="Q111">
        <v>1.1888329383886256</v>
      </c>
      <c r="R111">
        <v>1.2824470963515708</v>
      </c>
      <c r="S111">
        <v>1.3730378879352543</v>
      </c>
      <c r="T111">
        <v>1.4021843479995511</v>
      </c>
      <c r="U111">
        <v>1.4149671252891758</v>
      </c>
      <c r="V111">
        <v>1.4236492046077893</v>
      </c>
      <c r="W111">
        <v>1.4278472392986172</v>
      </c>
      <c r="X111" s="31">
        <f>AVERAGE(B111:W111)</f>
        <v>1.2305318088372443</v>
      </c>
      <c r="Y111" s="31">
        <f>(_xlfn.STDEV.P(B111:W111))^2</f>
        <v>6.5960558574521599E-2</v>
      </c>
    </row>
    <row r="112" spans="1:25">
      <c r="B112">
        <f>B111-$X111</f>
        <v>-0.38581996237057214</v>
      </c>
      <c r="C112">
        <f>C111-$X111</f>
        <v>-0.40320476187617627</v>
      </c>
      <c r="D112">
        <f>D111-$X111</f>
        <v>-0.36595995215397781</v>
      </c>
      <c r="E112">
        <f>E111-$X111</f>
        <v>-0.27862360230194871</v>
      </c>
      <c r="F112">
        <f>F111-$X111</f>
        <v>-2.7924315586437709E-2</v>
      </c>
      <c r="G112">
        <f>G111-$X111</f>
        <v>0.12414456789133754</v>
      </c>
      <c r="H112">
        <f>H111-$X111</f>
        <v>0.25294397463853913</v>
      </c>
      <c r="I112">
        <f>I111-$X111</f>
        <v>0.26110829629053067</v>
      </c>
      <c r="J112">
        <f>J111-$X111</f>
        <v>0.30320163487136487</v>
      </c>
      <c r="K112">
        <f>K111-$X111</f>
        <v>0.33426055841074187</v>
      </c>
      <c r="L112">
        <f>L111-$X111</f>
        <v>0.35355513388844195</v>
      </c>
      <c r="M112">
        <f>M111-$X111</f>
        <v>-0.29968571084616513</v>
      </c>
      <c r="N112">
        <f>N111-$X111</f>
        <v>-0.2614089638053515</v>
      </c>
      <c r="O112">
        <f>O111-$X111</f>
        <v>-0.27026549553127488</v>
      </c>
      <c r="P112">
        <f>P111-$X111</f>
        <v>-0.23556457952892584</v>
      </c>
      <c r="Q112">
        <f>Q111-$X111</f>
        <v>-4.1698870448618752E-2</v>
      </c>
      <c r="R112">
        <f>R111-$X111</f>
        <v>5.1915287514326502E-2</v>
      </c>
      <c r="S112">
        <f>S111-$X111</f>
        <v>0.14250607909800994</v>
      </c>
      <c r="T112">
        <f>T111-$X111</f>
        <v>0.17165253916230672</v>
      </c>
      <c r="U112">
        <f>U111-$X111</f>
        <v>0.18443531645193145</v>
      </c>
      <c r="V112">
        <f>V111-$X111</f>
        <v>0.19311739577054499</v>
      </c>
      <c r="W112">
        <f>W111-$X111</f>
        <v>0.1973154304613729</v>
      </c>
    </row>
    <row r="113" spans="1:25">
      <c r="M113">
        <f>B112*M112</f>
        <v>0.11562472968166559</v>
      </c>
      <c r="N113">
        <f>C112*N112</f>
        <v>0.10540133900343474</v>
      </c>
      <c r="O113">
        <f>D112*O112</f>
        <v>9.8906347813496456E-2</v>
      </c>
      <c r="P113">
        <f>E112*P112</f>
        <v>6.5633851723093203E-2</v>
      </c>
      <c r="Q113">
        <f>F112*Q112</f>
        <v>1.1644124180052115E-3</v>
      </c>
      <c r="R113">
        <f>G112*R112</f>
        <v>6.4450009354206144E-3</v>
      </c>
      <c r="S113">
        <f>H112*S112</f>
        <v>3.6046054057204679E-2</v>
      </c>
      <c r="T113">
        <f>I112*T112</f>
        <v>4.4819902054613503E-2</v>
      </c>
      <c r="U113">
        <f>J112*U112</f>
        <v>5.5921089476243156E-2</v>
      </c>
      <c r="V113">
        <f>K112*V112</f>
        <v>6.4551528549090603E-2</v>
      </c>
      <c r="W113">
        <f>L112*W112</f>
        <v>6.9761883435026248E-2</v>
      </c>
      <c r="X113">
        <f>SUM(M113:W113)</f>
        <v>0.664276139147294</v>
      </c>
      <c r="Y113">
        <f>X113/11/Y111</f>
        <v>0.91552802504324859</v>
      </c>
    </row>
    <row r="114" spans="1:25" s="33" customFormat="1">
      <c r="A114" s="33">
        <v>610</v>
      </c>
      <c r="B114">
        <v>0.802804037970133</v>
      </c>
      <c r="C114">
        <v>0.83206670538455152</v>
      </c>
      <c r="D114">
        <v>0.84473152172182686</v>
      </c>
      <c r="E114">
        <v>0.86730255227713438</v>
      </c>
      <c r="F114">
        <v>1.1019389518141678</v>
      </c>
      <c r="G114">
        <v>1.2387481914990681</v>
      </c>
      <c r="H114">
        <v>1.3549749915019667</v>
      </c>
      <c r="I114">
        <v>1.4028296218066607</v>
      </c>
      <c r="J114">
        <v>1.4015290728011072</v>
      </c>
      <c r="K114">
        <v>1.3885409079873756</v>
      </c>
      <c r="L114">
        <v>1.4244663172695897</v>
      </c>
      <c r="M114">
        <v>0.77797323476363311</v>
      </c>
      <c r="N114">
        <v>0.80232153221125946</v>
      </c>
      <c r="O114">
        <v>0.80920315598396841</v>
      </c>
      <c r="P114">
        <v>0.8128268764284412</v>
      </c>
      <c r="Q114">
        <v>1.0844756872598285</v>
      </c>
      <c r="R114">
        <v>1.2260646148800087</v>
      </c>
      <c r="S114">
        <v>1.3522617514488087</v>
      </c>
      <c r="T114">
        <v>1.391877488322518</v>
      </c>
      <c r="U114">
        <v>1.4010769260783893</v>
      </c>
      <c r="V114">
        <v>1.4197567613539717</v>
      </c>
      <c r="W114">
        <v>1.435840862113013</v>
      </c>
      <c r="X114" s="31">
        <f>AVERAGE(B114:W114)</f>
        <v>1.1442550801307918</v>
      </c>
      <c r="Y114" s="31">
        <f>(_xlfn.STDEV.P(B114:W114))^2</f>
        <v>6.9170493134193031E-2</v>
      </c>
    </row>
    <row r="115" spans="1:25" s="34" customFormat="1">
      <c r="B115">
        <f>B114-$X114</f>
        <v>-0.3414510421606588</v>
      </c>
      <c r="C115">
        <f>C114-$X114</f>
        <v>-0.31218837474624028</v>
      </c>
      <c r="D115">
        <f>D114-$X114</f>
        <v>-0.29952355840896494</v>
      </c>
      <c r="E115">
        <f>E114-$X114</f>
        <v>-0.27695252785365743</v>
      </c>
      <c r="F115">
        <f>F114-$X114</f>
        <v>-4.2316128316624013E-2</v>
      </c>
      <c r="G115">
        <f>G114-$X114</f>
        <v>9.4493111368276317E-2</v>
      </c>
      <c r="H115">
        <f>H114-$X114</f>
        <v>0.21071991137117485</v>
      </c>
      <c r="I115">
        <f>I114-$X114</f>
        <v>0.25857454167586891</v>
      </c>
      <c r="J115">
        <f>J114-$X114</f>
        <v>0.25727399267031537</v>
      </c>
      <c r="K115">
        <f>K114-$X114</f>
        <v>0.24428582785658381</v>
      </c>
      <c r="L115">
        <f>L114-$X114</f>
        <v>0.28021123713879792</v>
      </c>
      <c r="M115">
        <f>M114-$X114</f>
        <v>-0.36628184536715869</v>
      </c>
      <c r="N115">
        <f>N114-$X114</f>
        <v>-0.34193354791953234</v>
      </c>
      <c r="O115">
        <f>O114-$X114</f>
        <v>-0.33505192414682339</v>
      </c>
      <c r="P115">
        <f>P114-$X114</f>
        <v>-0.3314282037023506</v>
      </c>
      <c r="Q115">
        <f>Q114-$X114</f>
        <v>-5.9779392870963344E-2</v>
      </c>
      <c r="R115">
        <f>R114-$X114</f>
        <v>8.1809534749216928E-2</v>
      </c>
      <c r="S115">
        <f>S114-$X114</f>
        <v>0.20800667131801687</v>
      </c>
      <c r="T115">
        <f>T114-$X114</f>
        <v>0.24762240819172621</v>
      </c>
      <c r="U115">
        <f>U114-$X114</f>
        <v>0.25682184594759749</v>
      </c>
      <c r="V115">
        <f>V114-$X114</f>
        <v>0.27550168122317986</v>
      </c>
      <c r="W115">
        <f>W114-$X114</f>
        <v>0.29158578198222118</v>
      </c>
      <c r="X115"/>
      <c r="Y115"/>
    </row>
    <row r="116" spans="1:25" s="34" customFormat="1">
      <c r="B116"/>
      <c r="C116"/>
      <c r="D116"/>
      <c r="E116"/>
      <c r="F116"/>
      <c r="G116"/>
      <c r="H116"/>
      <c r="I116"/>
      <c r="J116"/>
      <c r="K116"/>
      <c r="L116"/>
      <c r="M116">
        <f>B115*M115</f>
        <v>0.1250673178251456</v>
      </c>
      <c r="N116">
        <f>C115*N115</f>
        <v>0.10674767859621448</v>
      </c>
      <c r="O116">
        <f>D115*O115</f>
        <v>0.10035594457222714</v>
      </c>
      <c r="P116">
        <f>E115*P115</f>
        <v>9.1789878817362905E-2</v>
      </c>
      <c r="Q116">
        <f>F115*Q115</f>
        <v>2.5296324594175634E-3</v>
      </c>
      <c r="R116">
        <f>G115*R115</f>
        <v>7.7304374780446262E-3</v>
      </c>
      <c r="S116">
        <f>H115*S115</f>
        <v>4.3831147344745615E-2</v>
      </c>
      <c r="T116">
        <f>I115*T115</f>
        <v>6.4028850706850535E-2</v>
      </c>
      <c r="U116">
        <f>J115*U115</f>
        <v>6.607358171189906E-2</v>
      </c>
      <c r="V116">
        <f>K115*V115</f>
        <v>6.7301156273485152E-2</v>
      </c>
      <c r="W116">
        <f>L115*W115</f>
        <v>8.1705612701322011E-2</v>
      </c>
      <c r="X116">
        <f>SUM(M116:W116)</f>
        <v>0.75716123848671479</v>
      </c>
      <c r="Y116">
        <f>X116/11/Y114</f>
        <v>0.99511853600480549</v>
      </c>
    </row>
    <row r="117" spans="1:25" s="29" customFormat="1">
      <c r="A117" s="29">
        <v>614</v>
      </c>
      <c r="B117">
        <v>0.802804037970133</v>
      </c>
      <c r="C117">
        <v>0.83206670538455152</v>
      </c>
      <c r="D117">
        <v>0.84473152172182686</v>
      </c>
      <c r="E117">
        <v>0.86730255227713438</v>
      </c>
      <c r="F117">
        <v>1.1019389518141678</v>
      </c>
      <c r="G117">
        <v>1.2387481914990681</v>
      </c>
      <c r="H117">
        <v>1.3549749915019667</v>
      </c>
      <c r="I117">
        <v>1.4028296218066607</v>
      </c>
      <c r="J117">
        <v>1.4015290728011072</v>
      </c>
      <c r="K117">
        <v>1.3885409079873756</v>
      </c>
      <c r="L117">
        <v>1.4244663172695897</v>
      </c>
      <c r="M117">
        <v>0.8259816394243491</v>
      </c>
      <c r="N117">
        <v>0.85617220258611226</v>
      </c>
      <c r="O117">
        <v>0.85880358966558745</v>
      </c>
      <c r="P117">
        <v>0.88361574881634686</v>
      </c>
      <c r="Q117">
        <v>1.1221713429356424</v>
      </c>
      <c r="R117">
        <v>1.2412918902888195</v>
      </c>
      <c r="S117">
        <v>1.3531801404393231</v>
      </c>
      <c r="T117">
        <v>1.3965762444034764</v>
      </c>
      <c r="U117">
        <v>1.4217729643000401</v>
      </c>
      <c r="V117">
        <v>1.4408326460357872</v>
      </c>
      <c r="W117">
        <v>1.450686319302358</v>
      </c>
      <c r="X117" s="31">
        <f>AVERAGE(B117:W117)</f>
        <v>1.1595917091014285</v>
      </c>
      <c r="Y117" s="31">
        <f>(_xlfn.STDEV.P(B117:W117))^2</f>
        <v>6.4157229069325777E-2</v>
      </c>
    </row>
    <row r="118" spans="1:25">
      <c r="B118">
        <f>B117-$X117</f>
        <v>-0.3567876711312955</v>
      </c>
      <c r="C118">
        <f>C117-$X117</f>
        <v>-0.32752500371687698</v>
      </c>
      <c r="D118">
        <f>D117-$X117</f>
        <v>-0.31486018737960164</v>
      </c>
      <c r="E118">
        <f>E117-$X117</f>
        <v>-0.29228915682429413</v>
      </c>
      <c r="F118">
        <f>F117-$X117</f>
        <v>-5.7652757287260714E-2</v>
      </c>
      <c r="G118">
        <f>G117-$X117</f>
        <v>7.9156482397639616E-2</v>
      </c>
      <c r="H118">
        <f>H117-$X117</f>
        <v>0.19538328240053815</v>
      </c>
      <c r="I118">
        <f>I117-$X117</f>
        <v>0.24323791270523221</v>
      </c>
      <c r="J118">
        <f>J117-$X117</f>
        <v>0.24193736369967866</v>
      </c>
      <c r="K118">
        <f>K117-$X117</f>
        <v>0.22894919888594711</v>
      </c>
      <c r="L118">
        <f>L117-$X117</f>
        <v>0.26487460816816122</v>
      </c>
      <c r="M118">
        <f>M117-$X117</f>
        <v>-0.3336100696770794</v>
      </c>
      <c r="N118">
        <f>N117-$X117</f>
        <v>-0.30341950651531624</v>
      </c>
      <c r="O118">
        <f>O117-$X117</f>
        <v>-0.30078811943584105</v>
      </c>
      <c r="P118">
        <f>P117-$X117</f>
        <v>-0.27597596028508165</v>
      </c>
      <c r="Q118">
        <f>Q117-$X117</f>
        <v>-3.7420366165786145E-2</v>
      </c>
      <c r="R118">
        <f>R117-$X117</f>
        <v>8.1700181187390974E-2</v>
      </c>
      <c r="S118">
        <f>S117-$X117</f>
        <v>0.19358843133789461</v>
      </c>
      <c r="T118">
        <f>T117-$X117</f>
        <v>0.23698453530204788</v>
      </c>
      <c r="U118">
        <f>U117-$X117</f>
        <v>0.26218125519861157</v>
      </c>
      <c r="V118">
        <f>V117-$X117</f>
        <v>0.2812409369343587</v>
      </c>
      <c r="W118">
        <f>W117-$X117</f>
        <v>0.29109461020092953</v>
      </c>
    </row>
    <row r="119" spans="1:25">
      <c r="M119">
        <f>B118*M118</f>
        <v>0.11902795982603438</v>
      </c>
      <c r="N119">
        <f>C118*N118</f>
        <v>9.9377474999201937E-2</v>
      </c>
      <c r="O119">
        <f>D118*O118</f>
        <v>9.470620364712691E-2</v>
      </c>
      <c r="P119">
        <f>E118*P118</f>
        <v>8.0664780735501401E-2</v>
      </c>
      <c r="Q119">
        <f>F118*Q118</f>
        <v>2.1573872881564915E-3</v>
      </c>
      <c r="R119">
        <f>G118*R118</f>
        <v>6.467098954043681E-3</v>
      </c>
      <c r="S119">
        <f>H118*S118</f>
        <v>3.782394314956905E-2</v>
      </c>
      <c r="T119">
        <f>I118*T118</f>
        <v>5.764362371028954E-2</v>
      </c>
      <c r="U119">
        <f>J118*U118</f>
        <v>6.3431441694224752E-2</v>
      </c>
      <c r="V119">
        <f>K118*V118</f>
        <v>6.4389887205054605E-2</v>
      </c>
      <c r="W119">
        <f>L118*W118</f>
        <v>7.7103570816834832E-2</v>
      </c>
      <c r="X119">
        <f>SUM(M119:W119)</f>
        <v>0.70279337202603753</v>
      </c>
      <c r="Y119">
        <f>X119/11/Y117</f>
        <v>0.99583955658035417</v>
      </c>
    </row>
    <row r="120" spans="1:25" s="33" customFormat="1">
      <c r="A120" s="33">
        <v>618</v>
      </c>
      <c r="B120">
        <v>0.802804037970133</v>
      </c>
      <c r="C120">
        <v>0.83206670538455152</v>
      </c>
      <c r="D120">
        <v>0.84473152172182686</v>
      </c>
      <c r="E120">
        <v>0.86730255227713438</v>
      </c>
      <c r="F120">
        <v>1.1019389518141678</v>
      </c>
      <c r="G120">
        <v>1.2387481914990681</v>
      </c>
      <c r="H120">
        <v>1.3549749915019667</v>
      </c>
      <c r="I120">
        <v>1.4028296218066607</v>
      </c>
      <c r="J120">
        <v>1.4015290728011072</v>
      </c>
      <c r="K120">
        <v>1.3885409079873756</v>
      </c>
      <c r="L120">
        <v>1.4244663172695897</v>
      </c>
      <c r="M120">
        <v>0.9308460979910792</v>
      </c>
      <c r="N120">
        <v>0.96912284503189283</v>
      </c>
      <c r="O120">
        <v>0.96026631330596945</v>
      </c>
      <c r="P120">
        <v>0.99496722930831849</v>
      </c>
      <c r="Q120">
        <v>1.1888329383886256</v>
      </c>
      <c r="R120">
        <v>1.2824470963515708</v>
      </c>
      <c r="S120">
        <v>1.3730378879352543</v>
      </c>
      <c r="T120">
        <v>1.4021843479995511</v>
      </c>
      <c r="U120">
        <v>1.4149671252891758</v>
      </c>
      <c r="V120">
        <v>1.4236492046077893</v>
      </c>
      <c r="W120">
        <v>1.4278472392986172</v>
      </c>
      <c r="X120" s="31">
        <f>AVERAGE(B120:W120)</f>
        <v>1.1830955089791557</v>
      </c>
      <c r="Y120" s="31">
        <f>(_xlfn.STDEV.P(B120:W120))^2</f>
        <v>5.3532869739831734E-2</v>
      </c>
    </row>
    <row r="121" spans="1:25" s="34" customFormat="1">
      <c r="B121">
        <f>B120-$X120</f>
        <v>-0.38029147100902272</v>
      </c>
      <c r="C121">
        <f>C120-$X120</f>
        <v>-0.3510288035946042</v>
      </c>
      <c r="D121">
        <f>D120-$X120</f>
        <v>-0.33836398725732886</v>
      </c>
      <c r="E121">
        <f>E120-$X120</f>
        <v>-0.31579295670202134</v>
      </c>
      <c r="F121">
        <f>F120-$X120</f>
        <v>-8.115655716498793E-2</v>
      </c>
      <c r="G121">
        <f>G120-$X120</f>
        <v>5.56526825199124E-2</v>
      </c>
      <c r="H121">
        <f>H120-$X120</f>
        <v>0.17187948252281093</v>
      </c>
      <c r="I121">
        <f>I120-$X120</f>
        <v>0.21973411282750499</v>
      </c>
      <c r="J121">
        <f>J120-$X120</f>
        <v>0.21843356382195145</v>
      </c>
      <c r="K121">
        <f>K120-$X120</f>
        <v>0.2054453990082199</v>
      </c>
      <c r="L121">
        <f>L120-$X120</f>
        <v>0.241370808290434</v>
      </c>
      <c r="M121">
        <f>M120-$X120</f>
        <v>-0.25224941098807652</v>
      </c>
      <c r="N121">
        <f>N120-$X120</f>
        <v>-0.21397266394726289</v>
      </c>
      <c r="O121">
        <f>O120-$X120</f>
        <v>-0.22282919567318626</v>
      </c>
      <c r="P121">
        <f>P120-$X120</f>
        <v>-0.18812827967083723</v>
      </c>
      <c r="Q121">
        <f>Q120-$X120</f>
        <v>5.737429409469863E-3</v>
      </c>
      <c r="R121">
        <f>R120-$X120</f>
        <v>9.9351587372415118E-2</v>
      </c>
      <c r="S121">
        <f>S120-$X120</f>
        <v>0.18994237895609856</v>
      </c>
      <c r="T121">
        <f>T120-$X120</f>
        <v>0.21908883902039533</v>
      </c>
      <c r="U121">
        <f>U120-$X120</f>
        <v>0.23187161631002007</v>
      </c>
      <c r="V121">
        <f>V120-$X120</f>
        <v>0.2405536956286336</v>
      </c>
      <c r="W121">
        <f>W120-$X120</f>
        <v>0.24475173031946151</v>
      </c>
      <c r="X121"/>
      <c r="Y121"/>
    </row>
    <row r="122" spans="1:25" s="34" customFormat="1">
      <c r="B122"/>
      <c r="C122"/>
      <c r="D122"/>
      <c r="E122"/>
      <c r="F122"/>
      <c r="G122"/>
      <c r="H122"/>
      <c r="I122"/>
      <c r="J122"/>
      <c r="K122"/>
      <c r="L122"/>
      <c r="M122">
        <f>B121*M121</f>
        <v>9.5928299565815153E-2</v>
      </c>
      <c r="N122">
        <f>C121*N121</f>
        <v>7.5110568227357996E-2</v>
      </c>
      <c r="O122">
        <f>D121*O121</f>
        <v>7.5397375125322838E-2</v>
      </c>
      <c r="P122">
        <f>E121*P121</f>
        <v>5.940958567651846E-2</v>
      </c>
      <c r="Q122">
        <f>F121*Q121</f>
        <v>-4.656300178497239E-4</v>
      </c>
      <c r="R122">
        <f>G121*R121</f>
        <v>5.5291823498863565E-3</v>
      </c>
      <c r="S122">
        <f>H121*S121</f>
        <v>3.2647197804125873E-2</v>
      </c>
      <c r="T122">
        <f>I121*T121</f>
        <v>4.8141291672554626E-2</v>
      </c>
      <c r="U122">
        <f>J121*U121</f>
        <v>5.0648543499753805E-2</v>
      </c>
      <c r="V122">
        <f>K121*V121</f>
        <v>4.942064998132651E-2</v>
      </c>
      <c r="W122">
        <f>L121*W121</f>
        <v>5.9075922977690751E-2</v>
      </c>
      <c r="X122">
        <f>SUM(M122:W122)</f>
        <v>0.55084298686250266</v>
      </c>
      <c r="Y122">
        <f>X122/11/Y120</f>
        <v>0.93543715128087623</v>
      </c>
    </row>
    <row r="123" spans="1:25" s="29" customFormat="1">
      <c r="A123" s="29">
        <v>1014</v>
      </c>
      <c r="B123">
        <v>0.77797323476363311</v>
      </c>
      <c r="C123">
        <v>0.80232153221125946</v>
      </c>
      <c r="D123">
        <v>0.80920315598396841</v>
      </c>
      <c r="E123">
        <v>0.8128268764284412</v>
      </c>
      <c r="F123">
        <v>1.0844756872598285</v>
      </c>
      <c r="G123">
        <v>1.2260646148800087</v>
      </c>
      <c r="H123">
        <v>1.3522617514488087</v>
      </c>
      <c r="I123">
        <v>1.391877488322518</v>
      </c>
      <c r="J123">
        <v>1.4010769260783893</v>
      </c>
      <c r="K123">
        <v>1.4197567613539717</v>
      </c>
      <c r="L123">
        <v>1.435840862113013</v>
      </c>
      <c r="M123">
        <v>0.8259816394243491</v>
      </c>
      <c r="N123">
        <v>0.85617220258611226</v>
      </c>
      <c r="O123">
        <v>0.85880358966558745</v>
      </c>
      <c r="P123">
        <v>0.88361574881634686</v>
      </c>
      <c r="Q123">
        <v>1.1221713429356424</v>
      </c>
      <c r="R123">
        <v>1.2412918902888195</v>
      </c>
      <c r="S123">
        <v>1.3531801404393231</v>
      </c>
      <c r="T123">
        <v>1.3965762444034764</v>
      </c>
      <c r="U123">
        <v>1.4217729643000401</v>
      </c>
      <c r="V123">
        <v>1.4408326460357872</v>
      </c>
      <c r="W123">
        <v>1.450686319302358</v>
      </c>
      <c r="X123" s="31">
        <f>AVERAGE(B123:W123)</f>
        <v>1.1529438008655311</v>
      </c>
      <c r="Y123" s="31">
        <f>(_xlfn.STDEV.P(B123:W123))^2</f>
        <v>6.9229754330633275E-2</v>
      </c>
    </row>
    <row r="124" spans="1:25">
      <c r="B124">
        <f>B123-$X123</f>
        <v>-0.37497056610189794</v>
      </c>
      <c r="C124">
        <f>C123-$X123</f>
        <v>-0.3506222686542716</v>
      </c>
      <c r="D124">
        <f>D123-$X123</f>
        <v>-0.34374064488156264</v>
      </c>
      <c r="E124">
        <f>E123-$X123</f>
        <v>-0.34011692443708985</v>
      </c>
      <c r="F124">
        <f>F123-$X123</f>
        <v>-6.8468113605702596E-2</v>
      </c>
      <c r="G124">
        <f>G123-$X123</f>
        <v>7.3120814014477675E-2</v>
      </c>
      <c r="H124">
        <f>H123-$X123</f>
        <v>0.19931795058327761</v>
      </c>
      <c r="I124">
        <f>I123-$X123</f>
        <v>0.23893368745698695</v>
      </c>
      <c r="J124">
        <f>J123-$X123</f>
        <v>0.24813312521285824</v>
      </c>
      <c r="K124">
        <f>K123-$X123</f>
        <v>0.26681296048844061</v>
      </c>
      <c r="L124">
        <f>L123-$X123</f>
        <v>0.28289706124748193</v>
      </c>
      <c r="M124">
        <f>M123-$X123</f>
        <v>-0.32696216144118195</v>
      </c>
      <c r="N124">
        <f>N123-$X123</f>
        <v>-0.29677159827941879</v>
      </c>
      <c r="O124">
        <f>O123-$X123</f>
        <v>-0.2941402111999436</v>
      </c>
      <c r="P124">
        <f>P123-$X123</f>
        <v>-0.2693280520491842</v>
      </c>
      <c r="Q124">
        <f>Q123-$X123</f>
        <v>-3.0772457929888697E-2</v>
      </c>
      <c r="R124">
        <f>R123-$X123</f>
        <v>8.8348089423288423E-2</v>
      </c>
      <c r="S124">
        <f>S123-$X123</f>
        <v>0.20023633957379205</v>
      </c>
      <c r="T124">
        <f>T123-$X123</f>
        <v>0.24363244353794533</v>
      </c>
      <c r="U124">
        <f>U123-$X123</f>
        <v>0.26882916343450902</v>
      </c>
      <c r="V124">
        <f>V123-$X123</f>
        <v>0.28788884517025615</v>
      </c>
      <c r="W124">
        <f>W123-$X123</f>
        <v>0.29774251843682698</v>
      </c>
    </row>
    <row r="125" spans="1:25">
      <c r="M125">
        <f>B124*M124</f>
        <v>0.12260118676950015</v>
      </c>
      <c r="N125">
        <f>C124*N124</f>
        <v>0.10405473106088395</v>
      </c>
      <c r="O125">
        <f>D124*O124</f>
        <v>0.10110794588346765</v>
      </c>
      <c r="P125">
        <f>E124*P124</f>
        <v>9.1603028727600982E-2</v>
      </c>
      <c r="Q125">
        <f>F124*Q124</f>
        <v>2.106932145470323E-3</v>
      </c>
      <c r="R125">
        <f>G124*R124</f>
        <v>6.4600842152547147E-3</v>
      </c>
      <c r="S125">
        <f>H124*S124</f>
        <v>3.9910696836145482E-2</v>
      </c>
      <c r="T125">
        <f>I124*T124</f>
        <v>5.8211998118677451E-2</v>
      </c>
      <c r="U125">
        <f>J124*U124</f>
        <v>6.6705420471362964E-2</v>
      </c>
      <c r="V125">
        <f>K124*V124</f>
        <v>7.6812475071474345E-2</v>
      </c>
      <c r="W125">
        <f>L124*W124</f>
        <v>8.4230483474202561E-2</v>
      </c>
      <c r="X125">
        <f>SUM(M125:W125)</f>
        <v>0.75380498277404073</v>
      </c>
      <c r="Y125">
        <f>X125/11/Y123</f>
        <v>0.98985943788635311</v>
      </c>
    </row>
    <row r="126" spans="1:25" s="33" customFormat="1">
      <c r="A126" s="33">
        <v>1018</v>
      </c>
      <c r="B126">
        <v>0.77797323476363311</v>
      </c>
      <c r="C126">
        <v>0.80232153221125946</v>
      </c>
      <c r="D126">
        <v>0.80920315598396841</v>
      </c>
      <c r="E126">
        <v>0.8128268764284412</v>
      </c>
      <c r="F126">
        <v>1.0844756872598285</v>
      </c>
      <c r="G126">
        <v>1.2260646148800087</v>
      </c>
      <c r="H126">
        <v>1.3522617514488087</v>
      </c>
      <c r="I126">
        <v>1.391877488322518</v>
      </c>
      <c r="J126">
        <v>1.4010769260783893</v>
      </c>
      <c r="K126">
        <v>1.4197567613539717</v>
      </c>
      <c r="L126">
        <v>1.435840862113013</v>
      </c>
      <c r="M126">
        <v>0.9308460979910792</v>
      </c>
      <c r="N126">
        <v>0.96912284503189283</v>
      </c>
      <c r="O126">
        <v>0.96026631330596945</v>
      </c>
      <c r="P126">
        <v>0.99496722930831849</v>
      </c>
      <c r="Q126">
        <v>1.1888329383886256</v>
      </c>
      <c r="R126">
        <v>1.2824470963515708</v>
      </c>
      <c r="S126">
        <v>1.3730378879352543</v>
      </c>
      <c r="T126">
        <v>1.4021843479995511</v>
      </c>
      <c r="U126">
        <v>1.4149671252891758</v>
      </c>
      <c r="V126">
        <v>1.4236492046077893</v>
      </c>
      <c r="W126">
        <v>1.4278472392986172</v>
      </c>
      <c r="X126" s="31">
        <f>AVERAGE(B126:W126)</f>
        <v>1.1764476007432583</v>
      </c>
      <c r="Y126" s="31">
        <f>(_xlfn.STDEV.P(B126:W126))^2</f>
        <v>5.8917897210702834E-2</v>
      </c>
    </row>
    <row r="127" spans="1:25" s="34" customFormat="1">
      <c r="B127">
        <f>B126-$X126</f>
        <v>-0.39847436597962516</v>
      </c>
      <c r="C127">
        <f>C126-$X126</f>
        <v>-0.37412606853199881</v>
      </c>
      <c r="D127">
        <f>D126-$X126</f>
        <v>-0.36724444475928986</v>
      </c>
      <c r="E127">
        <f>E126-$X126</f>
        <v>-0.36362072431481707</v>
      </c>
      <c r="F127">
        <f>F126-$X126</f>
        <v>-9.1971913483429812E-2</v>
      </c>
      <c r="G127">
        <f>G126-$X126</f>
        <v>4.9617014136750459E-2</v>
      </c>
      <c r="H127">
        <f>H126-$X126</f>
        <v>0.1758141507055504</v>
      </c>
      <c r="I127">
        <f>I126-$X126</f>
        <v>0.21542988757925974</v>
      </c>
      <c r="J127">
        <f>J126-$X126</f>
        <v>0.22462932533513102</v>
      </c>
      <c r="K127">
        <f>K126-$X126</f>
        <v>0.24330916061071339</v>
      </c>
      <c r="L127">
        <f>L126-$X126</f>
        <v>0.25939326136975471</v>
      </c>
      <c r="M127">
        <f>M126-$X126</f>
        <v>-0.24560150275217907</v>
      </c>
      <c r="N127">
        <f>N126-$X126</f>
        <v>-0.20732475571136544</v>
      </c>
      <c r="O127">
        <f>O126-$X126</f>
        <v>-0.21618128743728882</v>
      </c>
      <c r="P127">
        <f>P126-$X126</f>
        <v>-0.18148037143493978</v>
      </c>
      <c r="Q127">
        <f>Q126-$X126</f>
        <v>1.2385337645367311E-2</v>
      </c>
      <c r="R127">
        <f>R126-$X126</f>
        <v>0.10599949560831257</v>
      </c>
      <c r="S127">
        <f>S126-$X126</f>
        <v>0.196590287191996</v>
      </c>
      <c r="T127">
        <f>T126-$X126</f>
        <v>0.22573674725629278</v>
      </c>
      <c r="U127">
        <f>U126-$X126</f>
        <v>0.23851952454591752</v>
      </c>
      <c r="V127">
        <f>V126-$X126</f>
        <v>0.24720160386453105</v>
      </c>
      <c r="W127">
        <f>W126-$X126</f>
        <v>0.25139963855535896</v>
      </c>
      <c r="X127"/>
      <c r="Y127"/>
    </row>
    <row r="128" spans="1:25" s="34" customFormat="1">
      <c r="B128"/>
      <c r="C128"/>
      <c r="D128"/>
      <c r="E128"/>
      <c r="F128"/>
      <c r="G128"/>
      <c r="H128"/>
      <c r="I128"/>
      <c r="J128"/>
      <c r="K128"/>
      <c r="L128"/>
      <c r="M128">
        <f>B127*M127</f>
        <v>9.7865903092817716E-2</v>
      </c>
      <c r="N128">
        <f>C127*N127</f>
        <v>7.7565595763650214E-2</v>
      </c>
      <c r="O128">
        <f>D127*O127</f>
        <v>7.9391376872255573E-2</v>
      </c>
      <c r="P128">
        <f>E127*P127</f>
        <v>6.5990024110094844E-2</v>
      </c>
      <c r="Q128">
        <f>F127*Q127</f>
        <v>-1.1391032023827887E-3</v>
      </c>
      <c r="R128">
        <f>G127*R127</f>
        <v>5.2593784720860624E-3</v>
      </c>
      <c r="S128">
        <f>H127*S127</f>
        <v>3.456335437962102E-2</v>
      </c>
      <c r="T128">
        <f>I127*T127</f>
        <v>4.8630442083930921E-2</v>
      </c>
      <c r="U128">
        <f>J127*U127</f>
        <v>5.3578479878005673E-2</v>
      </c>
      <c r="V128">
        <f>K127*V127</f>
        <v>6.0146414737901131E-2</v>
      </c>
      <c r="W128">
        <f>L127*W127</f>
        <v>6.5211372152052097E-2</v>
      </c>
      <c r="X128">
        <f>SUM(M128:W128)</f>
        <v>0.58706323834003238</v>
      </c>
      <c r="Y128">
        <f>X128/11/Y126</f>
        <v>0.90582637585959869</v>
      </c>
    </row>
    <row r="129" spans="1:25" s="29" customFormat="1">
      <c r="A129" s="29">
        <v>1418</v>
      </c>
      <c r="B129">
        <v>0.8259816394243491</v>
      </c>
      <c r="C129">
        <v>0.85617220258611226</v>
      </c>
      <c r="D129">
        <v>0.85880358966558745</v>
      </c>
      <c r="E129">
        <v>0.88361574881634686</v>
      </c>
      <c r="F129">
        <v>1.1221713429356424</v>
      </c>
      <c r="G129">
        <v>1.2412918902888195</v>
      </c>
      <c r="H129">
        <v>1.3531801404393231</v>
      </c>
      <c r="I129">
        <v>1.3965762444034764</v>
      </c>
      <c r="J129">
        <v>1.4217729643000401</v>
      </c>
      <c r="K129">
        <v>1.4408326460357872</v>
      </c>
      <c r="L129">
        <v>1.450686319302358</v>
      </c>
      <c r="M129">
        <v>0.9308460979910792</v>
      </c>
      <c r="N129">
        <v>0.96912284503189283</v>
      </c>
      <c r="O129">
        <v>0.96026631330596945</v>
      </c>
      <c r="P129">
        <v>0.99496722930831849</v>
      </c>
      <c r="Q129">
        <v>1.1888329383886256</v>
      </c>
      <c r="R129">
        <v>1.2824470963515708</v>
      </c>
      <c r="S129">
        <v>1.3730378879352543</v>
      </c>
      <c r="T129">
        <v>1.4021843479995511</v>
      </c>
      <c r="U129">
        <v>1.4149671252891758</v>
      </c>
      <c r="V129">
        <v>1.4236492046077893</v>
      </c>
      <c r="W129">
        <v>1.4278472392986172</v>
      </c>
      <c r="X129" s="31">
        <f>AVERAGE(B129:W129)</f>
        <v>1.1917842297138947</v>
      </c>
      <c r="Y129" s="31">
        <f>(_xlfn.STDEV.P(B129:W129))^2</f>
        <v>5.2917183657309894E-2</v>
      </c>
    </row>
    <row r="130" spans="1:25">
      <c r="B130">
        <f>B129-$X129</f>
        <v>-0.36580259028954565</v>
      </c>
      <c r="C130">
        <f>C129-$X129</f>
        <v>-0.33561202712778249</v>
      </c>
      <c r="D130">
        <f>D129-$X129</f>
        <v>-0.3329806400483073</v>
      </c>
      <c r="E130">
        <f>E129-$X129</f>
        <v>-0.30816848089754789</v>
      </c>
      <c r="F130">
        <f>F129-$X129</f>
        <v>-6.9612886778252392E-2</v>
      </c>
      <c r="G130">
        <f>G129-$X129</f>
        <v>4.9507660574924728E-2</v>
      </c>
      <c r="H130">
        <f>H129-$X129</f>
        <v>0.16139591072542836</v>
      </c>
      <c r="I130">
        <f>I129-$X129</f>
        <v>0.20479201468958164</v>
      </c>
      <c r="J130">
        <f>J129-$X129</f>
        <v>0.22998873458614533</v>
      </c>
      <c r="K130">
        <f>K129-$X129</f>
        <v>0.24904841632189245</v>
      </c>
      <c r="L130">
        <f>L129-$X129</f>
        <v>0.25890208958846328</v>
      </c>
      <c r="M130">
        <f>M129-$X129</f>
        <v>-0.26093813172281555</v>
      </c>
      <c r="N130">
        <f>N129-$X129</f>
        <v>-0.22266138468200192</v>
      </c>
      <c r="O130">
        <f>O129-$X129</f>
        <v>-0.23151791640792529</v>
      </c>
      <c r="P130">
        <f>P129-$X129</f>
        <v>-0.19681700040557626</v>
      </c>
      <c r="Q130">
        <f>Q129-$X129</f>
        <v>-2.9512913252691675E-3</v>
      </c>
      <c r="R130">
        <f>R129-$X129</f>
        <v>9.0662866637676087E-2</v>
      </c>
      <c r="S130">
        <f>S129-$X129</f>
        <v>0.18125365822135953</v>
      </c>
      <c r="T130">
        <f>T129-$X129</f>
        <v>0.2104001182856563</v>
      </c>
      <c r="U130">
        <f>U129-$X129</f>
        <v>0.22318289557528104</v>
      </c>
      <c r="V130">
        <f>V129-$X129</f>
        <v>0.23186497489389457</v>
      </c>
      <c r="W130">
        <f>W129-$X129</f>
        <v>0.23606300958472248</v>
      </c>
    </row>
    <row r="131" spans="1:25">
      <c r="M131">
        <f>B130*M130</f>
        <v>9.5451844489520585E-2</v>
      </c>
      <c r="N131">
        <f>C130*N130</f>
        <v>7.4727838676205638E-2</v>
      </c>
      <c r="O131">
        <f>D130*O130</f>
        <v>7.7090983988161471E-2</v>
      </c>
      <c r="P131">
        <f>E130*P130</f>
        <v>6.0652796029798506E-2</v>
      </c>
      <c r="Q131">
        <f>F130*Q130</f>
        <v>2.0544790887560101E-4</v>
      </c>
      <c r="R131">
        <f>G130*R130</f>
        <v>4.4885064282477348E-3</v>
      </c>
      <c r="S131">
        <f>H130*S130</f>
        <v>2.9253599240951847E-2</v>
      </c>
      <c r="T131">
        <f>I130*T130</f>
        <v>4.3088264114645836E-2</v>
      </c>
      <c r="U131">
        <f>J130*U130</f>
        <v>5.1329551734630698E-2</v>
      </c>
      <c r="V131">
        <f>K130*V130</f>
        <v>5.7745604797839793E-2</v>
      </c>
      <c r="W131">
        <f>L130*W130</f>
        <v>6.1117206456026085E-2</v>
      </c>
      <c r="X131">
        <f>SUM(M131:W131)</f>
        <v>0.55515164386490379</v>
      </c>
      <c r="Y131">
        <f>X131/11/Y129</f>
        <v>0.95372292651243906</v>
      </c>
    </row>
    <row r="134" spans="1:25">
      <c r="X134" t="s">
        <v>185</v>
      </c>
      <c r="Y134" t="s">
        <v>186</v>
      </c>
    </row>
    <row r="135" spans="1:25" s="31" customFormat="1" ht="16">
      <c r="A135" s="30">
        <v>2202</v>
      </c>
      <c r="B135">
        <v>0.20356039519163124</v>
      </c>
      <c r="C135">
        <v>0.18565249156335889</v>
      </c>
      <c r="D135">
        <v>0.1865614147376406</v>
      </c>
      <c r="E135">
        <v>0.20916063254902562</v>
      </c>
      <c r="F135">
        <v>0.21222348357009174</v>
      </c>
      <c r="G135">
        <v>0.21063236937802057</v>
      </c>
      <c r="H135">
        <v>0.20596549538282308</v>
      </c>
      <c r="I135">
        <v>0.21375406432404906</v>
      </c>
      <c r="J135">
        <v>0.23051029368718901</v>
      </c>
      <c r="K135">
        <v>0.23932274059048908</v>
      </c>
      <c r="L135">
        <v>0.24444778362133734</v>
      </c>
      <c r="M135">
        <v>0.27161511574226738</v>
      </c>
      <c r="N135">
        <v>0.24485132313942334</v>
      </c>
      <c r="O135">
        <v>0.2450555612192884</v>
      </c>
      <c r="P135">
        <v>0.25391750956448822</v>
      </c>
      <c r="Q135">
        <v>0.28547963206307492</v>
      </c>
      <c r="R135">
        <v>0.28316873546555527</v>
      </c>
      <c r="S135">
        <v>0.27687087894500995</v>
      </c>
      <c r="T135">
        <v>0.2834864104967198</v>
      </c>
      <c r="U135">
        <v>0.29622633022983852</v>
      </c>
      <c r="V135">
        <v>0.3053126093258034</v>
      </c>
      <c r="W135">
        <v>0.30757674395312734</v>
      </c>
      <c r="X135" s="31">
        <f>AVERAGE(B135:W135)</f>
        <v>0.24524327339728427</v>
      </c>
      <c r="Y135" s="31">
        <f>(_xlfn.STDEV.P(B135:W135))^2</f>
        <v>1.4315197687743114E-3</v>
      </c>
    </row>
    <row r="136" spans="1:25">
      <c r="B136">
        <f>B135-$X135</f>
        <v>-4.1682878205653029E-2</v>
      </c>
      <c r="C136">
        <f>C135-$X135</f>
        <v>-5.9590781833925383E-2</v>
      </c>
      <c r="D136">
        <f>D135-$X135</f>
        <v>-5.8681858659643676E-2</v>
      </c>
      <c r="E136">
        <f>E135-$X135</f>
        <v>-3.6082640848258657E-2</v>
      </c>
      <c r="F136">
        <f>F135-$X135</f>
        <v>-3.3019789827192531E-2</v>
      </c>
      <c r="G136">
        <f>G135-$X135</f>
        <v>-3.46109040192637E-2</v>
      </c>
      <c r="H136">
        <f>H135-$X135</f>
        <v>-3.9277778014461195E-2</v>
      </c>
      <c r="I136">
        <f>I135-$X135</f>
        <v>-3.1489209073235214E-2</v>
      </c>
      <c r="J136">
        <f>J135-$X135</f>
        <v>-1.4732979710095268E-2</v>
      </c>
      <c r="K136">
        <f>K135-$X135</f>
        <v>-5.9205328067951923E-3</v>
      </c>
      <c r="L136">
        <f>L135-$X135</f>
        <v>-7.9548977594692816E-4</v>
      </c>
      <c r="M136">
        <f>M135-$X135</f>
        <v>2.6371842344983104E-2</v>
      </c>
      <c r="N136">
        <f>N135-$X135</f>
        <v>-3.9195025786092907E-4</v>
      </c>
      <c r="O136">
        <f>O135-$X135</f>
        <v>-1.8771217799587459E-4</v>
      </c>
      <c r="P136">
        <f>P135-$X135</f>
        <v>8.674236167203947E-3</v>
      </c>
      <c r="Q136">
        <f>Q135-$X135</f>
        <v>4.0236358665790645E-2</v>
      </c>
      <c r="R136">
        <f>R135-$X135</f>
        <v>3.7925462068270993E-2</v>
      </c>
      <c r="S136">
        <f>S135-$X135</f>
        <v>3.1627605547725673E-2</v>
      </c>
      <c r="T136">
        <f>T135-$X135</f>
        <v>3.8243137099435526E-2</v>
      </c>
      <c r="U136">
        <f>U135-$X135</f>
        <v>5.0983056832554247E-2</v>
      </c>
      <c r="V136">
        <f>V135-$X135</f>
        <v>6.0069335928519124E-2</v>
      </c>
      <c r="W136">
        <f>W135-$X135</f>
        <v>6.2333470555843068E-2</v>
      </c>
    </row>
    <row r="137" spans="1:25">
      <c r="M137">
        <f>B136*M136</f>
        <v>-1.0992542925246139E-3</v>
      </c>
      <c r="N137">
        <f>C136*N136</f>
        <v>2.3356622305941422E-5</v>
      </c>
      <c r="O137">
        <f>D136*O136</f>
        <v>1.1015299497847789E-5</v>
      </c>
      <c r="P137">
        <f>E136*P136</f>
        <v>-3.1298934825419573E-4</v>
      </c>
      <c r="Q137">
        <f>F136*Q136</f>
        <v>-1.328596106555944E-3</v>
      </c>
      <c r="R137">
        <f>G136*R136</f>
        <v>-1.3126345275311535E-3</v>
      </c>
      <c r="S137">
        <f>H136*S136</f>
        <v>-1.2422620698325105E-3</v>
      </c>
      <c r="T137">
        <f>I136*T136</f>
        <v>-1.2042461397405234E-3</v>
      </c>
      <c r="U137">
        <f>J136*U136</f>
        <v>-7.5113234187265557E-4</v>
      </c>
      <c r="V137">
        <f>K136*V136</f>
        <v>-3.5564247404719861E-4</v>
      </c>
      <c r="W137">
        <f>L136*W136</f>
        <v>-4.9585638526462045E-5</v>
      </c>
      <c r="X137">
        <f>SUM(M137:W137)</f>
        <v>-7.621971017081469E-3</v>
      </c>
      <c r="Y137">
        <f>X137/11/Y135</f>
        <v>-0.48403554824226575</v>
      </c>
    </row>
    <row r="138" spans="1:25" s="33" customFormat="1" ht="16">
      <c r="A138" s="32">
        <v>2206</v>
      </c>
      <c r="B138">
        <v>0.20356039519163124</v>
      </c>
      <c r="C138">
        <v>0.18565249156335889</v>
      </c>
      <c r="D138">
        <v>0.1865614147376406</v>
      </c>
      <c r="E138">
        <v>0.20916063254902562</v>
      </c>
      <c r="F138">
        <v>0.21222348357009174</v>
      </c>
      <c r="G138">
        <v>0.21063236937802057</v>
      </c>
      <c r="H138">
        <v>0.20596549538282308</v>
      </c>
      <c r="I138">
        <v>0.21375406432404906</v>
      </c>
      <c r="J138">
        <v>0.23051029368718901</v>
      </c>
      <c r="K138">
        <v>0.23932274059048908</v>
      </c>
      <c r="L138">
        <v>0.24444778362133734</v>
      </c>
      <c r="M138">
        <v>0.17197768283974971</v>
      </c>
      <c r="N138">
        <v>0.14962757630448006</v>
      </c>
      <c r="O138">
        <v>0.15419261827810077</v>
      </c>
      <c r="P138">
        <v>0.16063407658065945</v>
      </c>
      <c r="Q138">
        <v>0.1701475712236114</v>
      </c>
      <c r="R138">
        <v>0.15842084218944003</v>
      </c>
      <c r="S138">
        <v>0.1625273268107372</v>
      </c>
      <c r="T138">
        <v>0.16476726980088782</v>
      </c>
      <c r="U138">
        <v>0.1810676940011007</v>
      </c>
      <c r="V138">
        <v>0.18682029583522747</v>
      </c>
      <c r="W138">
        <v>0.19403065436663197</v>
      </c>
      <c r="X138" s="31">
        <f>AVERAGE(B138:W138)</f>
        <v>0.19072748967392192</v>
      </c>
      <c r="Y138" s="31">
        <f>(_xlfn.STDEV.P(B138:W138))^2</f>
        <v>7.4251862487264544E-4</v>
      </c>
    </row>
    <row r="139" spans="1:25" s="34" customFormat="1">
      <c r="B139">
        <f>B138-$X138</f>
        <v>1.2832905517709325E-2</v>
      </c>
      <c r="C139">
        <f>C138-$X138</f>
        <v>-5.0749981105630282E-3</v>
      </c>
      <c r="D139">
        <f>D138-$X138</f>
        <v>-4.1660749362813221E-3</v>
      </c>
      <c r="E139">
        <f>E138-$X138</f>
        <v>1.8433142875103697E-2</v>
      </c>
      <c r="F139">
        <f>F138-$X138</f>
        <v>2.1495993896169824E-2</v>
      </c>
      <c r="G139">
        <f>G138-$X138</f>
        <v>1.9904879704098655E-2</v>
      </c>
      <c r="H139">
        <f>H138-$X138</f>
        <v>1.5238005708901159E-2</v>
      </c>
      <c r="I139">
        <f>I138-$X138</f>
        <v>2.3026574650127141E-2</v>
      </c>
      <c r="J139">
        <f>J138-$X138</f>
        <v>3.9782804013267087E-2</v>
      </c>
      <c r="K139">
        <f>K138-$X138</f>
        <v>4.8595250916567162E-2</v>
      </c>
      <c r="L139">
        <f>L138-$X138</f>
        <v>5.3720293947415426E-2</v>
      </c>
      <c r="M139">
        <f>M138-$X138</f>
        <v>-1.8749806834172211E-2</v>
      </c>
      <c r="N139">
        <f>N138-$X138</f>
        <v>-4.1099913369441854E-2</v>
      </c>
      <c r="O139">
        <f>O138-$X138</f>
        <v>-3.653487139582115E-2</v>
      </c>
      <c r="P139">
        <f>P138-$X138</f>
        <v>-3.0093413093262467E-2</v>
      </c>
      <c r="Q139">
        <f>Q138-$X138</f>
        <v>-2.0579918450310514E-2</v>
      </c>
      <c r="R139">
        <f>R138-$X138</f>
        <v>-3.2306647484481893E-2</v>
      </c>
      <c r="S139">
        <f>S138-$X138</f>
        <v>-2.8200162863184719E-2</v>
      </c>
      <c r="T139">
        <f>T138-$X138</f>
        <v>-2.5960219873034096E-2</v>
      </c>
      <c r="U139">
        <f>U138-$X138</f>
        <v>-9.6597956728212142E-3</v>
      </c>
      <c r="V139">
        <f>V138-$X138</f>
        <v>-3.9071938386944505E-3</v>
      </c>
      <c r="W139">
        <f>W138-$X138</f>
        <v>3.3031646927100533E-3</v>
      </c>
      <c r="X139"/>
      <c r="Y139"/>
    </row>
    <row r="140" spans="1:25" s="34" customFormat="1">
      <c r="B140"/>
      <c r="C140"/>
      <c r="D140"/>
      <c r="E140"/>
      <c r="F140"/>
      <c r="G140"/>
      <c r="H140"/>
      <c r="I140"/>
      <c r="J140"/>
      <c r="K140"/>
      <c r="L140"/>
      <c r="M140">
        <f>B139*M139</f>
        <v>-2.4061449957823259E-4</v>
      </c>
      <c r="N140">
        <f>C139*N139</f>
        <v>2.0858198269422154E-4</v>
      </c>
      <c r="O140">
        <f>D139*O139</f>
        <v>1.5220701202239189E-4</v>
      </c>
      <c r="P140">
        <f>E139*P139</f>
        <v>-5.5471618314762339E-4</v>
      </c>
      <c r="Q140">
        <f>F139*Q139</f>
        <v>-4.4238580139154752E-4</v>
      </c>
      <c r="R140">
        <f>G139*R139</f>
        <v>-6.430599318213335E-4</v>
      </c>
      <c r="S140">
        <f>H139*S139</f>
        <v>-4.2971424270115121E-4</v>
      </c>
      <c r="T140">
        <f>I139*T139</f>
        <v>-5.9777494084013369E-4</v>
      </c>
      <c r="U140">
        <f>J139*U139</f>
        <v>-3.8429375806005187E-4</v>
      </c>
      <c r="V140">
        <f>K139*V139</f>
        <v>-1.8987106497102206E-4</v>
      </c>
      <c r="W140">
        <f>L139*W139</f>
        <v>1.7744697824910821E-4</v>
      </c>
      <c r="X140">
        <f>SUM(M140:W140)</f>
        <v>-2.9441944495453738E-3</v>
      </c>
      <c r="Y140">
        <f>X140/11/Y138</f>
        <v>-0.36046778074242714</v>
      </c>
    </row>
    <row r="141" spans="1:25" s="29" customFormat="1" ht="16">
      <c r="A141" s="28">
        <v>2210</v>
      </c>
      <c r="B141">
        <v>0.20356039519163124</v>
      </c>
      <c r="C141">
        <v>0.18565249156335889</v>
      </c>
      <c r="D141">
        <v>0.1865614147376406</v>
      </c>
      <c r="E141">
        <v>0.20916063254902562</v>
      </c>
      <c r="F141">
        <v>0.21222348357009174</v>
      </c>
      <c r="G141">
        <v>0.21063236937802057</v>
      </c>
      <c r="H141">
        <v>0.20596549538282308</v>
      </c>
      <c r="I141">
        <v>0.21375406432404906</v>
      </c>
      <c r="J141">
        <v>0.23051029368718901</v>
      </c>
      <c r="K141">
        <v>0.23932274059048908</v>
      </c>
      <c r="L141">
        <v>0.24444778362133734</v>
      </c>
      <c r="M141">
        <v>0.16072280420554505</v>
      </c>
      <c r="N141">
        <v>0.13972648635477583</v>
      </c>
      <c r="O141">
        <v>0.13945051934879657</v>
      </c>
      <c r="P141">
        <v>0.14574780058651027</v>
      </c>
      <c r="Q141">
        <v>0.15308217136140237</v>
      </c>
      <c r="R141">
        <v>0.14348772092525547</v>
      </c>
      <c r="S141">
        <v>0.1437556421931887</v>
      </c>
      <c r="T141">
        <v>0.14801968490636155</v>
      </c>
      <c r="U141">
        <v>0.16392118638167513</v>
      </c>
      <c r="V141">
        <v>0.16708599155359871</v>
      </c>
      <c r="W141">
        <v>0.17207188263267717</v>
      </c>
      <c r="X141" s="31">
        <f>AVERAGE(B141:W141)</f>
        <v>0.18267559341115652</v>
      </c>
      <c r="Y141" s="31">
        <f>(_xlfn.STDEV.P(B141:W141))^2</f>
        <v>1.1377491592227107E-3</v>
      </c>
    </row>
    <row r="142" spans="1:25">
      <c r="B142">
        <f>B141-$X141</f>
        <v>2.0884801780474721E-2</v>
      </c>
      <c r="C142">
        <f>C141-$X141</f>
        <v>2.9768981522023674E-3</v>
      </c>
      <c r="D142">
        <f>D141-$X141</f>
        <v>3.8858213264840735E-3</v>
      </c>
      <c r="E142">
        <f>E141-$X141</f>
        <v>2.6485039137869093E-2</v>
      </c>
      <c r="F142">
        <f>F141-$X141</f>
        <v>2.9547890158935219E-2</v>
      </c>
      <c r="G142">
        <f>G141-$X141</f>
        <v>2.795677596686405E-2</v>
      </c>
      <c r="H142">
        <f>H141-$X141</f>
        <v>2.3289901971666555E-2</v>
      </c>
      <c r="I142">
        <f>I141-$X141</f>
        <v>3.1078470912892536E-2</v>
      </c>
      <c r="J142">
        <f>J141-$X141</f>
        <v>4.7834700276032482E-2</v>
      </c>
      <c r="K142">
        <f>K141-$X141</f>
        <v>5.6647147179332558E-2</v>
      </c>
      <c r="L142">
        <f>L141-$X141</f>
        <v>6.1772190210180822E-2</v>
      </c>
      <c r="M142">
        <f>M141-$X141</f>
        <v>-2.1952789205611473E-2</v>
      </c>
      <c r="N142">
        <f>N141-$X141</f>
        <v>-4.2949107056380692E-2</v>
      </c>
      <c r="O142">
        <f>O141-$X141</f>
        <v>-4.3225074062359953E-2</v>
      </c>
      <c r="P142">
        <f>P141-$X141</f>
        <v>-3.6927792824646255E-2</v>
      </c>
      <c r="Q142">
        <f>Q141-$X141</f>
        <v>-2.9593422049754153E-2</v>
      </c>
      <c r="R142">
        <f>R141-$X141</f>
        <v>-3.9187872485901054E-2</v>
      </c>
      <c r="S142">
        <f>S141-$X141</f>
        <v>-3.8919951217967819E-2</v>
      </c>
      <c r="T142">
        <f>T141-$X141</f>
        <v>-3.4655908504794969E-2</v>
      </c>
      <c r="U142">
        <f>U141-$X141</f>
        <v>-1.875440702948139E-2</v>
      </c>
      <c r="V142">
        <f>V141-$X141</f>
        <v>-1.5589601857557811E-2</v>
      </c>
      <c r="W142">
        <f>W141-$X141</f>
        <v>-1.0603710778479353E-2</v>
      </c>
    </row>
    <row r="143" spans="1:25">
      <c r="M143">
        <f>B142*M142</f>
        <v>-4.5847965108774071E-4</v>
      </c>
      <c r="N143">
        <f>C142*N142</f>
        <v>-1.2785511743488133E-4</v>
      </c>
      <c r="O143">
        <f>D142*O142</f>
        <v>-1.6796491463037187E-4</v>
      </c>
      <c r="P143">
        <f>E142*P142</f>
        <v>-9.7803403823587759E-4</v>
      </c>
      <c r="Q143">
        <f>F142*Q142</f>
        <v>-8.7442318415314731E-4</v>
      </c>
      <c r="R143">
        <f>G142*R142</f>
        <v>-1.0955665717063716E-3</v>
      </c>
      <c r="S143">
        <f>H142*S142</f>
        <v>-9.0644184860851486E-4</v>
      </c>
      <c r="T143">
        <f>I142*T142</f>
        <v>-1.0770526444261355E-3</v>
      </c>
      <c r="U143">
        <f>J142*U142</f>
        <v>-8.9711143910995903E-4</v>
      </c>
      <c r="V143">
        <f>K142*V142</f>
        <v>-8.8310647089227356E-4</v>
      </c>
      <c r="W143">
        <f>L142*W142</f>
        <v>-6.5501443914197115E-4</v>
      </c>
      <c r="X143">
        <f>SUM(M143:W143)</f>
        <v>-8.1210503194272445E-3</v>
      </c>
      <c r="Y143">
        <f>X143/11/Y141</f>
        <v>-0.64889285637485383</v>
      </c>
    </row>
    <row r="144" spans="1:25" s="33" customFormat="1" ht="16">
      <c r="A144" s="32">
        <v>2214</v>
      </c>
      <c r="B144">
        <v>0.20356039519163124</v>
      </c>
      <c r="C144">
        <v>0.18565249156335889</v>
      </c>
      <c r="D144">
        <v>0.1865614147376406</v>
      </c>
      <c r="E144">
        <v>0.20916063254902562</v>
      </c>
      <c r="F144">
        <v>0.21222348357009174</v>
      </c>
      <c r="G144">
        <v>0.21063236937802057</v>
      </c>
      <c r="H144">
        <v>0.20596549538282308</v>
      </c>
      <c r="I144">
        <v>0.21375406432404906</v>
      </c>
      <c r="J144">
        <v>0.23051029368718901</v>
      </c>
      <c r="K144">
        <v>0.23932274059048908</v>
      </c>
      <c r="L144">
        <v>0.24444778362133734</v>
      </c>
      <c r="M144">
        <v>0.16438299899781492</v>
      </c>
      <c r="N144">
        <v>0.14491852459646917</v>
      </c>
      <c r="O144">
        <v>0.14315714900184703</v>
      </c>
      <c r="P144">
        <v>0.15541674304488218</v>
      </c>
      <c r="Q144">
        <v>0.16126543209876543</v>
      </c>
      <c r="R144">
        <v>0.15397183836733436</v>
      </c>
      <c r="S144">
        <v>0.15169356917729046</v>
      </c>
      <c r="T144">
        <v>0.15815229689975108</v>
      </c>
      <c r="U144">
        <v>0.17514557847695572</v>
      </c>
      <c r="V144">
        <v>0.17717549557621234</v>
      </c>
      <c r="W144">
        <v>0.18504977474701831</v>
      </c>
      <c r="X144" s="31">
        <f>AVERAGE(B144:W144)</f>
        <v>0.18691457116272711</v>
      </c>
      <c r="Y144" s="31">
        <f>(_xlfn.STDEV.P(B144:W144))^2</f>
        <v>9.2014652846866146E-4</v>
      </c>
    </row>
    <row r="145" spans="1:25" s="34" customFormat="1">
      <c r="B145">
        <f>B144-$X144</f>
        <v>1.6645824028904133E-2</v>
      </c>
      <c r="C145">
        <f>C144-$X144</f>
        <v>-1.262079599368221E-3</v>
      </c>
      <c r="D145">
        <f>D144-$X144</f>
        <v>-3.531564250865149E-4</v>
      </c>
      <c r="E145">
        <f>E144-$X144</f>
        <v>2.2246061386298505E-2</v>
      </c>
      <c r="F145">
        <f>F144-$X144</f>
        <v>2.5308912407364631E-2</v>
      </c>
      <c r="G145">
        <f>G144-$X144</f>
        <v>2.3717798215293462E-2</v>
      </c>
      <c r="H145">
        <f>H144-$X144</f>
        <v>1.9050924220095966E-2</v>
      </c>
      <c r="I145">
        <f>I144-$X144</f>
        <v>2.6839493161321948E-2</v>
      </c>
      <c r="J145">
        <f>J144-$X144</f>
        <v>4.3595722524461894E-2</v>
      </c>
      <c r="K145">
        <f>K144-$X144</f>
        <v>5.2408169427761969E-2</v>
      </c>
      <c r="L145">
        <f>L144-$X144</f>
        <v>5.7533212458610233E-2</v>
      </c>
      <c r="M145">
        <f>M144-$X144</f>
        <v>-2.2531572164912195E-2</v>
      </c>
      <c r="N145">
        <f>N144-$X144</f>
        <v>-4.1996046566257939E-2</v>
      </c>
      <c r="O145">
        <f>O144-$X144</f>
        <v>-4.3757422160880077E-2</v>
      </c>
      <c r="P145">
        <f>P144-$X144</f>
        <v>-3.1497828117844934E-2</v>
      </c>
      <c r="Q145">
        <f>Q144-$X144</f>
        <v>-2.5649139063961685E-2</v>
      </c>
      <c r="R145">
        <f>R144-$X144</f>
        <v>-3.2942732795392754E-2</v>
      </c>
      <c r="S145">
        <f>S144-$X144</f>
        <v>-3.5221001985436651E-2</v>
      </c>
      <c r="T145">
        <f>T144-$X144</f>
        <v>-2.8762274262976034E-2</v>
      </c>
      <c r="U145">
        <f>U144-$X144</f>
        <v>-1.176899268577139E-2</v>
      </c>
      <c r="V145">
        <f>V144-$X144</f>
        <v>-9.7390755865147671E-3</v>
      </c>
      <c r="W145">
        <f>W144-$X144</f>
        <v>-1.8647964157088026E-3</v>
      </c>
      <c r="X145"/>
      <c r="Y145"/>
    </row>
    <row r="146" spans="1:25" s="34" customFormat="1">
      <c r="B146"/>
      <c r="C146"/>
      <c r="D146"/>
      <c r="E146"/>
      <c r="F146"/>
      <c r="G146"/>
      <c r="H146"/>
      <c r="I146"/>
      <c r="J146"/>
      <c r="K146"/>
      <c r="L146"/>
      <c r="M146">
        <f>B145*M145</f>
        <v>-3.7505658535168289E-4</v>
      </c>
      <c r="N146">
        <f>C145*N145</f>
        <v>5.3002353625391975E-5</v>
      </c>
      <c r="O146">
        <f>D145*O145</f>
        <v>1.5453214781337852E-5</v>
      </c>
      <c r="P146">
        <f>E145*P145</f>
        <v>-7.0070261784465748E-4</v>
      </c>
      <c r="Q146">
        <f>F145*Q145</f>
        <v>-6.4915181389412077E-4</v>
      </c>
      <c r="R146">
        <f>G145*R145</f>
        <v>-7.8132908910145569E-4</v>
      </c>
      <c r="S146">
        <f>H145*S145</f>
        <v>-6.7099263978040316E-4</v>
      </c>
      <c r="T146">
        <f>I145*T145</f>
        <v>-7.7196486338521151E-4</v>
      </c>
      <c r="U146">
        <f>J145*U145</f>
        <v>-5.1307773952131107E-4</v>
      </c>
      <c r="V146">
        <f>K145*V145</f>
        <v>-5.1040712340784616E-4</v>
      </c>
      <c r="W146">
        <f>L145*W145</f>
        <v>-1.0728772837702939E-4</v>
      </c>
      <c r="X146">
        <f>SUM(M146:W146)</f>
        <v>-5.011514632256988E-3</v>
      </c>
      <c r="Y146">
        <f>X146/11/Y144</f>
        <v>-0.49513009634922128</v>
      </c>
    </row>
    <row r="147" spans="1:25" s="29" customFormat="1" ht="16">
      <c r="A147" s="28">
        <v>2218</v>
      </c>
      <c r="B147">
        <v>0.20356039519163124</v>
      </c>
      <c r="C147">
        <v>0.18565249156335889</v>
      </c>
      <c r="D147">
        <v>0.1865614147376406</v>
      </c>
      <c r="E147">
        <v>0.20916063254902562</v>
      </c>
      <c r="F147">
        <v>0.21222348357009174</v>
      </c>
      <c r="G147">
        <v>0.21063236937802057</v>
      </c>
      <c r="H147">
        <v>0.20596549538282308</v>
      </c>
      <c r="I147">
        <v>0.21375406432404906</v>
      </c>
      <c r="J147">
        <v>0.23051029368718901</v>
      </c>
      <c r="K147">
        <v>0.23932274059048908</v>
      </c>
      <c r="L147">
        <v>0.24444778362133734</v>
      </c>
      <c r="M147">
        <v>0.19722521451654842</v>
      </c>
      <c r="N147">
        <v>0.1766115621637484</v>
      </c>
      <c r="O147">
        <v>0.17632170600035002</v>
      </c>
      <c r="P147">
        <v>0.18935743117404505</v>
      </c>
      <c r="Q147">
        <v>0.19421218094812362</v>
      </c>
      <c r="R147">
        <v>0.18401142992508365</v>
      </c>
      <c r="S147">
        <v>0.17782953843228597</v>
      </c>
      <c r="T147">
        <v>0.18283910549948873</v>
      </c>
      <c r="U147">
        <v>0.20404651012703159</v>
      </c>
      <c r="V147">
        <v>0.20559903672486454</v>
      </c>
      <c r="W147">
        <v>0.21177436875712052</v>
      </c>
      <c r="X147" s="31">
        <f>AVERAGE(B147:W147)</f>
        <v>0.20189178403928842</v>
      </c>
      <c r="Y147" s="31">
        <f>(_xlfn.STDEV.P(B147:W147))^2</f>
        <v>3.5611143875736621E-4</v>
      </c>
    </row>
    <row r="148" spans="1:25">
      <c r="B148">
        <f>B147-$X147</f>
        <v>1.6686111523428193E-3</v>
      </c>
      <c r="C148">
        <f>C147-$X147</f>
        <v>-1.6239292475929534E-2</v>
      </c>
      <c r="D148">
        <f>D147-$X147</f>
        <v>-1.5330369301647828E-2</v>
      </c>
      <c r="E148">
        <f>E147-$X147</f>
        <v>7.2688485097371913E-3</v>
      </c>
      <c r="F148">
        <f>F147-$X147</f>
        <v>1.0331699530803318E-2</v>
      </c>
      <c r="G148">
        <f>G147-$X147</f>
        <v>8.7405853387321486E-3</v>
      </c>
      <c r="H148">
        <f>H147-$X147</f>
        <v>4.0737113435346528E-3</v>
      </c>
      <c r="I148">
        <f>I147-$X147</f>
        <v>1.1862280284760635E-2</v>
      </c>
      <c r="J148">
        <f>J147-$X147</f>
        <v>2.8618509647900581E-2</v>
      </c>
      <c r="K148">
        <f>K147-$X147</f>
        <v>3.7430956551200656E-2</v>
      </c>
      <c r="L148">
        <f>L147-$X147</f>
        <v>4.255599958204892E-2</v>
      </c>
      <c r="M148">
        <f>M147-$X147</f>
        <v>-4.6665695227399995E-3</v>
      </c>
      <c r="N148">
        <f>N147-$X147</f>
        <v>-2.5280221875540021E-2</v>
      </c>
      <c r="O148">
        <f>O147-$X147</f>
        <v>-2.5570078038938404E-2</v>
      </c>
      <c r="P148">
        <f>P147-$X147</f>
        <v>-1.2534352865243376E-2</v>
      </c>
      <c r="Q148">
        <f>Q147-$X147</f>
        <v>-7.679603091164805E-3</v>
      </c>
      <c r="R148">
        <f>R147-$X147</f>
        <v>-1.7880354114204772E-2</v>
      </c>
      <c r="S148">
        <f>S147-$X147</f>
        <v>-2.4062245607002458E-2</v>
      </c>
      <c r="T148">
        <f>T147-$X147</f>
        <v>-1.9052678539799695E-2</v>
      </c>
      <c r="U148">
        <f>U147-$X147</f>
        <v>2.1547260877431695E-3</v>
      </c>
      <c r="V148">
        <f>V147-$X147</f>
        <v>3.7072526855761179E-3</v>
      </c>
      <c r="W148">
        <f>W147-$X147</f>
        <v>9.8825847178320991E-3</v>
      </c>
    </row>
    <row r="149" spans="1:25">
      <c r="M149">
        <f>B148*M148</f>
        <v>-7.7866899488270708E-6</v>
      </c>
      <c r="N149">
        <f>C148*N148</f>
        <v>4.105329168932863E-4</v>
      </c>
      <c r="O149">
        <f>D148*O148</f>
        <v>3.919987394088806E-4</v>
      </c>
      <c r="P149">
        <f>E148*P148</f>
        <v>-9.1110312145044404E-5</v>
      </c>
      <c r="Q149">
        <f>F148*Q148</f>
        <v>-7.9343351653743128E-5</v>
      </c>
      <c r="R149">
        <f>G148*R148</f>
        <v>-1.5628476102195728E-4</v>
      </c>
      <c r="S149">
        <f>H148*S148</f>
        <v>-9.8022642880162778E-5</v>
      </c>
      <c r="T149">
        <f>I148*T148</f>
        <v>-2.2600821301454796E-4</v>
      </c>
      <c r="U149">
        <f>J148*U148</f>
        <v>6.1665049330660975E-5</v>
      </c>
      <c r="V149">
        <f>K148*V148</f>
        <v>1.3876601419812162E-4</v>
      </c>
      <c r="W149">
        <f>L148*W148</f>
        <v>4.2056327112162585E-4</v>
      </c>
      <c r="X149">
        <f>SUM(M149:W149)</f>
        <v>7.6497002028829276E-4</v>
      </c>
      <c r="Y149">
        <f>X149/11/Y147</f>
        <v>0.19528361503854955</v>
      </c>
    </row>
    <row r="150" spans="1:25" s="33" customFormat="1">
      <c r="A150" s="33">
        <v>206</v>
      </c>
      <c r="B150">
        <v>0.27161511574226738</v>
      </c>
      <c r="C150">
        <v>0.24485132313942334</v>
      </c>
      <c r="D150">
        <v>0.2450555612192884</v>
      </c>
      <c r="E150">
        <v>0.25391750956448822</v>
      </c>
      <c r="F150">
        <v>0.28547963206307492</v>
      </c>
      <c r="G150">
        <v>0.28316873546555527</v>
      </c>
      <c r="H150">
        <v>0.27687087894500995</v>
      </c>
      <c r="I150">
        <v>0.2834864104967198</v>
      </c>
      <c r="J150">
        <v>0.29622633022983852</v>
      </c>
      <c r="K150">
        <v>0.3053126093258034</v>
      </c>
      <c r="L150">
        <v>0.30757674395312734</v>
      </c>
      <c r="M150">
        <v>0.17197768283974971</v>
      </c>
      <c r="N150">
        <v>0.14962757630448006</v>
      </c>
      <c r="O150">
        <v>0.15419261827810077</v>
      </c>
      <c r="P150">
        <v>0.16063407658065945</v>
      </c>
      <c r="Q150">
        <v>0.1701475712236114</v>
      </c>
      <c r="R150">
        <v>0.15842084218944003</v>
      </c>
      <c r="S150">
        <v>0.1625273268107372</v>
      </c>
      <c r="T150">
        <v>0.16476726980088782</v>
      </c>
      <c r="U150">
        <v>0.1810676940011007</v>
      </c>
      <c r="V150">
        <v>0.18682029583522747</v>
      </c>
      <c r="W150">
        <v>0.19403065436663197</v>
      </c>
      <c r="X150" s="31">
        <f>AVERAGE(B150:W150)</f>
        <v>0.22308065719887377</v>
      </c>
      <c r="Y150" s="31">
        <f>(_xlfn.STDEV.P(B150:W150))^2</f>
        <v>3.2812527249220431E-3</v>
      </c>
    </row>
    <row r="151" spans="1:25" s="34" customFormat="1">
      <c r="B151">
        <f>B150-$X150</f>
        <v>4.853445854339361E-2</v>
      </c>
      <c r="C151">
        <f>C150-$X150</f>
        <v>2.1770665940549577E-2</v>
      </c>
      <c r="D151">
        <f>D150-$X150</f>
        <v>2.1974904020414632E-2</v>
      </c>
      <c r="E151">
        <f>E150-$X150</f>
        <v>3.0836852365614453E-2</v>
      </c>
      <c r="F151">
        <f>F150-$X150</f>
        <v>6.2398974864201151E-2</v>
      </c>
      <c r="G151">
        <f>G150-$X150</f>
        <v>6.0088078266681499E-2</v>
      </c>
      <c r="H151">
        <f>H150-$X150</f>
        <v>5.379022174613618E-2</v>
      </c>
      <c r="I151">
        <f>I150-$X150</f>
        <v>6.0405753297846032E-2</v>
      </c>
      <c r="J151">
        <f>J150-$X150</f>
        <v>7.3145673030964753E-2</v>
      </c>
      <c r="K151">
        <f>K150-$X150</f>
        <v>8.2231952126929631E-2</v>
      </c>
      <c r="L151">
        <f>L150-$X150</f>
        <v>8.4496086754253574E-2</v>
      </c>
      <c r="M151">
        <f>M150-$X150</f>
        <v>-5.1102974359124059E-2</v>
      </c>
      <c r="N151">
        <f>N150-$X150</f>
        <v>-7.3453080894393702E-2</v>
      </c>
      <c r="O151">
        <f>O150-$X150</f>
        <v>-6.8888038920772998E-2</v>
      </c>
      <c r="P151">
        <f>P150-$X150</f>
        <v>-6.2446580618214315E-2</v>
      </c>
      <c r="Q151">
        <f>Q150-$X150</f>
        <v>-5.2933085975262362E-2</v>
      </c>
      <c r="R151">
        <f>R150-$X150</f>
        <v>-6.4659815009433741E-2</v>
      </c>
      <c r="S151">
        <f>S150-$X150</f>
        <v>-6.0553330388136567E-2</v>
      </c>
      <c r="T151">
        <f>T150-$X150</f>
        <v>-5.8313387397985944E-2</v>
      </c>
      <c r="U151">
        <f>U150-$X150</f>
        <v>-4.2012963197773062E-2</v>
      </c>
      <c r="V151">
        <f>V150-$X150</f>
        <v>-3.6260361363646298E-2</v>
      </c>
      <c r="W151">
        <f>W150-$X150</f>
        <v>-2.9050002832241795E-2</v>
      </c>
      <c r="X151"/>
      <c r="Y151"/>
    </row>
    <row r="152" spans="1:25" s="34" customFormat="1">
      <c r="B152"/>
      <c r="C152"/>
      <c r="D152"/>
      <c r="E152"/>
      <c r="F152"/>
      <c r="G152"/>
      <c r="H152"/>
      <c r="I152"/>
      <c r="J152"/>
      <c r="K152"/>
      <c r="L152"/>
      <c r="M152">
        <f>B151*M151</f>
        <v>-2.4802551904770133E-3</v>
      </c>
      <c r="N152">
        <f>C151*N151</f>
        <v>-1.5991224864560099E-3</v>
      </c>
      <c r="O152">
        <f>D151*O151</f>
        <v>-1.5138080434385741E-3</v>
      </c>
      <c r="P152">
        <f>E151*P151</f>
        <v>-1.9256559872613157E-3</v>
      </c>
      <c r="Q152">
        <f>F151*Q151</f>
        <v>-3.3029703012549946E-3</v>
      </c>
      <c r="R152">
        <f>G151*R151</f>
        <v>-3.8852840249960019E-3</v>
      </c>
      <c r="S152">
        <f>H151*S151</f>
        <v>-3.2571770690449121E-3</v>
      </c>
      <c r="T152">
        <f>I151*T151</f>
        <v>-3.5224640931244629E-3</v>
      </c>
      <c r="U152">
        <f>J151*U151</f>
        <v>-3.0730664691262636E-3</v>
      </c>
      <c r="V152">
        <f>K151*V151</f>
        <v>-2.981760299760531E-3</v>
      </c>
      <c r="W152">
        <f>L151*W151</f>
        <v>-2.4546115595244149E-3</v>
      </c>
      <c r="X152">
        <f>SUM(M152:W152)</f>
        <v>-2.9996175524464496E-2</v>
      </c>
      <c r="Y152">
        <f>X152/11/Y150</f>
        <v>-0.83106218151586531</v>
      </c>
    </row>
    <row r="153" spans="1:25" s="29" customFormat="1">
      <c r="A153" s="29">
        <v>210</v>
      </c>
      <c r="B153">
        <v>0.27161511574226738</v>
      </c>
      <c r="C153">
        <v>0.24485132313942334</v>
      </c>
      <c r="D153">
        <v>0.2450555612192884</v>
      </c>
      <c r="E153">
        <v>0.25391750956448822</v>
      </c>
      <c r="F153">
        <v>0.28547963206307492</v>
      </c>
      <c r="G153">
        <v>0.28316873546555527</v>
      </c>
      <c r="H153">
        <v>0.27687087894500995</v>
      </c>
      <c r="I153">
        <v>0.2834864104967198</v>
      </c>
      <c r="J153">
        <v>0.29622633022983852</v>
      </c>
      <c r="K153">
        <v>0.3053126093258034</v>
      </c>
      <c r="L153">
        <v>0.30757674395312734</v>
      </c>
      <c r="M153">
        <v>0.16072280420554505</v>
      </c>
      <c r="N153">
        <v>0.13972648635477583</v>
      </c>
      <c r="O153">
        <v>0.13945051934879657</v>
      </c>
      <c r="P153">
        <v>0.14574780058651027</v>
      </c>
      <c r="Q153">
        <v>0.15308217136140237</v>
      </c>
      <c r="R153">
        <v>0.14348772092525547</v>
      </c>
      <c r="S153">
        <v>0.1437556421931887</v>
      </c>
      <c r="T153">
        <v>0.14801968490636155</v>
      </c>
      <c r="U153">
        <v>0.16392118638167513</v>
      </c>
      <c r="V153">
        <v>0.16708599155359871</v>
      </c>
      <c r="W153">
        <v>0.17207188263267717</v>
      </c>
      <c r="X153" s="31">
        <f>AVERAGE(B153:W153)</f>
        <v>0.21502876093610829</v>
      </c>
      <c r="Y153" s="31">
        <f>(_xlfn.STDEV.P(B153:W153))^2</f>
        <v>4.1974919566377224E-3</v>
      </c>
    </row>
    <row r="154" spans="1:25">
      <c r="B154">
        <f>B153-$X153</f>
        <v>5.6586354806159089E-2</v>
      </c>
      <c r="C154">
        <f>C153-$X153</f>
        <v>2.9822562203315056E-2</v>
      </c>
      <c r="D154">
        <f>D153-$X153</f>
        <v>3.0026800283180111E-2</v>
      </c>
      <c r="E154">
        <f>E153-$X153</f>
        <v>3.8888748628379932E-2</v>
      </c>
      <c r="F154">
        <f>F153-$X153</f>
        <v>7.045087112696663E-2</v>
      </c>
      <c r="G154">
        <f>G153-$X153</f>
        <v>6.8139974529446978E-2</v>
      </c>
      <c r="H154">
        <f>H153-$X153</f>
        <v>6.1842118008901659E-2</v>
      </c>
      <c r="I154">
        <f>I153-$X153</f>
        <v>6.8457649560611511E-2</v>
      </c>
      <c r="J154">
        <f>J153-$X153</f>
        <v>8.1197569293730232E-2</v>
      </c>
      <c r="K154">
        <f>K153-$X153</f>
        <v>9.0283848389695109E-2</v>
      </c>
      <c r="L154">
        <f>L153-$X153</f>
        <v>9.2547983017019053E-2</v>
      </c>
      <c r="M154">
        <f>M153-$X153</f>
        <v>-5.4305956730563237E-2</v>
      </c>
      <c r="N154">
        <f>N153-$X153</f>
        <v>-7.5302274581332457E-2</v>
      </c>
      <c r="O154">
        <f>O153-$X153</f>
        <v>-7.5578241587311717E-2</v>
      </c>
      <c r="P154">
        <f>P153-$X153</f>
        <v>-6.928096034959802E-2</v>
      </c>
      <c r="Q154">
        <f>Q153-$X153</f>
        <v>-6.1946589574705918E-2</v>
      </c>
      <c r="R154">
        <f>R153-$X153</f>
        <v>-7.1541040010852819E-2</v>
      </c>
      <c r="S154">
        <f>S153-$X153</f>
        <v>-7.1273118742919583E-2</v>
      </c>
      <c r="T154">
        <f>T153-$X153</f>
        <v>-6.7009076029746734E-2</v>
      </c>
      <c r="U154">
        <f>U153-$X153</f>
        <v>-5.1107574554433155E-2</v>
      </c>
      <c r="V154">
        <f>V153-$X153</f>
        <v>-4.7942769382509576E-2</v>
      </c>
      <c r="W154">
        <f>W153-$X153</f>
        <v>-4.2956878303431117E-2</v>
      </c>
    </row>
    <row r="155" spans="1:25">
      <c r="M155">
        <f>B154*M154</f>
        <v>-3.0729761356435748E-3</v>
      </c>
      <c r="N155">
        <f>C154*N154</f>
        <v>-2.2457067677528974E-3</v>
      </c>
      <c r="O155">
        <f>D154*O154</f>
        <v>-2.2693727658961464E-3</v>
      </c>
      <c r="P155">
        <f>E154*P154</f>
        <v>-2.6942498517682745E-3</v>
      </c>
      <c r="Q155">
        <f>F154*Q154</f>
        <v>-4.364191198882701E-3</v>
      </c>
      <c r="R155">
        <f>G154*R154</f>
        <v>-4.874804644149658E-3</v>
      </c>
      <c r="S155">
        <f>H154*S154</f>
        <v>-4.4076806201620933E-3</v>
      </c>
      <c r="T155">
        <f>I154*T154</f>
        <v>-4.5872838442247744E-3</v>
      </c>
      <c r="U155">
        <f>J154*U154</f>
        <v>-4.1498108263180698E-3</v>
      </c>
      <c r="V155">
        <f>K154*V154</f>
        <v>-4.3284577223126107E-3</v>
      </c>
      <c r="W155">
        <f>L154*W154</f>
        <v>-3.9755724436900969E-3</v>
      </c>
      <c r="X155">
        <f>SUM(M155:W155)</f>
        <v>-4.0970106820800899E-2</v>
      </c>
      <c r="Y155">
        <f>X155/11/Y153</f>
        <v>-0.88732872010332564</v>
      </c>
    </row>
    <row r="156" spans="1:25" s="33" customFormat="1">
      <c r="A156" s="33">
        <v>214</v>
      </c>
      <c r="B156">
        <v>0.27161511574226738</v>
      </c>
      <c r="C156">
        <v>0.24485132313942334</v>
      </c>
      <c r="D156">
        <v>0.2450555612192884</v>
      </c>
      <c r="E156">
        <v>0.25391750956448822</v>
      </c>
      <c r="F156">
        <v>0.28547963206307492</v>
      </c>
      <c r="G156">
        <v>0.28316873546555527</v>
      </c>
      <c r="H156">
        <v>0.27687087894500995</v>
      </c>
      <c r="I156">
        <v>0.2834864104967198</v>
      </c>
      <c r="J156">
        <v>0.29622633022983852</v>
      </c>
      <c r="K156">
        <v>0.3053126093258034</v>
      </c>
      <c r="L156">
        <v>0.30757674395312734</v>
      </c>
      <c r="M156">
        <v>0.16438299899781492</v>
      </c>
      <c r="N156">
        <v>0.14491852459646917</v>
      </c>
      <c r="O156">
        <v>0.14315714900184703</v>
      </c>
      <c r="P156">
        <v>0.15541674304488218</v>
      </c>
      <c r="Q156">
        <v>0.16126543209876543</v>
      </c>
      <c r="R156">
        <v>0.15397183836733436</v>
      </c>
      <c r="S156">
        <v>0.15169356917729046</v>
      </c>
      <c r="T156">
        <v>0.15815229689975108</v>
      </c>
      <c r="U156">
        <v>0.17514557847695572</v>
      </c>
      <c r="V156">
        <v>0.17717549557621234</v>
      </c>
      <c r="W156">
        <v>0.18504977474701831</v>
      </c>
      <c r="X156" s="31">
        <f>AVERAGE(B156:W156)</f>
        <v>0.21926773868767893</v>
      </c>
      <c r="Y156" s="31">
        <f>(_xlfn.STDEV.P(B156:W156))^2</f>
        <v>3.7056006112214184E-3</v>
      </c>
    </row>
    <row r="157" spans="1:25" s="34" customFormat="1">
      <c r="B157">
        <f>B156-$X156</f>
        <v>5.2347377054588445E-2</v>
      </c>
      <c r="C157">
        <f>C156-$X156</f>
        <v>2.5583584451744412E-2</v>
      </c>
      <c r="D157">
        <f>D156-$X156</f>
        <v>2.5787822531609467E-2</v>
      </c>
      <c r="E157">
        <f>E156-$X156</f>
        <v>3.4649770876809288E-2</v>
      </c>
      <c r="F157">
        <f>F156-$X156</f>
        <v>6.6211893375395986E-2</v>
      </c>
      <c r="G157">
        <f>G156-$X156</f>
        <v>6.3900996777876334E-2</v>
      </c>
      <c r="H157">
        <f>H156-$X156</f>
        <v>5.7603140257331015E-2</v>
      </c>
      <c r="I157">
        <f>I156-$X156</f>
        <v>6.4218671809040867E-2</v>
      </c>
      <c r="J157">
        <f>J156-$X156</f>
        <v>7.6958591542159588E-2</v>
      </c>
      <c r="K157">
        <f>K156-$X156</f>
        <v>8.6044870638124465E-2</v>
      </c>
      <c r="L157">
        <f>L156-$X156</f>
        <v>8.8309005265448409E-2</v>
      </c>
      <c r="M157">
        <f>M156-$X156</f>
        <v>-5.4884739689864015E-2</v>
      </c>
      <c r="N157">
        <f>N156-$X156</f>
        <v>-7.4349214091209759E-2</v>
      </c>
      <c r="O157">
        <f>O156-$X156</f>
        <v>-7.6110589685831898E-2</v>
      </c>
      <c r="P157">
        <f>P156-$X156</f>
        <v>-6.3850995642796754E-2</v>
      </c>
      <c r="Q157">
        <f>Q156-$X156</f>
        <v>-5.8002306588913505E-2</v>
      </c>
      <c r="R157">
        <f>R156-$X156</f>
        <v>-6.5295900320344574E-2</v>
      </c>
      <c r="S157">
        <f>S156-$X156</f>
        <v>-6.7574169510388471E-2</v>
      </c>
      <c r="T157">
        <f>T156-$X156</f>
        <v>-6.1115441787927854E-2</v>
      </c>
      <c r="U157">
        <f>U156-$X156</f>
        <v>-4.412216021072321E-2</v>
      </c>
      <c r="V157">
        <f>V156-$X156</f>
        <v>-4.2092243111466587E-2</v>
      </c>
      <c r="W157">
        <f>W156-$X156</f>
        <v>-3.4217963940660623E-2</v>
      </c>
      <c r="X157"/>
      <c r="Y157"/>
    </row>
    <row r="158" spans="1:25" s="34" customFormat="1">
      <c r="B158"/>
      <c r="C158"/>
      <c r="D158"/>
      <c r="E158"/>
      <c r="F158"/>
      <c r="G158"/>
      <c r="H158"/>
      <c r="I158"/>
      <c r="J158"/>
      <c r="K158"/>
      <c r="L158"/>
      <c r="M158">
        <f>B157*M157</f>
        <v>-2.8730721630882473E-3</v>
      </c>
      <c r="N158">
        <f>C157*N157</f>
        <v>-1.9021193976232905E-3</v>
      </c>
      <c r="O158">
        <f>D157*O157</f>
        <v>-1.9627263795943791E-3</v>
      </c>
      <c r="P158">
        <f>E157*P157</f>
        <v>-2.2124223692790556E-3</v>
      </c>
      <c r="Q158">
        <f>F157*Q157</f>
        <v>-3.8404425393921689E-3</v>
      </c>
      <c r="R158">
        <f>G157*R157</f>
        <v>-4.1724731159788727E-3</v>
      </c>
      <c r="S158">
        <f>H157*S157</f>
        <v>-3.892484364079568E-3</v>
      </c>
      <c r="T158">
        <f>I157*T157</f>
        <v>-3.9247524986434808E-3</v>
      </c>
      <c r="U158">
        <f>J157*U157</f>
        <v>-3.3955793056147736E-3</v>
      </c>
      <c r="V158">
        <f>K157*V157</f>
        <v>-3.621821613394628E-3</v>
      </c>
      <c r="W158">
        <f>L157*W157</f>
        <v>-3.0217543578087229E-3</v>
      </c>
      <c r="X158">
        <f>SUM(M158:W158)</f>
        <v>-3.4819648104497183E-2</v>
      </c>
      <c r="Y158">
        <f>X158/11/Y156</f>
        <v>-0.85422658485338532</v>
      </c>
    </row>
    <row r="159" spans="1:25" s="29" customFormat="1">
      <c r="A159" s="29">
        <v>218</v>
      </c>
      <c r="B159">
        <v>0.27161511574226738</v>
      </c>
      <c r="C159">
        <v>0.24485132313942334</v>
      </c>
      <c r="D159">
        <v>0.2450555612192884</v>
      </c>
      <c r="E159">
        <v>0.25391750956448822</v>
      </c>
      <c r="F159">
        <v>0.28547963206307492</v>
      </c>
      <c r="G159">
        <v>0.28316873546555527</v>
      </c>
      <c r="H159">
        <v>0.27687087894500995</v>
      </c>
      <c r="I159">
        <v>0.2834864104967198</v>
      </c>
      <c r="J159">
        <v>0.29622633022983852</v>
      </c>
      <c r="K159">
        <v>0.3053126093258034</v>
      </c>
      <c r="L159">
        <v>0.30757674395312734</v>
      </c>
      <c r="M159">
        <v>0.19722521451654842</v>
      </c>
      <c r="N159">
        <v>0.1766115621637484</v>
      </c>
      <c r="O159">
        <v>0.17632170600035002</v>
      </c>
      <c r="P159">
        <v>0.18935743117404505</v>
      </c>
      <c r="Q159">
        <v>0.19421218094812362</v>
      </c>
      <c r="R159">
        <v>0.18401142992508365</v>
      </c>
      <c r="S159">
        <v>0.17782953843228597</v>
      </c>
      <c r="T159">
        <v>0.18283910549948873</v>
      </c>
      <c r="U159">
        <v>0.20404651012703159</v>
      </c>
      <c r="V159">
        <v>0.20559903672486454</v>
      </c>
      <c r="W159">
        <v>0.21177436875712052</v>
      </c>
      <c r="X159" s="31">
        <f>AVERAGE(B159:W159)</f>
        <v>0.23424495156424027</v>
      </c>
      <c r="Y159" s="31">
        <f>(_xlfn.STDEV.P(B159:W159))^2</f>
        <v>2.1724449670056205E-3</v>
      </c>
    </row>
    <row r="160" spans="1:25">
      <c r="B160">
        <f>B159-$X159</f>
        <v>3.7370164178027104E-2</v>
      </c>
      <c r="C160">
        <f>C159-$X159</f>
        <v>1.0606371575183071E-2</v>
      </c>
      <c r="D160">
        <f>D159-$X159</f>
        <v>1.0810609655048126E-2</v>
      </c>
      <c r="E160">
        <f>E159-$X159</f>
        <v>1.9672558000247947E-2</v>
      </c>
      <c r="F160">
        <f>F159-$X159</f>
        <v>5.1234680498834645E-2</v>
      </c>
      <c r="G160">
        <f>G159-$X159</f>
        <v>4.8923783901314993E-2</v>
      </c>
      <c r="H160">
        <f>H159-$X159</f>
        <v>4.2625927380769674E-2</v>
      </c>
      <c r="I160">
        <f>I159-$X159</f>
        <v>4.9241458932479526E-2</v>
      </c>
      <c r="J160">
        <f>J159-$X159</f>
        <v>6.1981378665598247E-2</v>
      </c>
      <c r="K160">
        <f>K159-$X159</f>
        <v>7.1067657761563124E-2</v>
      </c>
      <c r="L160">
        <f>L159-$X159</f>
        <v>7.3331792388887068E-2</v>
      </c>
      <c r="M160">
        <f>M159-$X159</f>
        <v>-3.7019737047691847E-2</v>
      </c>
      <c r="N160">
        <f>N159-$X159</f>
        <v>-5.7633389400491869E-2</v>
      </c>
      <c r="O160">
        <f>O159-$X159</f>
        <v>-5.7923245563890252E-2</v>
      </c>
      <c r="P160">
        <f>P159-$X159</f>
        <v>-4.4887520390195224E-2</v>
      </c>
      <c r="Q160">
        <f>Q159-$X159</f>
        <v>-4.0032770616116653E-2</v>
      </c>
      <c r="R160">
        <f>R159-$X159</f>
        <v>-5.023352163915662E-2</v>
      </c>
      <c r="S160">
        <f>S159-$X159</f>
        <v>-5.6415413131954306E-2</v>
      </c>
      <c r="T160">
        <f>T159-$X159</f>
        <v>-5.1405846064751543E-2</v>
      </c>
      <c r="U160">
        <f>U159-$X159</f>
        <v>-3.0198441437208678E-2</v>
      </c>
      <c r="V160">
        <f>V159-$X159</f>
        <v>-2.864591483937573E-2</v>
      </c>
      <c r="W160">
        <f>W159-$X159</f>
        <v>-2.2470582807119749E-2</v>
      </c>
    </row>
    <row r="161" spans="1:25">
      <c r="M161">
        <f>B160*M160</f>
        <v>-1.3834336512996367E-3</v>
      </c>
      <c r="N161">
        <f>C160*N160</f>
        <v>-6.1128114311883425E-4</v>
      </c>
      <c r="O161">
        <f>D160*O160</f>
        <v>-6.2618559774471551E-4</v>
      </c>
      <c r="P161">
        <f>E160*P160</f>
        <v>-8.830523483634279E-4</v>
      </c>
      <c r="Q161">
        <f>F160*Q160</f>
        <v>-2.0510662119998723E-3</v>
      </c>
      <c r="R161">
        <f>G160*R160</f>
        <v>-2.457613957276129E-3</v>
      </c>
      <c r="S161">
        <f>H160*S160</f>
        <v>-2.4047593033188039E-3</v>
      </c>
      <c r="T161">
        <f>I160*T160</f>
        <v>-2.5312988578868275E-3</v>
      </c>
      <c r="U161">
        <f>J160*U160</f>
        <v>-1.871741033830524E-3</v>
      </c>
      <c r="V161">
        <f>K160*V160</f>
        <v>-2.035798072071637E-3</v>
      </c>
      <c r="W161">
        <f>L160*W160</f>
        <v>-1.6478081132690007E-3</v>
      </c>
      <c r="X161">
        <f>SUM(M161:W161)</f>
        <v>-1.8504038290179409E-2</v>
      </c>
      <c r="Y161">
        <f>X161/11/Y159</f>
        <v>-0.77432815314343784</v>
      </c>
    </row>
    <row r="162" spans="1:25" s="33" customFormat="1">
      <c r="A162" s="33">
        <v>610</v>
      </c>
      <c r="B162">
        <v>0.17197768283974971</v>
      </c>
      <c r="C162">
        <v>0.14962757630448006</v>
      </c>
      <c r="D162">
        <v>0.15419261827810077</v>
      </c>
      <c r="E162">
        <v>0.16063407658065945</v>
      </c>
      <c r="F162">
        <v>0.1701475712236114</v>
      </c>
      <c r="G162">
        <v>0.15842084218944003</v>
      </c>
      <c r="H162">
        <v>0.1625273268107372</v>
      </c>
      <c r="I162">
        <v>0.16476726980088782</v>
      </c>
      <c r="J162">
        <v>0.1810676940011007</v>
      </c>
      <c r="K162">
        <v>0.18682029583522747</v>
      </c>
      <c r="L162">
        <v>0.19403065436663197</v>
      </c>
      <c r="M162">
        <v>0.16072280420554505</v>
      </c>
      <c r="N162">
        <v>0.13972648635477583</v>
      </c>
      <c r="O162">
        <v>0.13945051934879657</v>
      </c>
      <c r="P162">
        <v>0.14574780058651027</v>
      </c>
      <c r="Q162">
        <v>0.15308217136140237</v>
      </c>
      <c r="R162">
        <v>0.14348772092525547</v>
      </c>
      <c r="S162">
        <v>0.1437556421931887</v>
      </c>
      <c r="T162">
        <v>0.14801968490636155</v>
      </c>
      <c r="U162">
        <v>0.16392118638167513</v>
      </c>
      <c r="V162">
        <v>0.16708599155359871</v>
      </c>
      <c r="W162">
        <v>0.17207188263267717</v>
      </c>
      <c r="X162" s="31">
        <f>AVERAGE(B162:W162)</f>
        <v>0.16051297721274607</v>
      </c>
      <c r="Y162" s="31">
        <f>(_xlfn.STDEV.P(B162:W162))^2</f>
        <v>2.1415515945539065E-4</v>
      </c>
    </row>
    <row r="163" spans="1:25" s="34" customFormat="1">
      <c r="B163">
        <f>B162-$X162</f>
        <v>1.1464705627003635E-2</v>
      </c>
      <c r="C163">
        <f>C162-$X162</f>
        <v>-1.0885400908266007E-2</v>
      </c>
      <c r="D163">
        <f>D162-$X162</f>
        <v>-6.3203589346453037E-3</v>
      </c>
      <c r="E163">
        <f>E162-$X162</f>
        <v>1.2109936791337983E-4</v>
      </c>
      <c r="F163">
        <f>F162-$X162</f>
        <v>9.6345940108653327E-3</v>
      </c>
      <c r="G163">
        <f>G162-$X162</f>
        <v>-2.0921350233060465E-3</v>
      </c>
      <c r="H163">
        <f>H162-$X162</f>
        <v>2.0143495979911274E-3</v>
      </c>
      <c r="I163">
        <f>I162-$X162</f>
        <v>4.2542925881417504E-3</v>
      </c>
      <c r="J163">
        <f>J162-$X162</f>
        <v>2.0554716788354632E-2</v>
      </c>
      <c r="K163">
        <f>K162-$X162</f>
        <v>2.6307318622481396E-2</v>
      </c>
      <c r="L163">
        <f>L162-$X162</f>
        <v>3.35176771538859E-2</v>
      </c>
      <c r="M163">
        <f>M162-$X162</f>
        <v>2.0982699279897821E-4</v>
      </c>
      <c r="N163">
        <f>N162-$X162</f>
        <v>-2.0786490857970241E-2</v>
      </c>
      <c r="O163">
        <f>O162-$X162</f>
        <v>-2.1062457863949502E-2</v>
      </c>
      <c r="P163">
        <f>P162-$X162</f>
        <v>-1.4765176626235804E-2</v>
      </c>
      <c r="Q163">
        <f>Q162-$X162</f>
        <v>-7.4308058513437025E-3</v>
      </c>
      <c r="R163">
        <f>R162-$X162</f>
        <v>-1.7025256287490603E-2</v>
      </c>
      <c r="S163">
        <f>S162-$X162</f>
        <v>-1.6757335019557368E-2</v>
      </c>
      <c r="T163">
        <f>T162-$X162</f>
        <v>-1.2493292306384518E-2</v>
      </c>
      <c r="U163">
        <f>U162-$X162</f>
        <v>3.4082091689290606E-3</v>
      </c>
      <c r="V163">
        <f>V162-$X162</f>
        <v>6.5730143408526398E-3</v>
      </c>
      <c r="W163">
        <f>W162-$X162</f>
        <v>1.1558905419931098E-2</v>
      </c>
      <c r="X163"/>
      <c r="Y163"/>
    </row>
    <row r="164" spans="1:25" s="34" customFormat="1">
      <c r="B164"/>
      <c r="C164"/>
      <c r="D164"/>
      <c r="E164"/>
      <c r="F164"/>
      <c r="G164"/>
      <c r="H164"/>
      <c r="I164"/>
      <c r="J164"/>
      <c r="K164"/>
      <c r="L164"/>
      <c r="M164">
        <f>B163*M163</f>
        <v>2.4056047050396965E-6</v>
      </c>
      <c r="N164">
        <f>C163*N163</f>
        <v>2.2626928646501233E-4</v>
      </c>
      <c r="O164">
        <f>D163*O163</f>
        <v>1.3312229374600346E-4</v>
      </c>
      <c r="P164">
        <f>E163*P163</f>
        <v>-1.7880535565665659E-6</v>
      </c>
      <c r="Q164">
        <f>F163*Q163</f>
        <v>-7.15927975512591E-5</v>
      </c>
      <c r="R164">
        <f>G163*R163</f>
        <v>3.5619134959820567E-5</v>
      </c>
      <c r="S164">
        <f>H163*S163</f>
        <v>-3.3755131060048025E-5</v>
      </c>
      <c r="T164">
        <f>I163*T163</f>
        <v>-5.3150120860540012E-5</v>
      </c>
      <c r="U164">
        <f>J163*U163</f>
        <v>7.0054774222810351E-5</v>
      </c>
      <c r="V164">
        <f>K163*V163</f>
        <v>1.7291838257494992E-4</v>
      </c>
      <c r="W164">
        <f>L163*W163</f>
        <v>3.8742766011755245E-4</v>
      </c>
      <c r="X164">
        <f>SUM(M164:W164)</f>
        <v>8.6753103376277507E-4</v>
      </c>
      <c r="Y164">
        <f>X164/11/Y162</f>
        <v>0.36826783821300335</v>
      </c>
    </row>
    <row r="165" spans="1:25" s="29" customFormat="1">
      <c r="A165" s="29">
        <v>614</v>
      </c>
      <c r="B165">
        <v>0.17197768283974971</v>
      </c>
      <c r="C165">
        <v>0.14962757630448006</v>
      </c>
      <c r="D165">
        <v>0.15419261827810077</v>
      </c>
      <c r="E165">
        <v>0.16063407658065945</v>
      </c>
      <c r="F165">
        <v>0.1701475712236114</v>
      </c>
      <c r="G165">
        <v>0.15842084218944003</v>
      </c>
      <c r="H165">
        <v>0.1625273268107372</v>
      </c>
      <c r="I165">
        <v>0.16476726980088782</v>
      </c>
      <c r="J165">
        <v>0.1810676940011007</v>
      </c>
      <c r="K165">
        <v>0.18682029583522747</v>
      </c>
      <c r="L165">
        <v>0.19403065436663197</v>
      </c>
      <c r="M165">
        <v>0.16438299899781492</v>
      </c>
      <c r="N165">
        <v>0.14491852459646917</v>
      </c>
      <c r="O165">
        <v>0.14315714900184703</v>
      </c>
      <c r="P165">
        <v>0.15541674304488218</v>
      </c>
      <c r="Q165">
        <v>0.16126543209876543</v>
      </c>
      <c r="R165">
        <v>0.15397183836733436</v>
      </c>
      <c r="S165">
        <v>0.15169356917729046</v>
      </c>
      <c r="T165">
        <v>0.15815229689975108</v>
      </c>
      <c r="U165">
        <v>0.17514557847695572</v>
      </c>
      <c r="V165">
        <v>0.17717549557621234</v>
      </c>
      <c r="W165">
        <v>0.18504977474701831</v>
      </c>
      <c r="X165" s="31">
        <f>AVERAGE(B165:W165)</f>
        <v>0.16475195496431669</v>
      </c>
      <c r="Y165" s="31">
        <f>(_xlfn.STDEV.P(B165:W165))^2</f>
        <v>1.844462026646264E-4</v>
      </c>
    </row>
    <row r="166" spans="1:25">
      <c r="B166">
        <f>B165-$X165</f>
        <v>7.225727875433019E-3</v>
      </c>
      <c r="C166">
        <f>C165-$X165</f>
        <v>-1.5124378659836624E-2</v>
      </c>
      <c r="D166">
        <f>D165-$X165</f>
        <v>-1.055933668621592E-2</v>
      </c>
      <c r="E166">
        <f>E165-$X165</f>
        <v>-4.1178783836572364E-3</v>
      </c>
      <c r="F166">
        <f>F165-$X165</f>
        <v>5.3956162592947166E-3</v>
      </c>
      <c r="G166">
        <f>G165-$X165</f>
        <v>-6.3311127748766627E-3</v>
      </c>
      <c r="H166">
        <f>H165-$X165</f>
        <v>-2.2246281535794887E-3</v>
      </c>
      <c r="I166">
        <f>I165-$X165</f>
        <v>1.5314836571134194E-5</v>
      </c>
      <c r="J166">
        <f>J165-$X165</f>
        <v>1.6315739036784016E-2</v>
      </c>
      <c r="K166">
        <f>K165-$X165</f>
        <v>2.206834087091078E-2</v>
      </c>
      <c r="L166">
        <f>L165-$X165</f>
        <v>2.9278699402315284E-2</v>
      </c>
      <c r="M166">
        <f>M165-$X165</f>
        <v>-3.6895596650177165E-4</v>
      </c>
      <c r="N166">
        <f>N165-$X165</f>
        <v>-1.9833430367847515E-2</v>
      </c>
      <c r="O166">
        <f>O165-$X165</f>
        <v>-2.1594805962469654E-2</v>
      </c>
      <c r="P166">
        <f>P165-$X165</f>
        <v>-9.3352119194345107E-3</v>
      </c>
      <c r="Q166">
        <f>Q165-$X165</f>
        <v>-3.4865228655512615E-3</v>
      </c>
      <c r="R166">
        <f>R165-$X165</f>
        <v>-1.0780116596982331E-2</v>
      </c>
      <c r="S166">
        <f>S165-$X165</f>
        <v>-1.3058385787026228E-2</v>
      </c>
      <c r="T166">
        <f>T165-$X165</f>
        <v>-6.5996580645656111E-3</v>
      </c>
      <c r="U166">
        <f>U165-$X165</f>
        <v>1.0393623512639033E-2</v>
      </c>
      <c r="V166">
        <f>V165-$X165</f>
        <v>1.2423540611895656E-2</v>
      </c>
      <c r="W166">
        <f>W165-$X165</f>
        <v>2.029781978270162E-2</v>
      </c>
    </row>
    <row r="167" spans="1:25">
      <c r="M167">
        <f>B166*M166</f>
        <v>-2.6659754119591825E-6</v>
      </c>
      <c r="N167">
        <f>C166*N166</f>
        <v>2.9996831100682859E-4</v>
      </c>
      <c r="O167">
        <f>D166*O166</f>
        <v>2.280268268312201E-4</v>
      </c>
      <c r="P167">
        <f>E166*P166</f>
        <v>3.844126736989875E-5</v>
      </c>
      <c r="Q167">
        <f>F166*Q166</f>
        <v>-1.8811939461771194E-5</v>
      </c>
      <c r="R167">
        <f>G166*R166</f>
        <v>6.8250133901814772E-5</v>
      </c>
      <c r="S167">
        <f>H166*S166</f>
        <v>2.9050052662120797E-5</v>
      </c>
      <c r="T167">
        <f>I166*T166</f>
        <v>-1.0107268468419013E-7</v>
      </c>
      <c r="U167">
        <f>J166*U166</f>
        <v>1.6957964887880087E-4</v>
      </c>
      <c r="V167">
        <f>K166*V166</f>
        <v>2.7416692904691682E-4</v>
      </c>
      <c r="W167">
        <f>L166*W166</f>
        <v>5.9429376394008933E-4</v>
      </c>
      <c r="X167">
        <f>SUM(M167:W167)</f>
        <v>1.6801979460792753E-3</v>
      </c>
      <c r="Y167">
        <f>X167/11/Y165</f>
        <v>0.82812910007760521</v>
      </c>
    </row>
    <row r="168" spans="1:25" s="33" customFormat="1">
      <c r="A168" s="33">
        <v>618</v>
      </c>
      <c r="B168">
        <v>0.17197768283974971</v>
      </c>
      <c r="C168">
        <v>0.14962757630448006</v>
      </c>
      <c r="D168">
        <v>0.15419261827810077</v>
      </c>
      <c r="E168">
        <v>0.16063407658065945</v>
      </c>
      <c r="F168">
        <v>0.1701475712236114</v>
      </c>
      <c r="G168">
        <v>0.15842084218944003</v>
      </c>
      <c r="H168">
        <v>0.1625273268107372</v>
      </c>
      <c r="I168">
        <v>0.16476726980088782</v>
      </c>
      <c r="J168">
        <v>0.1810676940011007</v>
      </c>
      <c r="K168">
        <v>0.18682029583522747</v>
      </c>
      <c r="L168">
        <v>0.19403065436663197</v>
      </c>
      <c r="M168">
        <v>0.19722521451654842</v>
      </c>
      <c r="N168">
        <v>0.1766115621637484</v>
      </c>
      <c r="O168">
        <v>0.17632170600035002</v>
      </c>
      <c r="P168">
        <v>0.18935743117404505</v>
      </c>
      <c r="Q168">
        <v>0.19421218094812362</v>
      </c>
      <c r="R168">
        <v>0.18401142992508365</v>
      </c>
      <c r="S168">
        <v>0.17782953843228597</v>
      </c>
      <c r="T168">
        <v>0.18283910549948873</v>
      </c>
      <c r="U168">
        <v>0.20404651012703159</v>
      </c>
      <c r="V168">
        <v>0.20559903672486454</v>
      </c>
      <c r="W168">
        <v>0.21177436875712052</v>
      </c>
      <c r="X168" s="31">
        <f>AVERAGE(B168:W168)</f>
        <v>0.179729167840878</v>
      </c>
      <c r="Y168" s="31">
        <f>(_xlfn.STDEV.P(B168:W168))^2</f>
        <v>2.8427955436358929E-4</v>
      </c>
    </row>
    <row r="169" spans="1:25" s="34" customFormat="1">
      <c r="B169">
        <f>B168-$X168</f>
        <v>-7.7514850011282943E-3</v>
      </c>
      <c r="C169">
        <f>C168-$X168</f>
        <v>-3.0101591536397937E-2</v>
      </c>
      <c r="D169">
        <f>D168-$X168</f>
        <v>-2.5536549562777233E-2</v>
      </c>
      <c r="E169">
        <f>E168-$X168</f>
        <v>-1.909509126021855E-2</v>
      </c>
      <c r="F169">
        <f>F168-$X168</f>
        <v>-9.5815966172665967E-3</v>
      </c>
      <c r="G169">
        <f>G168-$X168</f>
        <v>-2.1308325651437976E-2</v>
      </c>
      <c r="H169">
        <f>H168-$X168</f>
        <v>-1.7201841030140802E-2</v>
      </c>
      <c r="I169">
        <f>I168-$X168</f>
        <v>-1.4961898039990179E-2</v>
      </c>
      <c r="J169">
        <f>J168-$X168</f>
        <v>1.3385261602227028E-3</v>
      </c>
      <c r="K169">
        <f>K168-$X168</f>
        <v>7.0911279943494665E-3</v>
      </c>
      <c r="L169">
        <f>L168-$X168</f>
        <v>1.430148652575397E-2</v>
      </c>
      <c r="M169">
        <f>M168-$X168</f>
        <v>1.7496046675670424E-2</v>
      </c>
      <c r="N169">
        <f>N168-$X168</f>
        <v>-3.1176056771295979E-3</v>
      </c>
      <c r="O169">
        <f>O168-$X168</f>
        <v>-3.4074618405279811E-3</v>
      </c>
      <c r="P169">
        <f>P168-$X168</f>
        <v>9.6282633331670475E-3</v>
      </c>
      <c r="Q169">
        <f>Q168-$X168</f>
        <v>1.4483013107245618E-2</v>
      </c>
      <c r="R169">
        <f>R168-$X168</f>
        <v>4.2822620842056514E-3</v>
      </c>
      <c r="S169">
        <f>S168-$X168</f>
        <v>-1.8996294085920351E-3</v>
      </c>
      <c r="T169">
        <f>T168-$X168</f>
        <v>3.1099376586107286E-3</v>
      </c>
      <c r="U169">
        <f>U168-$X168</f>
        <v>2.4317342286153593E-2</v>
      </c>
      <c r="V169">
        <f>V168-$X168</f>
        <v>2.5869868883986541E-2</v>
      </c>
      <c r="W169">
        <f>W168-$X168</f>
        <v>3.2045200916242522E-2</v>
      </c>
      <c r="X169"/>
      <c r="Y169"/>
    </row>
    <row r="170" spans="1:25" s="34" customFormat="1">
      <c r="B170"/>
      <c r="C170"/>
      <c r="D170"/>
      <c r="E170"/>
      <c r="F170"/>
      <c r="G170"/>
      <c r="H170"/>
      <c r="I170"/>
      <c r="J170"/>
      <c r="K170"/>
      <c r="L170"/>
      <c r="M170">
        <f>B169*M169</f>
        <v>-1.3562034338549984E-4</v>
      </c>
      <c r="N170">
        <f>C169*N169</f>
        <v>9.3844892664510457E-5</v>
      </c>
      <c r="O170">
        <f>D169*O169</f>
        <v>8.7014818173914921E-5</v>
      </c>
      <c r="P170">
        <f>E169*P169</f>
        <v>-1.8385256702424082E-4</v>
      </c>
      <c r="Q170">
        <f>F169*Q169</f>
        <v>-1.3877038939621241E-4</v>
      </c>
      <c r="R170">
        <f>G169*R169</f>
        <v>-9.1247835015059527E-5</v>
      </c>
      <c r="S170">
        <f>H169*S169</f>
        <v>3.2677123102780572E-5</v>
      </c>
      <c r="T170">
        <f>I169*T169</f>
        <v>-4.6530570158859507E-5</v>
      </c>
      <c r="U170">
        <f>J169*U169</f>
        <v>3.254939879710633E-5</v>
      </c>
      <c r="V170">
        <f>K169*V169</f>
        <v>1.8344655145338716E-4</v>
      </c>
      <c r="W170">
        <f>L169*W169</f>
        <v>4.5829400911872123E-4</v>
      </c>
      <c r="X170">
        <f>SUM(M170:W170)</f>
        <v>2.9180508833054857E-4</v>
      </c>
      <c r="Y170">
        <f>X170/11/Y168</f>
        <v>9.3315663738689311E-2</v>
      </c>
    </row>
    <row r="171" spans="1:25" s="29" customFormat="1">
      <c r="A171" s="29">
        <v>1014</v>
      </c>
      <c r="B171">
        <v>0.16072280420554505</v>
      </c>
      <c r="C171">
        <v>0.13972648635477583</v>
      </c>
      <c r="D171">
        <v>0.13945051934879657</v>
      </c>
      <c r="E171">
        <v>0.14574780058651027</v>
      </c>
      <c r="F171">
        <v>0.15308217136140237</v>
      </c>
      <c r="G171">
        <v>0.14348772092525547</v>
      </c>
      <c r="H171">
        <v>0.1437556421931887</v>
      </c>
      <c r="I171">
        <v>0.14801968490636155</v>
      </c>
      <c r="J171">
        <v>0.16392118638167513</v>
      </c>
      <c r="K171">
        <v>0.16708599155359871</v>
      </c>
      <c r="L171">
        <v>0.17207188263267717</v>
      </c>
      <c r="M171">
        <v>0.16438299899781492</v>
      </c>
      <c r="N171">
        <v>0.14491852459646917</v>
      </c>
      <c r="O171">
        <v>0.14315714900184703</v>
      </c>
      <c r="P171">
        <v>0.15541674304488218</v>
      </c>
      <c r="Q171">
        <v>0.16126543209876543</v>
      </c>
      <c r="R171">
        <v>0.15397183836733436</v>
      </c>
      <c r="S171">
        <v>0.15169356917729046</v>
      </c>
      <c r="T171">
        <v>0.15815229689975108</v>
      </c>
      <c r="U171">
        <v>0.17514557847695572</v>
      </c>
      <c r="V171">
        <v>0.17717549557621234</v>
      </c>
      <c r="W171">
        <v>0.18504977474701831</v>
      </c>
      <c r="X171" s="31">
        <f>AVERAGE(B171:W171)</f>
        <v>0.15670005870155126</v>
      </c>
      <c r="Y171" s="31">
        <f>(_xlfn.STDEV.P(B171:W171))^2</f>
        <v>1.6137211531150439E-4</v>
      </c>
    </row>
    <row r="172" spans="1:25">
      <c r="B172">
        <f>B171-$X171</f>
        <v>4.0227455039937854E-3</v>
      </c>
      <c r="C172">
        <f>C171-$X171</f>
        <v>-1.6973572346775434E-2</v>
      </c>
      <c r="D172">
        <f>D171-$X171</f>
        <v>-1.7249539352754695E-2</v>
      </c>
      <c r="E172">
        <f>E171-$X171</f>
        <v>-1.0952258115040997E-2</v>
      </c>
      <c r="F172">
        <f>F171-$X171</f>
        <v>-3.6178873401488953E-3</v>
      </c>
      <c r="G172">
        <f>G171-$X171</f>
        <v>-1.3212337776295796E-2</v>
      </c>
      <c r="H172">
        <f>H171-$X171</f>
        <v>-1.2944416508362561E-2</v>
      </c>
      <c r="I172">
        <f>I171-$X171</f>
        <v>-8.6803737951897109E-3</v>
      </c>
      <c r="J172">
        <f>J171-$X171</f>
        <v>7.2211276801238677E-3</v>
      </c>
      <c r="K172">
        <f>K171-$X171</f>
        <v>1.0385932852047447E-2</v>
      </c>
      <c r="L172">
        <f>L171-$X171</f>
        <v>1.5371823931125905E-2</v>
      </c>
      <c r="M172">
        <f>M171-$X171</f>
        <v>7.6829402962636517E-3</v>
      </c>
      <c r="N172">
        <f>N171-$X171</f>
        <v>-1.1781534105082092E-2</v>
      </c>
      <c r="O172">
        <f>O171-$X171</f>
        <v>-1.3542909699704231E-2</v>
      </c>
      <c r="P172">
        <f>P171-$X171</f>
        <v>-1.2833156566690873E-3</v>
      </c>
      <c r="Q172">
        <f>Q171-$X171</f>
        <v>4.5653733972141619E-3</v>
      </c>
      <c r="R172">
        <f>R171-$X171</f>
        <v>-2.7282203342169076E-3</v>
      </c>
      <c r="S172">
        <f>S171-$X171</f>
        <v>-5.0064895242608043E-3</v>
      </c>
      <c r="T172">
        <f>T171-$X171</f>
        <v>1.4522381981998123E-3</v>
      </c>
      <c r="U172">
        <f>U171-$X171</f>
        <v>1.8445519775404456E-2</v>
      </c>
      <c r="V172">
        <f>V171-$X171</f>
        <v>2.0475436874661079E-2</v>
      </c>
      <c r="W172">
        <f>W171-$X171</f>
        <v>2.8349716045467044E-2</v>
      </c>
    </row>
    <row r="173" spans="1:25">
      <c r="M173">
        <f>B172*M172</f>
        <v>3.0906513534247283E-5</v>
      </c>
      <c r="N173">
        <f>C172*N172</f>
        <v>1.9997472148861306E-4</v>
      </c>
      <c r="O173">
        <f>D172*O172</f>
        <v>2.3360895381585139E-4</v>
      </c>
      <c r="P173">
        <f>E172*P172</f>
        <v>1.4055204314913177E-5</v>
      </c>
      <c r="Q173">
        <f>F172*Q172</f>
        <v>-1.6517006616833669E-5</v>
      </c>
      <c r="R173">
        <f>G172*R172</f>
        <v>3.6046168583832393E-5</v>
      </c>
      <c r="S173">
        <f>H172*S172</f>
        <v>6.4806085646785782E-5</v>
      </c>
      <c r="T173">
        <f>I172*T172</f>
        <v>-1.2605970400027171E-5</v>
      </c>
      <c r="U173">
        <f>J172*U172</f>
        <v>1.3319745342444531E-4</v>
      </c>
      <c r="V173">
        <f>K172*V172</f>
        <v>2.1265651249656621E-4</v>
      </c>
      <c r="W173">
        <f>L172*W172</f>
        <v>4.3578684354833439E-4</v>
      </c>
      <c r="X173">
        <f>SUM(M173:W173)</f>
        <v>1.3319154798367282E-3</v>
      </c>
      <c r="Y173">
        <f>X173/11/Y171</f>
        <v>0.7503354913949648</v>
      </c>
    </row>
    <row r="174" spans="1:25" s="33" customFormat="1">
      <c r="A174" s="33">
        <v>1018</v>
      </c>
      <c r="B174">
        <v>0.16072280420554505</v>
      </c>
      <c r="C174">
        <v>0.13972648635477583</v>
      </c>
      <c r="D174">
        <v>0.13945051934879657</v>
      </c>
      <c r="E174">
        <v>0.14574780058651027</v>
      </c>
      <c r="F174">
        <v>0.15308217136140237</v>
      </c>
      <c r="G174">
        <v>0.14348772092525547</v>
      </c>
      <c r="H174">
        <v>0.1437556421931887</v>
      </c>
      <c r="I174">
        <v>0.14801968490636155</v>
      </c>
      <c r="J174">
        <v>0.16392118638167513</v>
      </c>
      <c r="K174">
        <v>0.16708599155359871</v>
      </c>
      <c r="L174">
        <v>0.17207188263267717</v>
      </c>
      <c r="M174">
        <v>0.19722521451654842</v>
      </c>
      <c r="N174">
        <v>0.1766115621637484</v>
      </c>
      <c r="O174">
        <v>0.17632170600035002</v>
      </c>
      <c r="P174">
        <v>0.18935743117404505</v>
      </c>
      <c r="Q174">
        <v>0.19421218094812362</v>
      </c>
      <c r="R174">
        <v>0.18401142992508365</v>
      </c>
      <c r="S174">
        <v>0.17782953843228597</v>
      </c>
      <c r="T174">
        <v>0.18283910549948873</v>
      </c>
      <c r="U174">
        <v>0.20404651012703159</v>
      </c>
      <c r="V174">
        <v>0.20559903672486454</v>
      </c>
      <c r="W174">
        <v>0.21177436875712052</v>
      </c>
      <c r="X174" s="31">
        <f>AVERAGE(B174:W174)</f>
        <v>0.17167727157811258</v>
      </c>
      <c r="Y174" s="31">
        <f>(_xlfn.STDEV.P(B174:W174))^2</f>
        <v>5.0239539578533126E-4</v>
      </c>
    </row>
    <row r="175" spans="1:25" s="34" customFormat="1">
      <c r="B175">
        <f>B174-$X174</f>
        <v>-1.0954467372567528E-2</v>
      </c>
      <c r="C175">
        <f>C174-$X174</f>
        <v>-3.1950785223336747E-2</v>
      </c>
      <c r="D175">
        <f>D174-$X174</f>
        <v>-3.2226752229316008E-2</v>
      </c>
      <c r="E175">
        <f>E174-$X174</f>
        <v>-2.592947099160231E-2</v>
      </c>
      <c r="F175">
        <f>F174-$X174</f>
        <v>-1.8595100216710209E-2</v>
      </c>
      <c r="G175">
        <f>G174-$X174</f>
        <v>-2.8189550652857109E-2</v>
      </c>
      <c r="H175">
        <f>H174-$X174</f>
        <v>-2.7921629384923874E-2</v>
      </c>
      <c r="I175">
        <f>I174-$X174</f>
        <v>-2.3657586671751024E-2</v>
      </c>
      <c r="J175">
        <f>J174-$X174</f>
        <v>-7.7560851964374455E-3</v>
      </c>
      <c r="K175">
        <f>K174-$X174</f>
        <v>-4.5912800245138663E-3</v>
      </c>
      <c r="L175">
        <f>L174-$X174</f>
        <v>3.94611054564592E-4</v>
      </c>
      <c r="M175">
        <f>M174-$X174</f>
        <v>2.5547942938435847E-2</v>
      </c>
      <c r="N175">
        <f>N174-$X174</f>
        <v>4.9342905856358255E-3</v>
      </c>
      <c r="O175">
        <f>O174-$X174</f>
        <v>4.6444344222374423E-3</v>
      </c>
      <c r="P175">
        <f>P174-$X174</f>
        <v>1.7680159595932471E-2</v>
      </c>
      <c r="Q175">
        <f>Q174-$X174</f>
        <v>2.2534909370011041E-2</v>
      </c>
      <c r="R175">
        <f>R174-$X174</f>
        <v>1.2334158346971075E-2</v>
      </c>
      <c r="S175">
        <f>S174-$X174</f>
        <v>6.1522668541733883E-3</v>
      </c>
      <c r="T175">
        <f>T174-$X174</f>
        <v>1.1161833921376152E-2</v>
      </c>
      <c r="U175">
        <f>U174-$X174</f>
        <v>3.2369238548919016E-2</v>
      </c>
      <c r="V175">
        <f>V174-$X174</f>
        <v>3.3921765146751964E-2</v>
      </c>
      <c r="W175">
        <f>W174-$X174</f>
        <v>4.0097097179007946E-2</v>
      </c>
      <c r="X175"/>
      <c r="Y175"/>
    </row>
    <row r="176" spans="1:25" s="34" customFormat="1">
      <c r="B176"/>
      <c r="C176"/>
      <c r="D176"/>
      <c r="E176"/>
      <c r="F176"/>
      <c r="G176"/>
      <c r="H176"/>
      <c r="I176"/>
      <c r="J176"/>
      <c r="K176"/>
      <c r="L176"/>
      <c r="M176">
        <f>B175*M175</f>
        <v>-2.7986410735531247E-4</v>
      </c>
      <c r="N176">
        <f>C175*N175</f>
        <v>-1.5765445873118275E-4</v>
      </c>
      <c r="O176">
        <f>D175*O175</f>
        <v>-1.4967503737075251E-4</v>
      </c>
      <c r="P176">
        <f>E175*P175</f>
        <v>-4.5843718536963025E-4</v>
      </c>
      <c r="Q176">
        <f>F175*Q175</f>
        <v>-4.1903889810983725E-4</v>
      </c>
      <c r="R176">
        <f>G175*R175</f>
        <v>-3.4769438148230143E-4</v>
      </c>
      <c r="S176">
        <f>H175*S175</f>
        <v>-1.7178131497938085E-4</v>
      </c>
      <c r="T176">
        <f>I175*T175</f>
        <v>-2.6406205341064691E-4</v>
      </c>
      <c r="U176">
        <f>J175*U175</f>
        <v>-2.5105857192922308E-4</v>
      </c>
      <c r="V176">
        <f>K175*V175</f>
        <v>-1.5574432271453297E-4</v>
      </c>
      <c r="W176">
        <f>L175*W175</f>
        <v>1.5822757802787252E-5</v>
      </c>
      <c r="X176">
        <f>SUM(M176:W176)</f>
        <v>-2.6391875736500128E-3</v>
      </c>
      <c r="Y176">
        <f>X176/11/Y174</f>
        <v>-0.47756437473724422</v>
      </c>
    </row>
    <row r="177" spans="1:25" s="29" customFormat="1">
      <c r="A177" s="29">
        <v>1418</v>
      </c>
      <c r="B177">
        <v>0.16438299899781492</v>
      </c>
      <c r="C177">
        <v>0.14491852459646917</v>
      </c>
      <c r="D177">
        <v>0.14315714900184703</v>
      </c>
      <c r="E177">
        <v>0.15541674304488218</v>
      </c>
      <c r="F177">
        <v>0.16126543209876543</v>
      </c>
      <c r="G177">
        <v>0.15397183836733436</v>
      </c>
      <c r="H177">
        <v>0.15169356917729046</v>
      </c>
      <c r="I177">
        <v>0.15815229689975108</v>
      </c>
      <c r="J177">
        <v>0.17514557847695572</v>
      </c>
      <c r="K177">
        <v>0.17717549557621234</v>
      </c>
      <c r="L177">
        <v>0.18504977474701831</v>
      </c>
      <c r="M177">
        <v>0.19722521451654842</v>
      </c>
      <c r="N177">
        <v>0.1766115621637484</v>
      </c>
      <c r="O177">
        <v>0.17632170600035002</v>
      </c>
      <c r="P177">
        <v>0.18935743117404505</v>
      </c>
      <c r="Q177">
        <v>0.19421218094812362</v>
      </c>
      <c r="R177">
        <v>0.18401142992508365</v>
      </c>
      <c r="S177">
        <v>0.17782953843228597</v>
      </c>
      <c r="T177">
        <v>0.18283910549948873</v>
      </c>
      <c r="U177">
        <v>0.20404651012703159</v>
      </c>
      <c r="V177">
        <v>0.20559903672486454</v>
      </c>
      <c r="W177">
        <v>0.21177436875712052</v>
      </c>
      <c r="X177" s="31">
        <f>AVERAGE(B177:W177)</f>
        <v>0.17591624932968322</v>
      </c>
      <c r="Y177" s="31">
        <f>(_xlfn.STDEV.P(B177:W177))^2</f>
        <v>3.7803604814101992E-4</v>
      </c>
    </row>
    <row r="178" spans="1:25">
      <c r="B178">
        <f>B177-$X177</f>
        <v>-1.1533250331868306E-2</v>
      </c>
      <c r="C178">
        <f>C177-$X177</f>
        <v>-3.0997724733214049E-2</v>
      </c>
      <c r="D178">
        <f>D177-$X177</f>
        <v>-3.2759100327836188E-2</v>
      </c>
      <c r="E178">
        <f>E177-$X177</f>
        <v>-2.0499506284801045E-2</v>
      </c>
      <c r="F178">
        <f>F177-$X177</f>
        <v>-1.4650817230917795E-2</v>
      </c>
      <c r="G178">
        <f>G177-$X177</f>
        <v>-2.1944410962348865E-2</v>
      </c>
      <c r="H178">
        <f>H177-$X177</f>
        <v>-2.4222680152392762E-2</v>
      </c>
      <c r="I178">
        <f>I177-$X177</f>
        <v>-1.7763952429932145E-2</v>
      </c>
      <c r="J178">
        <f>J177-$X177</f>
        <v>-7.706708527275008E-4</v>
      </c>
      <c r="K178">
        <f>K177-$X177</f>
        <v>1.2592462465291221E-3</v>
      </c>
      <c r="L178">
        <f>L177-$X177</f>
        <v>9.1335254173350866E-3</v>
      </c>
      <c r="M178">
        <f>M177-$X177</f>
        <v>2.1308965186865203E-2</v>
      </c>
      <c r="N178">
        <f>N177-$X177</f>
        <v>6.9531283406518152E-4</v>
      </c>
      <c r="O178">
        <f>O177-$X177</f>
        <v>4.0545667066679836E-4</v>
      </c>
      <c r="P178">
        <f>P177-$X177</f>
        <v>1.3441181844361827E-2</v>
      </c>
      <c r="Q178">
        <f>Q177-$X177</f>
        <v>1.8295931618440398E-2</v>
      </c>
      <c r="R178">
        <f>R177-$X177</f>
        <v>8.0951805954004308E-3</v>
      </c>
      <c r="S178">
        <f>S177-$X177</f>
        <v>1.9132891026027443E-3</v>
      </c>
      <c r="T178">
        <f>T177-$X177</f>
        <v>6.922856169805508E-3</v>
      </c>
      <c r="U178">
        <f>U177-$X177</f>
        <v>2.8130260797348372E-2</v>
      </c>
      <c r="V178">
        <f>V177-$X177</f>
        <v>2.968278739518132E-2</v>
      </c>
      <c r="W178">
        <f>W177-$X177</f>
        <v>3.5858119427437302E-2</v>
      </c>
    </row>
    <row r="179" spans="1:25">
      <c r="M179">
        <f>B178*M178</f>
        <v>-2.4576162981318326E-4</v>
      </c>
      <c r="N179">
        <f>C178*N178</f>
        <v>-2.1553115833823434E-5</v>
      </c>
      <c r="O179">
        <f>D178*O178</f>
        <v>-1.3282395752964084E-5</v>
      </c>
      <c r="P179">
        <f>E178*P178</f>
        <v>-2.7553759169364895E-4</v>
      </c>
      <c r="Q179">
        <f>F178*Q178</f>
        <v>-2.6805035021114029E-4</v>
      </c>
      <c r="R179">
        <f>G178*R178</f>
        <v>-1.7764396979989903E-4</v>
      </c>
      <c r="S179">
        <f>H178*S178</f>
        <v>-4.6344989971404856E-5</v>
      </c>
      <c r="T179">
        <f>I178*T178</f>
        <v>-1.2297728767968731E-4</v>
      </c>
      <c r="U179">
        <f>J178*U178</f>
        <v>-2.1679172076139457E-5</v>
      </c>
      <c r="V179">
        <f>K178*V178</f>
        <v>3.7377938613904012E-5</v>
      </c>
      <c r="W179">
        <f>L178*W178</f>
        <v>3.2751104520833567E-4</v>
      </c>
      <c r="X179">
        <f>SUM(M179:W179)</f>
        <v>-8.2794151900965102E-4</v>
      </c>
      <c r="Y179">
        <f>X179/11/Y177</f>
        <v>-0.19910114707098503</v>
      </c>
    </row>
  </sheetData>
  <sortState ref="A53:L58">
    <sortCondition descending="1" ref="L53"/>
  </sortState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topLeftCell="A82" workbookViewId="0">
      <selection activeCell="N101" sqref="N101:Q104"/>
    </sheetView>
  </sheetViews>
  <sheetFormatPr baseColWidth="10" defaultColWidth="11.1640625" defaultRowHeight="15" x14ac:dyDescent="0"/>
  <sheetData>
    <row r="1" spans="1:16" ht="16">
      <c r="A1" t="s">
        <v>65</v>
      </c>
      <c r="B1" t="s">
        <v>66</v>
      </c>
      <c r="C1" t="s">
        <v>64</v>
      </c>
      <c r="D1" t="s">
        <v>67</v>
      </c>
      <c r="E1" t="s">
        <v>62</v>
      </c>
      <c r="F1" s="2" t="s">
        <v>114</v>
      </c>
      <c r="G1" t="s">
        <v>63</v>
      </c>
      <c r="I1" s="13" t="s">
        <v>3</v>
      </c>
      <c r="J1" t="s">
        <v>66</v>
      </c>
      <c r="K1" t="s">
        <v>64</v>
      </c>
      <c r="L1" t="s">
        <v>67</v>
      </c>
      <c r="M1" t="s">
        <v>62</v>
      </c>
      <c r="N1" s="2" t="s">
        <v>114</v>
      </c>
      <c r="O1" t="s">
        <v>63</v>
      </c>
      <c r="P1" s="2" t="s">
        <v>173</v>
      </c>
    </row>
    <row r="2" spans="1:16">
      <c r="A2">
        <v>2000</v>
      </c>
      <c r="B2">
        <v>2206</v>
      </c>
      <c r="C2">
        <v>8001</v>
      </c>
      <c r="E2">
        <v>8915</v>
      </c>
      <c r="F2">
        <v>9150</v>
      </c>
      <c r="G2">
        <v>3686</v>
      </c>
      <c r="H2" s="13"/>
      <c r="I2" s="13">
        <v>2000</v>
      </c>
      <c r="J2">
        <f>(B2+B28)/B15</f>
        <v>1.3005019671686338</v>
      </c>
      <c r="K2">
        <f t="shared" ref="K2:O12" si="0">(C2+C28)/C15</f>
        <v>1.0378948948197804</v>
      </c>
      <c r="M2">
        <f t="shared" si="0"/>
        <v>0.82698043868756288</v>
      </c>
      <c r="N2">
        <f t="shared" si="0"/>
        <v>0.80814907523293</v>
      </c>
      <c r="O2">
        <f t="shared" si="0"/>
        <v>0.61506174710205319</v>
      </c>
      <c r="P2">
        <v>0.83079107445892919</v>
      </c>
    </row>
    <row r="3" spans="1:16">
      <c r="A3">
        <v>2001</v>
      </c>
      <c r="B3">
        <v>3280</v>
      </c>
      <c r="C3">
        <v>9242</v>
      </c>
      <c r="E3">
        <v>12371</v>
      </c>
      <c r="F3">
        <v>13077</v>
      </c>
      <c r="G3">
        <v>5055</v>
      </c>
      <c r="H3" s="13"/>
      <c r="I3" s="13">
        <v>2001</v>
      </c>
      <c r="J3">
        <f t="shared" ref="J3:J12" si="1">(B3+B29)/B16</f>
        <v>1.3137292161520191</v>
      </c>
      <c r="K3">
        <f t="shared" si="0"/>
        <v>1.0317304692722493</v>
      </c>
      <c r="M3">
        <f t="shared" si="0"/>
        <v>0.84450950650816603</v>
      </c>
      <c r="N3">
        <f t="shared" si="0"/>
        <v>0.83993872692502825</v>
      </c>
      <c r="O3">
        <f t="shared" si="0"/>
        <v>0.70844415690221163</v>
      </c>
      <c r="P3">
        <v>0.86421854530088704</v>
      </c>
    </row>
    <row r="4" spans="1:16">
      <c r="A4">
        <v>2002</v>
      </c>
      <c r="B4">
        <v>3368</v>
      </c>
      <c r="C4">
        <v>9672</v>
      </c>
      <c r="E4">
        <v>13255</v>
      </c>
      <c r="F4">
        <v>14479</v>
      </c>
      <c r="G4">
        <v>5721</v>
      </c>
      <c r="H4" s="13"/>
      <c r="I4" s="13">
        <v>2002</v>
      </c>
      <c r="J4">
        <f t="shared" si="1"/>
        <v>1.3553422532480124</v>
      </c>
      <c r="K4">
        <f t="shared" si="0"/>
        <v>1.0720362889575952</v>
      </c>
      <c r="M4">
        <f t="shared" si="0"/>
        <v>0.86927965389314177</v>
      </c>
      <c r="N4">
        <f t="shared" si="0"/>
        <v>0.83100748808713409</v>
      </c>
      <c r="O4">
        <f t="shared" si="0"/>
        <v>0.72851090608740598</v>
      </c>
      <c r="P4">
        <v>0.86848126528674741</v>
      </c>
    </row>
    <row r="5" spans="1:16">
      <c r="A5">
        <v>2003</v>
      </c>
      <c r="B5">
        <v>3937</v>
      </c>
      <c r="C5">
        <v>12107</v>
      </c>
      <c r="E5">
        <v>7783</v>
      </c>
      <c r="F5">
        <v>9479</v>
      </c>
      <c r="G5">
        <v>5657</v>
      </c>
      <c r="I5" s="13">
        <v>2003</v>
      </c>
      <c r="J5">
        <f t="shared" si="1"/>
        <v>1.3858181818181818</v>
      </c>
      <c r="K5">
        <f t="shared" si="0"/>
        <v>1.0659281275330992</v>
      </c>
      <c r="M5">
        <f t="shared" si="0"/>
        <v>0.91093033390748546</v>
      </c>
      <c r="N5">
        <f t="shared" si="0"/>
        <v>0.84414592506065234</v>
      </c>
      <c r="O5">
        <f t="shared" si="0"/>
        <v>0.8009182139519766</v>
      </c>
      <c r="P5">
        <v>0.89668872386357001</v>
      </c>
    </row>
    <row r="6" spans="1:16">
      <c r="A6">
        <v>2004</v>
      </c>
      <c r="B6">
        <v>4658</v>
      </c>
      <c r="C6">
        <v>18410</v>
      </c>
      <c r="F6">
        <f>849+323+2261+9603</f>
        <v>13036</v>
      </c>
      <c r="G6">
        <v>8576</v>
      </c>
      <c r="H6" s="13"/>
      <c r="I6" s="13">
        <v>2004</v>
      </c>
      <c r="J6">
        <f t="shared" si="1"/>
        <v>1.464336482983527</v>
      </c>
      <c r="K6">
        <f t="shared" si="0"/>
        <v>1.2261531780252506</v>
      </c>
      <c r="N6">
        <f t="shared" si="0"/>
        <v>1.2239978005739127</v>
      </c>
      <c r="O6">
        <f t="shared" si="0"/>
        <v>1.0718276566025573</v>
      </c>
      <c r="P6">
        <v>1.1352645064869114</v>
      </c>
    </row>
    <row r="7" spans="1:16">
      <c r="A7">
        <v>2005</v>
      </c>
      <c r="B7">
        <v>4715</v>
      </c>
      <c r="C7">
        <v>16015</v>
      </c>
      <c r="F7">
        <f>964+412+2672+12261</f>
        <v>16309</v>
      </c>
      <c r="G7">
        <v>9857</v>
      </c>
      <c r="H7" s="13"/>
      <c r="I7" s="13">
        <v>2005</v>
      </c>
      <c r="J7">
        <f t="shared" si="1"/>
        <v>1.4644897959183674</v>
      </c>
      <c r="K7">
        <f t="shared" si="0"/>
        <v>1.3114234165796221</v>
      </c>
      <c r="N7">
        <f t="shared" si="0"/>
        <v>1.2600611977269416</v>
      </c>
      <c r="O7">
        <f t="shared" si="0"/>
        <v>1.1708111187985837</v>
      </c>
      <c r="P7">
        <v>1.2629515784423904</v>
      </c>
    </row>
    <row r="8" spans="1:16">
      <c r="A8">
        <v>2006</v>
      </c>
      <c r="B8">
        <v>3763</v>
      </c>
      <c r="C8">
        <v>11828</v>
      </c>
      <c r="D8">
        <v>7630</v>
      </c>
      <c r="F8">
        <v>7792</v>
      </c>
      <c r="G8">
        <v>8978</v>
      </c>
      <c r="I8" s="13">
        <v>2006</v>
      </c>
      <c r="J8">
        <f t="shared" si="1"/>
        <v>1.4920567676339758</v>
      </c>
      <c r="K8">
        <f t="shared" si="0"/>
        <v>1.4152681353523207</v>
      </c>
      <c r="L8">
        <f t="shared" si="0"/>
        <v>1.5239590282955928</v>
      </c>
      <c r="N8">
        <f t="shared" si="0"/>
        <v>1.2337342892281848</v>
      </c>
      <c r="O8">
        <f t="shared" si="0"/>
        <v>1.2685855611057779</v>
      </c>
      <c r="P8">
        <v>1.3743931189790406</v>
      </c>
    </row>
    <row r="9" spans="1:16">
      <c r="A9">
        <v>2007</v>
      </c>
      <c r="B9">
        <v>3435</v>
      </c>
      <c r="C9">
        <v>11478</v>
      </c>
      <c r="D9">
        <v>6072</v>
      </c>
      <c r="F9">
        <v>3891</v>
      </c>
      <c r="G9">
        <v>10226</v>
      </c>
      <c r="H9" s="14"/>
      <c r="I9" s="13">
        <v>2007</v>
      </c>
      <c r="J9">
        <f t="shared" si="1"/>
        <v>1.4842321755027423</v>
      </c>
      <c r="K9">
        <f t="shared" si="0"/>
        <v>1.436706781736196</v>
      </c>
      <c r="L9">
        <f t="shared" si="0"/>
        <v>1.5466579424199718</v>
      </c>
      <c r="N9">
        <f t="shared" si="0"/>
        <v>1.3461727787349249</v>
      </c>
      <c r="O9">
        <f t="shared" si="0"/>
        <v>1.3067651193226801</v>
      </c>
      <c r="P9">
        <v>1.4122197127829614</v>
      </c>
    </row>
    <row r="10" spans="1:16">
      <c r="A10">
        <v>2008</v>
      </c>
      <c r="B10">
        <v>3060</v>
      </c>
      <c r="C10">
        <v>10584</v>
      </c>
      <c r="D10">
        <v>5533</v>
      </c>
      <c r="F10">
        <v>3079</v>
      </c>
      <c r="G10">
        <v>9102</v>
      </c>
      <c r="H10" s="14"/>
      <c r="I10" s="13">
        <v>2008</v>
      </c>
      <c r="J10">
        <f t="shared" si="1"/>
        <v>1.4498536844905561</v>
      </c>
      <c r="K10">
        <f t="shared" si="0"/>
        <v>1.4602462360008901</v>
      </c>
      <c r="L10">
        <f t="shared" si="0"/>
        <v>1.5565196286633092</v>
      </c>
      <c r="N10">
        <f t="shared" si="0"/>
        <v>1.3849248927038627</v>
      </c>
      <c r="O10">
        <f t="shared" si="0"/>
        <v>1.3189797604295745</v>
      </c>
      <c r="P10">
        <v>1.4268374534320749</v>
      </c>
    </row>
    <row r="11" spans="1:16">
      <c r="A11">
        <v>2009</v>
      </c>
      <c r="B11">
        <v>2665</v>
      </c>
      <c r="C11">
        <v>9504</v>
      </c>
      <c r="D11">
        <v>5166</v>
      </c>
      <c r="F11">
        <v>2592</v>
      </c>
      <c r="G11">
        <v>8192</v>
      </c>
      <c r="H11" s="14"/>
      <c r="I11" s="13">
        <v>2009</v>
      </c>
      <c r="J11">
        <f t="shared" si="1"/>
        <v>1.5565421343608645</v>
      </c>
      <c r="K11">
        <f t="shared" si="0"/>
        <v>1.487411421425594</v>
      </c>
      <c r="L11">
        <f t="shared" si="0"/>
        <v>1.5783379648008469</v>
      </c>
      <c r="N11">
        <f t="shared" si="0"/>
        <v>1.4139344262295082</v>
      </c>
      <c r="O11">
        <f t="shared" si="0"/>
        <v>1.3177442854754342</v>
      </c>
      <c r="P11">
        <v>1.4385674908013812</v>
      </c>
    </row>
    <row r="12" spans="1:16">
      <c r="A12">
        <v>2010</v>
      </c>
      <c r="B12">
        <v>1958</v>
      </c>
      <c r="C12">
        <v>9134</v>
      </c>
      <c r="D12">
        <v>4443</v>
      </c>
      <c r="F12">
        <v>2443</v>
      </c>
      <c r="G12">
        <v>7788</v>
      </c>
      <c r="H12" s="14"/>
      <c r="I12" s="13">
        <v>2010</v>
      </c>
      <c r="J12">
        <f t="shared" si="1"/>
        <v>1.5616719963453631</v>
      </c>
      <c r="K12">
        <f t="shared" si="0"/>
        <v>1.496575499885084</v>
      </c>
      <c r="L12">
        <f t="shared" si="0"/>
        <v>1.5812297222442036</v>
      </c>
      <c r="N12">
        <f t="shared" si="0"/>
        <v>1.4193548387096775</v>
      </c>
      <c r="O12">
        <f t="shared" si="0"/>
        <v>1.3336321451170638</v>
      </c>
      <c r="P12">
        <v>1.4545305460525417</v>
      </c>
    </row>
    <row r="13" spans="1:16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6" ht="16">
      <c r="A14" t="s">
        <v>1</v>
      </c>
      <c r="B14" t="s">
        <v>66</v>
      </c>
      <c r="C14" t="s">
        <v>64</v>
      </c>
      <c r="D14" t="s">
        <v>67</v>
      </c>
      <c r="E14" t="s">
        <v>62</v>
      </c>
      <c r="F14" s="2" t="s">
        <v>114</v>
      </c>
      <c r="G14" t="s">
        <v>63</v>
      </c>
      <c r="H14" s="21" t="s">
        <v>1</v>
      </c>
      <c r="I14" s="13" t="s">
        <v>4</v>
      </c>
      <c r="J14" t="s">
        <v>66</v>
      </c>
      <c r="K14" t="s">
        <v>64</v>
      </c>
      <c r="L14" t="s">
        <v>67</v>
      </c>
      <c r="M14" t="s">
        <v>62</v>
      </c>
      <c r="N14" s="2" t="s">
        <v>114</v>
      </c>
      <c r="O14" t="s">
        <v>63</v>
      </c>
      <c r="P14" s="2" t="s">
        <v>173</v>
      </c>
    </row>
    <row r="15" spans="1:16">
      <c r="A15">
        <v>2000</v>
      </c>
      <c r="B15">
        <v>7371</v>
      </c>
      <c r="C15">
        <v>39979</v>
      </c>
      <c r="E15">
        <v>60681</v>
      </c>
      <c r="F15">
        <v>71910</v>
      </c>
      <c r="G15">
        <v>65995</v>
      </c>
      <c r="H15">
        <f>SUM(B15:G15)</f>
        <v>245936</v>
      </c>
      <c r="I15" s="13">
        <v>2000</v>
      </c>
      <c r="J15">
        <f>B2/(B2+B28)</f>
        <v>0.23012726893386187</v>
      </c>
      <c r="K15">
        <f t="shared" ref="K15:O25" si="2">C2/(C2+C28)</f>
        <v>0.19282305875548272</v>
      </c>
      <c r="M15">
        <f t="shared" si="2"/>
        <v>0.17765334183571799</v>
      </c>
      <c r="N15">
        <f t="shared" si="2"/>
        <v>0.15744915166741233</v>
      </c>
      <c r="O15">
        <f t="shared" si="2"/>
        <v>9.0808307260230106E-2</v>
      </c>
      <c r="P15">
        <v>0.18310136682703376</v>
      </c>
    </row>
    <row r="16" spans="1:16">
      <c r="A16">
        <v>2001</v>
      </c>
      <c r="B16">
        <v>10525</v>
      </c>
      <c r="C16">
        <v>44878</v>
      </c>
      <c r="E16">
        <v>85047</v>
      </c>
      <c r="F16">
        <v>102492</v>
      </c>
      <c r="G16">
        <v>83466</v>
      </c>
      <c r="H16">
        <f t="shared" ref="H16:H25" si="3">SUM(B16:G16)</f>
        <v>326408</v>
      </c>
      <c r="I16" s="13">
        <v>2001</v>
      </c>
      <c r="J16">
        <f t="shared" ref="J16:J25" si="4">B3/(B3+B29)</f>
        <v>0.23721703912634701</v>
      </c>
      <c r="K16">
        <f t="shared" si="2"/>
        <v>0.19960260895857632</v>
      </c>
      <c r="M16">
        <f t="shared" si="2"/>
        <v>0.17224287484510534</v>
      </c>
      <c r="N16">
        <f t="shared" si="2"/>
        <v>0.15190446873511679</v>
      </c>
      <c r="O16">
        <f t="shared" si="2"/>
        <v>8.5488153422062882E-2</v>
      </c>
      <c r="P16">
        <v>0.16236597870987024</v>
      </c>
    </row>
    <row r="17" spans="1:16">
      <c r="A17">
        <v>2002</v>
      </c>
      <c r="B17">
        <v>10314</v>
      </c>
      <c r="C17">
        <v>44311</v>
      </c>
      <c r="E17">
        <v>89221</v>
      </c>
      <c r="F17">
        <v>111644</v>
      </c>
      <c r="G17">
        <v>88987</v>
      </c>
      <c r="H17">
        <f t="shared" si="3"/>
        <v>344477</v>
      </c>
      <c r="I17" s="13">
        <v>2002</v>
      </c>
      <c r="J17">
        <f t="shared" si="4"/>
        <v>0.24093282781314829</v>
      </c>
      <c r="K17">
        <f t="shared" si="2"/>
        <v>0.20360819316674736</v>
      </c>
      <c r="M17">
        <f t="shared" si="2"/>
        <v>0.17090435545011476</v>
      </c>
      <c r="N17">
        <f t="shared" si="2"/>
        <v>0.1560623861517402</v>
      </c>
      <c r="O17">
        <f t="shared" si="2"/>
        <v>8.8248904794224717E-2</v>
      </c>
      <c r="P17">
        <v>0.16290146026167054</v>
      </c>
    </row>
    <row r="18" spans="1:16">
      <c r="A18">
        <v>2003</v>
      </c>
      <c r="B18">
        <v>11000</v>
      </c>
      <c r="C18">
        <v>55515</v>
      </c>
      <c r="E18">
        <v>48187</v>
      </c>
      <c r="F18">
        <v>66774</v>
      </c>
      <c r="G18">
        <v>73839</v>
      </c>
      <c r="H18">
        <f t="shared" si="3"/>
        <v>255315</v>
      </c>
      <c r="I18" s="13">
        <v>2003</v>
      </c>
      <c r="J18">
        <f t="shared" si="4"/>
        <v>0.25826554710049854</v>
      </c>
      <c r="K18">
        <f t="shared" si="2"/>
        <v>0.20459653569919731</v>
      </c>
      <c r="M18">
        <f t="shared" si="2"/>
        <v>0.17730948855222692</v>
      </c>
      <c r="N18">
        <f t="shared" si="2"/>
        <v>0.16816577075239059</v>
      </c>
      <c r="O18">
        <f t="shared" si="2"/>
        <v>9.5655996888685979E-2</v>
      </c>
      <c r="P18">
        <v>0.17437590427469235</v>
      </c>
    </row>
    <row r="19" spans="1:16">
      <c r="A19">
        <v>2004</v>
      </c>
      <c r="B19">
        <v>11959</v>
      </c>
      <c r="C19">
        <v>64474</v>
      </c>
      <c r="E19" s="13"/>
      <c r="F19">
        <f>3461+1434+9800+43502</f>
        <v>58197</v>
      </c>
      <c r="G19">
        <v>74456</v>
      </c>
      <c r="H19">
        <f t="shared" si="3"/>
        <v>209086</v>
      </c>
      <c r="I19" s="13">
        <v>2004</v>
      </c>
      <c r="J19">
        <f t="shared" si="4"/>
        <v>0.26598903608953861</v>
      </c>
      <c r="K19">
        <f t="shared" si="2"/>
        <v>0.2328758459300487</v>
      </c>
      <c r="N19">
        <f t="shared" si="2"/>
        <v>0.18300506787584406</v>
      </c>
      <c r="O19">
        <f t="shared" si="2"/>
        <v>0.10746328504836851</v>
      </c>
      <c r="P19">
        <v>0.1821220156444269</v>
      </c>
    </row>
    <row r="20" spans="1:16">
      <c r="A20">
        <v>2005</v>
      </c>
      <c r="B20">
        <v>12250</v>
      </c>
      <c r="C20">
        <v>52655</v>
      </c>
      <c r="E20" s="13"/>
      <c r="F20">
        <f>3786+1812+11315+51717</f>
        <v>68630</v>
      </c>
      <c r="G20">
        <v>73713</v>
      </c>
      <c r="H20">
        <f t="shared" si="3"/>
        <v>207248</v>
      </c>
      <c r="I20" s="13">
        <v>2005</v>
      </c>
      <c r="J20">
        <f t="shared" si="4"/>
        <v>0.26282051282051283</v>
      </c>
      <c r="K20">
        <f t="shared" si="2"/>
        <v>0.23192330528724314</v>
      </c>
      <c r="N20">
        <f t="shared" si="2"/>
        <v>0.18859131802308102</v>
      </c>
      <c r="O20">
        <f t="shared" si="2"/>
        <v>0.11421255098257323</v>
      </c>
      <c r="P20">
        <v>0.17363610944536964</v>
      </c>
    </row>
    <row r="21" spans="1:16">
      <c r="A21">
        <v>2006</v>
      </c>
      <c r="B21">
        <v>9442</v>
      </c>
      <c r="C21">
        <v>36586</v>
      </c>
      <c r="D21">
        <v>25481</v>
      </c>
      <c r="E21" s="13"/>
      <c r="F21">
        <v>33337</v>
      </c>
      <c r="G21">
        <v>61459</v>
      </c>
      <c r="H21">
        <f t="shared" si="3"/>
        <v>166305</v>
      </c>
      <c r="I21" s="13">
        <v>2006</v>
      </c>
      <c r="J21">
        <f t="shared" si="4"/>
        <v>0.26710675752413404</v>
      </c>
      <c r="K21">
        <f t="shared" si="2"/>
        <v>0.22843237605979258</v>
      </c>
      <c r="L21">
        <f t="shared" si="2"/>
        <v>0.19648743304491142</v>
      </c>
      <c r="N21">
        <f t="shared" si="2"/>
        <v>0.18945269760995892</v>
      </c>
      <c r="O21">
        <f t="shared" si="2"/>
        <v>0.11515275889490291</v>
      </c>
      <c r="P21">
        <v>0.17183256049820014</v>
      </c>
    </row>
    <row r="22" spans="1:16">
      <c r="A22">
        <v>2007</v>
      </c>
      <c r="B22">
        <v>8752</v>
      </c>
      <c r="C22">
        <v>33487</v>
      </c>
      <c r="D22">
        <v>19868</v>
      </c>
      <c r="F22">
        <v>16252</v>
      </c>
      <c r="G22">
        <v>61891</v>
      </c>
      <c r="H22">
        <f t="shared" si="3"/>
        <v>140250</v>
      </c>
      <c r="I22" s="13">
        <v>2007</v>
      </c>
      <c r="J22">
        <f t="shared" si="4"/>
        <v>0.26443418013856812</v>
      </c>
      <c r="K22">
        <f t="shared" si="2"/>
        <v>0.23857329924549478</v>
      </c>
      <c r="L22">
        <f t="shared" si="2"/>
        <v>0.19759835985551108</v>
      </c>
      <c r="N22">
        <f t="shared" si="2"/>
        <v>0.17784989487156047</v>
      </c>
      <c r="O22">
        <f t="shared" si="2"/>
        <v>0.12643891341172397</v>
      </c>
      <c r="P22">
        <v>0.17669463374097311</v>
      </c>
    </row>
    <row r="23" spans="1:16">
      <c r="A23">
        <v>2008</v>
      </c>
      <c r="B23">
        <v>7518</v>
      </c>
      <c r="C23">
        <v>26966</v>
      </c>
      <c r="D23">
        <v>16481</v>
      </c>
      <c r="F23">
        <v>11184</v>
      </c>
      <c r="G23">
        <v>48420</v>
      </c>
      <c r="H23">
        <f t="shared" si="3"/>
        <v>110569</v>
      </c>
      <c r="I23" s="13">
        <v>2008</v>
      </c>
      <c r="J23">
        <f t="shared" si="4"/>
        <v>0.28073394495412846</v>
      </c>
      <c r="K23">
        <f t="shared" si="2"/>
        <v>0.26878634736013407</v>
      </c>
      <c r="L23">
        <f t="shared" si="2"/>
        <v>0.21568627450980393</v>
      </c>
      <c r="N23">
        <f t="shared" si="2"/>
        <v>0.19878623539285944</v>
      </c>
      <c r="O23">
        <f t="shared" si="2"/>
        <v>0.14251937681045956</v>
      </c>
      <c r="P23">
        <v>0.19419507773458455</v>
      </c>
    </row>
    <row r="24" spans="1:16">
      <c r="A24">
        <v>2009</v>
      </c>
      <c r="B24">
        <v>5969</v>
      </c>
      <c r="C24">
        <v>23990</v>
      </c>
      <c r="D24">
        <v>15114</v>
      </c>
      <c r="F24">
        <v>9028</v>
      </c>
      <c r="G24">
        <v>41867</v>
      </c>
      <c r="H24">
        <f t="shared" si="3"/>
        <v>95968</v>
      </c>
      <c r="I24" s="13">
        <v>2009</v>
      </c>
      <c r="J24">
        <f t="shared" si="4"/>
        <v>0.28683672371111829</v>
      </c>
      <c r="K24">
        <f t="shared" si="2"/>
        <v>0.26634531849900511</v>
      </c>
      <c r="L24">
        <f t="shared" si="2"/>
        <v>0.2165583735066024</v>
      </c>
      <c r="N24">
        <f t="shared" si="2"/>
        <v>0.20305522914218566</v>
      </c>
      <c r="O24">
        <f t="shared" si="2"/>
        <v>0.14848649628421243</v>
      </c>
      <c r="P24">
        <v>0.19761493682994832</v>
      </c>
    </row>
    <row r="25" spans="1:16">
      <c r="A25">
        <v>2010</v>
      </c>
      <c r="B25">
        <v>4378</v>
      </c>
      <c r="C25">
        <v>21755</v>
      </c>
      <c r="D25">
        <v>12637</v>
      </c>
      <c r="F25">
        <v>8215</v>
      </c>
      <c r="G25">
        <v>37928</v>
      </c>
      <c r="H25">
        <f t="shared" si="3"/>
        <v>84913</v>
      </c>
      <c r="I25" s="13">
        <v>2010</v>
      </c>
      <c r="J25">
        <f t="shared" si="4"/>
        <v>0.28638291648383796</v>
      </c>
      <c r="K25">
        <f t="shared" si="2"/>
        <v>0.28054548805209167</v>
      </c>
      <c r="L25">
        <f t="shared" si="2"/>
        <v>0.22235011510359323</v>
      </c>
      <c r="N25">
        <f t="shared" si="2"/>
        <v>0.2095197255574614</v>
      </c>
      <c r="O25">
        <f t="shared" si="2"/>
        <v>0.15396781463761813</v>
      </c>
      <c r="P25">
        <v>0.20427497651111806</v>
      </c>
    </row>
    <row r="27" spans="1:16" ht="16">
      <c r="A27" s="2" t="s">
        <v>113</v>
      </c>
      <c r="B27" t="s">
        <v>66</v>
      </c>
      <c r="C27" t="s">
        <v>64</v>
      </c>
      <c r="D27" t="s">
        <v>67</v>
      </c>
      <c r="E27" t="s">
        <v>62</v>
      </c>
      <c r="F27" s="2" t="s">
        <v>114</v>
      </c>
      <c r="G27" t="s">
        <v>63</v>
      </c>
    </row>
    <row r="28" spans="1:16">
      <c r="A28" s="13">
        <v>2000</v>
      </c>
      <c r="B28">
        <v>7380</v>
      </c>
      <c r="C28">
        <v>33493</v>
      </c>
      <c r="E28">
        <v>41267</v>
      </c>
      <c r="F28">
        <v>48964</v>
      </c>
      <c r="G28">
        <v>36905</v>
      </c>
    </row>
    <row r="29" spans="1:16">
      <c r="A29" s="13">
        <v>2001</v>
      </c>
      <c r="B29">
        <v>10547</v>
      </c>
      <c r="C29">
        <v>37060</v>
      </c>
      <c r="E29">
        <v>59452</v>
      </c>
      <c r="F29">
        <v>73010</v>
      </c>
      <c r="G29">
        <v>54076</v>
      </c>
    </row>
    <row r="30" spans="1:16">
      <c r="A30" s="13">
        <v>2002</v>
      </c>
      <c r="B30">
        <v>10611</v>
      </c>
      <c r="C30">
        <v>37831</v>
      </c>
      <c r="E30">
        <v>64303</v>
      </c>
      <c r="F30">
        <v>78298</v>
      </c>
      <c r="G30">
        <v>59107</v>
      </c>
    </row>
    <row r="31" spans="1:16">
      <c r="A31" s="13">
        <v>2003</v>
      </c>
      <c r="B31">
        <v>11307</v>
      </c>
      <c r="C31">
        <v>47068</v>
      </c>
      <c r="E31">
        <v>36112</v>
      </c>
      <c r="F31">
        <v>46888</v>
      </c>
      <c r="G31">
        <v>53482</v>
      </c>
    </row>
    <row r="32" spans="1:16">
      <c r="A32" s="13">
        <v>2004</v>
      </c>
      <c r="B32">
        <v>12854</v>
      </c>
      <c r="C32">
        <v>60645</v>
      </c>
      <c r="F32">
        <v>58197</v>
      </c>
      <c r="G32">
        <v>71228</v>
      </c>
      <c r="I32">
        <f>3461+1434+9800+43502</f>
        <v>58197</v>
      </c>
    </row>
    <row r="33" spans="1:9">
      <c r="A33" s="13">
        <v>2005</v>
      </c>
      <c r="B33">
        <v>13225</v>
      </c>
      <c r="C33">
        <v>53038</v>
      </c>
      <c r="F33">
        <v>70169</v>
      </c>
      <c r="G33">
        <v>76447</v>
      </c>
      <c r="I33">
        <f>3677+2104+11472+52916</f>
        <v>70169</v>
      </c>
    </row>
    <row r="34" spans="1:9">
      <c r="A34" s="13">
        <v>2006</v>
      </c>
      <c r="B34">
        <v>10325</v>
      </c>
      <c r="C34">
        <v>39951</v>
      </c>
      <c r="D34">
        <v>31202</v>
      </c>
      <c r="F34">
        <v>33337</v>
      </c>
      <c r="G34">
        <v>68988</v>
      </c>
    </row>
    <row r="35" spans="1:9">
      <c r="A35" s="13">
        <v>2007</v>
      </c>
      <c r="B35">
        <v>9555</v>
      </c>
      <c r="C35">
        <v>36633</v>
      </c>
      <c r="D35">
        <v>24657</v>
      </c>
      <c r="F35">
        <v>17987</v>
      </c>
      <c r="G35">
        <v>70651</v>
      </c>
    </row>
    <row r="36" spans="1:9">
      <c r="A36" s="13">
        <v>2008</v>
      </c>
      <c r="B36">
        <v>7840</v>
      </c>
      <c r="C36">
        <v>28793</v>
      </c>
      <c r="D36">
        <v>20120</v>
      </c>
      <c r="F36">
        <v>12410</v>
      </c>
      <c r="G36">
        <v>54763</v>
      </c>
    </row>
    <row r="37" spans="1:9">
      <c r="A37" s="13">
        <v>2009</v>
      </c>
      <c r="B37">
        <v>6626</v>
      </c>
      <c r="C37">
        <v>26179</v>
      </c>
      <c r="D37">
        <v>18689</v>
      </c>
      <c r="F37">
        <v>10173</v>
      </c>
      <c r="G37">
        <v>46978</v>
      </c>
    </row>
    <row r="38" spans="1:9">
      <c r="A38" s="13">
        <v>2010</v>
      </c>
      <c r="B38">
        <v>4879</v>
      </c>
      <c r="C38">
        <v>23424</v>
      </c>
      <c r="D38">
        <v>15539</v>
      </c>
      <c r="F38">
        <v>9217</v>
      </c>
      <c r="G38">
        <v>42794</v>
      </c>
    </row>
    <row r="41" spans="1:9">
      <c r="A41" t="s">
        <v>135</v>
      </c>
      <c r="B41" t="s">
        <v>136</v>
      </c>
    </row>
    <row r="42" spans="1:9">
      <c r="A42" t="s">
        <v>64</v>
      </c>
      <c r="B42">
        <v>9134</v>
      </c>
    </row>
    <row r="43" spans="1:9">
      <c r="A43" t="s">
        <v>63</v>
      </c>
      <c r="B43">
        <v>7788</v>
      </c>
    </row>
    <row r="44" spans="1:9">
      <c r="A44" t="s">
        <v>67</v>
      </c>
      <c r="B44">
        <v>4443</v>
      </c>
    </row>
    <row r="45" spans="1:9" ht="16">
      <c r="A45" s="2" t="s">
        <v>114</v>
      </c>
      <c r="B45">
        <v>2443</v>
      </c>
    </row>
    <row r="46" spans="1:9">
      <c r="A46" t="s">
        <v>66</v>
      </c>
      <c r="B46">
        <v>1958</v>
      </c>
    </row>
    <row r="60" spans="1:7" ht="16">
      <c r="A60" t="s">
        <v>65</v>
      </c>
      <c r="B60" t="s">
        <v>64</v>
      </c>
      <c r="C60" t="s">
        <v>63</v>
      </c>
      <c r="D60" t="s">
        <v>62</v>
      </c>
      <c r="E60" t="s">
        <v>67</v>
      </c>
      <c r="F60" s="2" t="s">
        <v>114</v>
      </c>
      <c r="G60" t="s">
        <v>66</v>
      </c>
    </row>
    <row r="61" spans="1:7">
      <c r="A61">
        <v>2000</v>
      </c>
      <c r="B61">
        <v>8001</v>
      </c>
      <c r="C61">
        <v>3686</v>
      </c>
      <c r="D61">
        <v>8915</v>
      </c>
      <c r="F61">
        <v>9150</v>
      </c>
      <c r="G61">
        <v>2206</v>
      </c>
    </row>
    <row r="62" spans="1:7">
      <c r="A62">
        <v>2001</v>
      </c>
      <c r="B62">
        <v>9242</v>
      </c>
      <c r="C62">
        <v>5055</v>
      </c>
      <c r="D62">
        <v>12371</v>
      </c>
      <c r="F62">
        <v>13077</v>
      </c>
      <c r="G62">
        <v>3280</v>
      </c>
    </row>
    <row r="63" spans="1:7">
      <c r="A63">
        <v>2002</v>
      </c>
      <c r="B63">
        <v>9672</v>
      </c>
      <c r="C63">
        <v>5721</v>
      </c>
      <c r="D63">
        <v>13255</v>
      </c>
      <c r="F63">
        <v>14479</v>
      </c>
      <c r="G63">
        <v>3368</v>
      </c>
    </row>
    <row r="64" spans="1:7">
      <c r="A64">
        <v>2003</v>
      </c>
      <c r="B64">
        <v>12107</v>
      </c>
      <c r="C64">
        <v>5657</v>
      </c>
      <c r="D64">
        <v>7783</v>
      </c>
      <c r="F64">
        <v>9479</v>
      </c>
      <c r="G64">
        <v>3937</v>
      </c>
    </row>
    <row r="65" spans="1:12">
      <c r="A65">
        <v>2004</v>
      </c>
      <c r="B65">
        <v>18410</v>
      </c>
      <c r="C65">
        <v>8576</v>
      </c>
      <c r="F65">
        <f>849+323+2261+9603</f>
        <v>13036</v>
      </c>
      <c r="G65">
        <v>4658</v>
      </c>
    </row>
    <row r="66" spans="1:12">
      <c r="A66">
        <v>2005</v>
      </c>
      <c r="B66">
        <v>16015</v>
      </c>
      <c r="C66">
        <v>9857</v>
      </c>
      <c r="F66">
        <f>964+412+2672+12261</f>
        <v>16309</v>
      </c>
      <c r="G66">
        <v>4715</v>
      </c>
    </row>
    <row r="67" spans="1:12">
      <c r="A67">
        <v>2006</v>
      </c>
      <c r="B67">
        <v>11828</v>
      </c>
      <c r="C67">
        <v>8978</v>
      </c>
      <c r="E67">
        <v>7630</v>
      </c>
      <c r="F67">
        <v>7792</v>
      </c>
      <c r="G67">
        <v>3763</v>
      </c>
    </row>
    <row r="68" spans="1:12">
      <c r="A68">
        <v>2007</v>
      </c>
      <c r="B68">
        <v>11478</v>
      </c>
      <c r="C68">
        <v>10226</v>
      </c>
      <c r="E68">
        <v>6072</v>
      </c>
      <c r="F68">
        <v>3891</v>
      </c>
      <c r="G68">
        <v>3435</v>
      </c>
    </row>
    <row r="69" spans="1:12">
      <c r="A69">
        <v>2008</v>
      </c>
      <c r="B69">
        <v>10584</v>
      </c>
      <c r="C69">
        <v>9102</v>
      </c>
      <c r="E69">
        <v>5533</v>
      </c>
      <c r="F69">
        <v>3079</v>
      </c>
      <c r="G69">
        <v>3060</v>
      </c>
    </row>
    <row r="70" spans="1:12">
      <c r="A70">
        <v>2009</v>
      </c>
      <c r="B70">
        <v>9504</v>
      </c>
      <c r="C70">
        <v>8192</v>
      </c>
      <c r="E70">
        <v>5166</v>
      </c>
      <c r="F70">
        <v>2592</v>
      </c>
      <c r="G70">
        <v>2665</v>
      </c>
    </row>
    <row r="71" spans="1:12">
      <c r="A71">
        <v>2010</v>
      </c>
      <c r="B71">
        <v>9134</v>
      </c>
      <c r="C71">
        <v>7788</v>
      </c>
      <c r="E71">
        <v>4443</v>
      </c>
      <c r="F71">
        <v>2443</v>
      </c>
      <c r="G71">
        <v>1958</v>
      </c>
    </row>
    <row r="74" spans="1:12" ht="16">
      <c r="A74" s="2" t="s">
        <v>173</v>
      </c>
      <c r="B74">
        <v>0.83079107445892919</v>
      </c>
      <c r="C74">
        <v>0.8642185453008866</v>
      </c>
      <c r="D74">
        <v>0.86848126528674741</v>
      </c>
      <c r="E74">
        <v>0.89668872386357001</v>
      </c>
      <c r="F74">
        <v>1.1352645064869114</v>
      </c>
      <c r="G74">
        <v>1.2629515784423904</v>
      </c>
      <c r="H74">
        <v>1.3743931189790406</v>
      </c>
      <c r="I74">
        <v>1.4122197127829614</v>
      </c>
      <c r="J74">
        <v>1.4268374534320749</v>
      </c>
      <c r="K74">
        <v>1.4385674908013812</v>
      </c>
      <c r="L74">
        <v>1.4545305460525417</v>
      </c>
    </row>
    <row r="75" spans="1:12" ht="16">
      <c r="A75" s="2" t="s">
        <v>173</v>
      </c>
      <c r="B75">
        <v>0.18310136682703376</v>
      </c>
      <c r="C75">
        <v>0.16236597870987024</v>
      </c>
      <c r="D75">
        <v>0.16290146026167054</v>
      </c>
      <c r="E75">
        <v>0.17437590427469235</v>
      </c>
      <c r="F75">
        <v>0.1821220156444269</v>
      </c>
      <c r="G75">
        <v>0.17363610944536964</v>
      </c>
      <c r="H75">
        <v>0.17183256049820014</v>
      </c>
      <c r="I75">
        <v>0.17669463374097311</v>
      </c>
      <c r="J75">
        <v>0.19419507773458455</v>
      </c>
      <c r="K75">
        <v>0.19761493682994832</v>
      </c>
      <c r="L75">
        <v>0.20427497651111806</v>
      </c>
    </row>
    <row r="81" spans="1:17" ht="16">
      <c r="A81" s="13" t="s">
        <v>3</v>
      </c>
      <c r="B81" t="s">
        <v>64</v>
      </c>
      <c r="C81" s="2" t="s">
        <v>114</v>
      </c>
      <c r="D81" t="s">
        <v>63</v>
      </c>
      <c r="F81" s="13" t="s">
        <v>4</v>
      </c>
      <c r="G81" t="s">
        <v>64</v>
      </c>
      <c r="H81" s="2" t="s">
        <v>114</v>
      </c>
      <c r="I81" t="s">
        <v>63</v>
      </c>
    </row>
    <row r="82" spans="1:17">
      <c r="A82" s="13">
        <v>2000</v>
      </c>
      <c r="B82">
        <v>1.0378948948197804</v>
      </c>
      <c r="C82">
        <v>0.80814907523293</v>
      </c>
      <c r="D82">
        <v>0.61506174710205319</v>
      </c>
      <c r="F82" s="13">
        <v>2000</v>
      </c>
      <c r="G82">
        <v>0.19282305875548272</v>
      </c>
      <c r="H82">
        <v>0.15744915166741233</v>
      </c>
      <c r="I82">
        <v>9.0808307260230106E-2</v>
      </c>
    </row>
    <row r="83" spans="1:17">
      <c r="A83" s="13">
        <v>2001</v>
      </c>
      <c r="B83">
        <v>1.0317304692722493</v>
      </c>
      <c r="C83">
        <v>0.83993872692502825</v>
      </c>
      <c r="D83">
        <v>0.70844415690221163</v>
      </c>
      <c r="F83" s="13">
        <v>2001</v>
      </c>
      <c r="G83">
        <v>0.19960260895857632</v>
      </c>
      <c r="H83">
        <v>0.15190446873511679</v>
      </c>
      <c r="I83">
        <v>8.5488153422062882E-2</v>
      </c>
    </row>
    <row r="84" spans="1:17">
      <c r="A84" s="13">
        <v>2002</v>
      </c>
      <c r="B84">
        <v>1.0720362889575952</v>
      </c>
      <c r="C84">
        <v>0.83100748808713409</v>
      </c>
      <c r="D84">
        <v>0.72851090608740598</v>
      </c>
      <c r="F84" s="13">
        <v>2002</v>
      </c>
      <c r="G84">
        <v>0.20360819316674736</v>
      </c>
      <c r="H84">
        <v>0.1560623861517402</v>
      </c>
      <c r="I84">
        <v>8.8248904794224717E-2</v>
      </c>
    </row>
    <row r="85" spans="1:17">
      <c r="A85" s="13">
        <v>2003</v>
      </c>
      <c r="B85">
        <v>1.0659281275330992</v>
      </c>
      <c r="C85">
        <v>0.84414592506065234</v>
      </c>
      <c r="D85">
        <v>0.8009182139519766</v>
      </c>
      <c r="F85" s="13">
        <v>2003</v>
      </c>
      <c r="G85">
        <v>0.20459653569919731</v>
      </c>
      <c r="H85">
        <v>0.16816577075239059</v>
      </c>
      <c r="I85">
        <v>9.5655996888685979E-2</v>
      </c>
    </row>
    <row r="86" spans="1:17">
      <c r="A86" s="13">
        <v>2004</v>
      </c>
      <c r="B86">
        <v>1.2261531780252506</v>
      </c>
      <c r="C86">
        <v>1.2239978005739127</v>
      </c>
      <c r="D86">
        <v>1.0718276566025573</v>
      </c>
      <c r="F86" s="13">
        <v>2004</v>
      </c>
      <c r="G86">
        <v>0.2328758459300487</v>
      </c>
      <c r="H86">
        <v>0.18300506787584406</v>
      </c>
      <c r="I86">
        <v>0.10746328504836851</v>
      </c>
    </row>
    <row r="87" spans="1:17">
      <c r="A87" s="13">
        <v>2005</v>
      </c>
      <c r="B87">
        <v>1.3114234165796221</v>
      </c>
      <c r="C87">
        <v>1.2600611977269416</v>
      </c>
      <c r="D87">
        <v>1.1708111187985837</v>
      </c>
      <c r="F87" s="13">
        <v>2005</v>
      </c>
      <c r="G87">
        <v>0.23192330528724314</v>
      </c>
      <c r="H87">
        <v>0.18859131802308102</v>
      </c>
      <c r="I87">
        <v>0.11421255098257323</v>
      </c>
    </row>
    <row r="88" spans="1:17">
      <c r="A88" s="13">
        <v>2006</v>
      </c>
      <c r="B88">
        <v>1.4152681353523207</v>
      </c>
      <c r="C88">
        <v>1.2337342892281848</v>
      </c>
      <c r="D88">
        <v>1.2685855611057779</v>
      </c>
      <c r="F88" s="13">
        <v>2006</v>
      </c>
      <c r="G88">
        <v>0.22843237605979258</v>
      </c>
      <c r="H88">
        <v>0.18945269760995892</v>
      </c>
      <c r="I88">
        <v>0.11515275889490291</v>
      </c>
    </row>
    <row r="89" spans="1:17">
      <c r="A89" s="13">
        <v>2007</v>
      </c>
      <c r="B89">
        <v>1.436706781736196</v>
      </c>
      <c r="C89">
        <v>1.3461727787349249</v>
      </c>
      <c r="D89">
        <v>1.3067651193226801</v>
      </c>
      <c r="F89" s="13">
        <v>2007</v>
      </c>
      <c r="G89">
        <v>0.23857329924549478</v>
      </c>
      <c r="H89">
        <v>0.17784989487156047</v>
      </c>
      <c r="I89">
        <v>0.12643891341172397</v>
      </c>
    </row>
    <row r="90" spans="1:17">
      <c r="A90" s="13">
        <v>2008</v>
      </c>
      <c r="B90">
        <v>1.4602462360008901</v>
      </c>
      <c r="C90">
        <v>1.3849248927038627</v>
      </c>
      <c r="D90">
        <v>1.3189797604295745</v>
      </c>
      <c r="F90" s="13">
        <v>2008</v>
      </c>
      <c r="G90">
        <v>0.26878634736013407</v>
      </c>
      <c r="H90">
        <v>0.19878623539285944</v>
      </c>
      <c r="I90">
        <v>0.14251937681045956</v>
      </c>
    </row>
    <row r="91" spans="1:17">
      <c r="A91" s="13">
        <v>2009</v>
      </c>
      <c r="B91">
        <v>1.487411421425594</v>
      </c>
      <c r="C91">
        <v>1.4139344262295082</v>
      </c>
      <c r="D91">
        <v>1.3177442854754342</v>
      </c>
      <c r="F91" s="13">
        <v>2009</v>
      </c>
      <c r="G91">
        <v>0.26634531849900511</v>
      </c>
      <c r="H91">
        <v>0.20305522914218566</v>
      </c>
      <c r="I91">
        <v>0.14848649628421243</v>
      </c>
    </row>
    <row r="92" spans="1:17">
      <c r="A92" s="13">
        <v>2010</v>
      </c>
      <c r="B92">
        <v>1.496575499885084</v>
      </c>
      <c r="C92">
        <v>1.4193548387096775</v>
      </c>
      <c r="D92">
        <v>1.3336321451170638</v>
      </c>
      <c r="F92" s="13">
        <v>2010</v>
      </c>
      <c r="G92">
        <v>0.28054548805209167</v>
      </c>
      <c r="H92">
        <v>0.2095197255574614</v>
      </c>
      <c r="I92">
        <v>0.15396781463761813</v>
      </c>
    </row>
    <row r="96" spans="1:17">
      <c r="A96" s="13" t="s">
        <v>3</v>
      </c>
      <c r="B96" s="13">
        <v>2000</v>
      </c>
      <c r="C96" s="13">
        <v>2001</v>
      </c>
      <c r="D96" s="13">
        <v>2002</v>
      </c>
      <c r="E96" s="13">
        <v>2003</v>
      </c>
      <c r="F96" s="13">
        <v>2004</v>
      </c>
      <c r="G96" s="13">
        <v>2005</v>
      </c>
      <c r="H96" s="13">
        <v>2006</v>
      </c>
      <c r="I96" s="13">
        <v>2007</v>
      </c>
      <c r="J96" s="13">
        <v>2008</v>
      </c>
      <c r="K96" s="13">
        <v>2009</v>
      </c>
      <c r="L96" s="13">
        <v>2010</v>
      </c>
      <c r="N96" s="35" t="s">
        <v>3</v>
      </c>
      <c r="O96" s="35" t="s">
        <v>209</v>
      </c>
      <c r="P96" s="35" t="s">
        <v>210</v>
      </c>
      <c r="Q96" s="35" t="s">
        <v>211</v>
      </c>
    </row>
    <row r="97" spans="1:25">
      <c r="A97" t="s">
        <v>64</v>
      </c>
      <c r="B97">
        <v>1.0378948948197804</v>
      </c>
      <c r="C97">
        <v>1.0317304692722493</v>
      </c>
      <c r="D97">
        <v>1.0720362889575952</v>
      </c>
      <c r="E97">
        <v>1.0659281275330992</v>
      </c>
      <c r="F97">
        <v>1.2261531780252506</v>
      </c>
      <c r="G97">
        <v>1.3114234165796221</v>
      </c>
      <c r="H97">
        <v>1.4152681353523207</v>
      </c>
      <c r="I97">
        <v>1.436706781736196</v>
      </c>
      <c r="J97">
        <v>1.4602462360008901</v>
      </c>
      <c r="K97">
        <v>1.487411421425594</v>
      </c>
      <c r="L97">
        <v>1.496575499885084</v>
      </c>
      <c r="N97" s="35" t="s">
        <v>209</v>
      </c>
      <c r="O97" s="35">
        <v>1</v>
      </c>
      <c r="P97" s="35"/>
      <c r="Q97" s="35"/>
    </row>
    <row r="98" spans="1:25" ht="16">
      <c r="A98" s="2" t="s">
        <v>114</v>
      </c>
      <c r="B98">
        <v>0.80814907523293</v>
      </c>
      <c r="C98">
        <v>0.83993872692502825</v>
      </c>
      <c r="D98">
        <v>0.83100748808713409</v>
      </c>
      <c r="E98">
        <v>0.84414592506065234</v>
      </c>
      <c r="F98">
        <v>1.2239978005739127</v>
      </c>
      <c r="G98">
        <v>1.2600611977269416</v>
      </c>
      <c r="H98">
        <v>1.2337342892281848</v>
      </c>
      <c r="I98">
        <v>1.3461727787349249</v>
      </c>
      <c r="J98">
        <v>1.3849248927038627</v>
      </c>
      <c r="K98">
        <v>1.4139344262295082</v>
      </c>
      <c r="L98">
        <v>1.4193548387096775</v>
      </c>
      <c r="N98" s="35" t="s">
        <v>210</v>
      </c>
      <c r="O98" s="35">
        <v>0.77410163544742605</v>
      </c>
      <c r="P98" s="35">
        <v>1</v>
      </c>
      <c r="Q98" s="35"/>
    </row>
    <row r="99" spans="1:25">
      <c r="A99" t="s">
        <v>63</v>
      </c>
      <c r="B99">
        <v>0.61506174710205319</v>
      </c>
      <c r="C99">
        <v>0.70844415690221163</v>
      </c>
      <c r="D99">
        <v>0.72851090608740598</v>
      </c>
      <c r="E99">
        <v>0.8009182139519766</v>
      </c>
      <c r="F99">
        <v>1.0718276566025573</v>
      </c>
      <c r="G99">
        <v>1.1708111187985837</v>
      </c>
      <c r="H99">
        <v>1.2685855611057779</v>
      </c>
      <c r="I99">
        <v>1.3067651193226801</v>
      </c>
      <c r="J99">
        <v>1.3189797604295745</v>
      </c>
      <c r="K99">
        <v>1.3177442854754342</v>
      </c>
      <c r="L99">
        <v>1.3336321451170638</v>
      </c>
      <c r="N99" s="35" t="s">
        <v>211</v>
      </c>
      <c r="O99" s="35">
        <v>0.57045202861527189</v>
      </c>
      <c r="P99" s="35">
        <v>0.920639604347264</v>
      </c>
      <c r="Q99" s="35">
        <v>1</v>
      </c>
    </row>
    <row r="100" spans="1:25">
      <c r="N100" s="35"/>
      <c r="O100" s="35"/>
      <c r="P100" s="35"/>
      <c r="Q100" s="35"/>
    </row>
    <row r="101" spans="1:25">
      <c r="A101" s="13" t="s">
        <v>4</v>
      </c>
      <c r="B101" s="13">
        <v>2000</v>
      </c>
      <c r="C101" s="13">
        <v>2001</v>
      </c>
      <c r="D101" s="13">
        <v>2002</v>
      </c>
      <c r="E101" s="13">
        <v>2003</v>
      </c>
      <c r="F101" s="13">
        <v>2004</v>
      </c>
      <c r="G101" s="13">
        <v>2005</v>
      </c>
      <c r="H101" s="13">
        <v>2006</v>
      </c>
      <c r="I101" s="13">
        <v>2007</v>
      </c>
      <c r="J101" s="13">
        <v>2008</v>
      </c>
      <c r="K101" s="13">
        <v>2009</v>
      </c>
      <c r="L101" s="13">
        <v>2010</v>
      </c>
      <c r="N101" s="35" t="s">
        <v>3</v>
      </c>
      <c r="O101" s="35" t="s">
        <v>209</v>
      </c>
      <c r="P101" s="35" t="s">
        <v>210</v>
      </c>
      <c r="Q101" s="35" t="s">
        <v>211</v>
      </c>
    </row>
    <row r="102" spans="1:25">
      <c r="A102" t="s">
        <v>64</v>
      </c>
      <c r="B102">
        <v>0.19282305875548272</v>
      </c>
      <c r="C102">
        <v>0.19960260895857632</v>
      </c>
      <c r="D102">
        <v>0.20360819316674736</v>
      </c>
      <c r="E102">
        <v>0.20459653569919731</v>
      </c>
      <c r="F102">
        <v>0.2328758459300487</v>
      </c>
      <c r="G102">
        <v>0.23192330528724314</v>
      </c>
      <c r="H102">
        <v>0.22843237605979258</v>
      </c>
      <c r="I102">
        <v>0.23857329924549478</v>
      </c>
      <c r="J102">
        <v>0.26878634736013407</v>
      </c>
      <c r="K102">
        <v>0.26634531849900511</v>
      </c>
      <c r="L102">
        <v>0.28054548805209167</v>
      </c>
      <c r="N102" s="35" t="s">
        <v>209</v>
      </c>
      <c r="O102" s="35">
        <v>1</v>
      </c>
      <c r="P102" s="35"/>
      <c r="Q102" s="35"/>
    </row>
    <row r="103" spans="1:25" ht="16">
      <c r="A103" s="2" t="s">
        <v>114</v>
      </c>
      <c r="B103">
        <v>0.15744915166741233</v>
      </c>
      <c r="C103">
        <v>0.15190446873511679</v>
      </c>
      <c r="D103">
        <v>0.1560623861517402</v>
      </c>
      <c r="E103">
        <v>0.16816577075239059</v>
      </c>
      <c r="F103">
        <v>0.18300506787584406</v>
      </c>
      <c r="G103">
        <v>0.18859131802308102</v>
      </c>
      <c r="H103">
        <v>0.18945269760995892</v>
      </c>
      <c r="I103">
        <v>0.17784989487156047</v>
      </c>
      <c r="J103">
        <v>0.19878623539285944</v>
      </c>
      <c r="K103">
        <v>0.20305522914218566</v>
      </c>
      <c r="L103">
        <v>0.2095197255574614</v>
      </c>
      <c r="N103" s="35" t="s">
        <v>210</v>
      </c>
      <c r="O103" s="35">
        <v>-0.11398136359034843</v>
      </c>
      <c r="P103" s="35">
        <v>1</v>
      </c>
      <c r="Q103" s="35"/>
    </row>
    <row r="104" spans="1:25">
      <c r="A104" t="s">
        <v>63</v>
      </c>
      <c r="B104">
        <v>9.0808307260230106E-2</v>
      </c>
      <c r="C104">
        <v>8.5488153422062882E-2</v>
      </c>
      <c r="D104">
        <v>8.8248904794224717E-2</v>
      </c>
      <c r="E104">
        <v>9.5655996888685979E-2</v>
      </c>
      <c r="F104">
        <v>0.10746328504836851</v>
      </c>
      <c r="G104">
        <v>0.11421255098257323</v>
      </c>
      <c r="H104">
        <v>0.11515275889490291</v>
      </c>
      <c r="I104">
        <v>0.12643891341172397</v>
      </c>
      <c r="J104">
        <v>0.14251937681045956</v>
      </c>
      <c r="K104">
        <v>0.14848649628421243</v>
      </c>
      <c r="L104">
        <v>0.15396781463761813</v>
      </c>
      <c r="N104" s="35" t="s">
        <v>211</v>
      </c>
      <c r="O104" s="35">
        <v>-0.66703589500392557</v>
      </c>
      <c r="P104" s="35">
        <v>-0.42009555534746501</v>
      </c>
      <c r="Q104" s="35">
        <v>1</v>
      </c>
    </row>
    <row r="107" spans="1:25">
      <c r="X107" t="s">
        <v>185</v>
      </c>
      <c r="Y107" t="s">
        <v>186</v>
      </c>
    </row>
    <row r="108" spans="1:25" ht="16">
      <c r="A108" s="2" t="s">
        <v>203</v>
      </c>
      <c r="B108">
        <v>1.0378948948197804</v>
      </c>
      <c r="C108">
        <v>1.0317304692722493</v>
      </c>
      <c r="D108">
        <v>1.0720362889575952</v>
      </c>
      <c r="E108">
        <v>1.0659281275330992</v>
      </c>
      <c r="F108">
        <v>1.2261531780252506</v>
      </c>
      <c r="G108">
        <v>1.3114234165796221</v>
      </c>
      <c r="H108">
        <v>1.4152681353523207</v>
      </c>
      <c r="I108">
        <v>1.436706781736196</v>
      </c>
      <c r="J108">
        <v>1.4602462360008901</v>
      </c>
      <c r="K108">
        <v>1.487411421425594</v>
      </c>
      <c r="L108">
        <v>1.496575499885084</v>
      </c>
      <c r="M108">
        <v>0.80814907523293</v>
      </c>
      <c r="N108">
        <v>0.83993872692502825</v>
      </c>
      <c r="O108">
        <v>0.83100748808713409</v>
      </c>
      <c r="P108">
        <v>0.84414592506065234</v>
      </c>
      <c r="Q108">
        <v>1.2239978005739127</v>
      </c>
      <c r="R108">
        <v>1.2600611977269416</v>
      </c>
      <c r="S108">
        <v>1.2337342892281848</v>
      </c>
      <c r="T108">
        <v>1.3461727787349249</v>
      </c>
      <c r="U108">
        <v>1.3849248927038627</v>
      </c>
      <c r="V108">
        <v>1.4139344262295082</v>
      </c>
      <c r="W108">
        <v>1.4193548387096775</v>
      </c>
      <c r="X108">
        <f>AVERAGE(B108:W108)</f>
        <v>1.2112179949454744</v>
      </c>
      <c r="Y108">
        <f>(_xlfn.STDEV.P(B108:W108))^2</f>
        <v>5.1849204800200652E-2</v>
      </c>
    </row>
    <row r="109" spans="1:25" ht="16">
      <c r="A109" s="2"/>
      <c r="B109">
        <f>B108-$X108</f>
        <v>-0.17332310012569407</v>
      </c>
      <c r="C109">
        <f>C108-$X108</f>
        <v>-0.17948752567322512</v>
      </c>
      <c r="D109">
        <f>D108-$X108</f>
        <v>-0.13918170598787927</v>
      </c>
      <c r="E109">
        <f>E108-$X108</f>
        <v>-0.14528986741237526</v>
      </c>
      <c r="F109">
        <f>F108-$X108</f>
        <v>1.4935183079776149E-2</v>
      </c>
      <c r="G109">
        <f>G108-$X108</f>
        <v>0.1002054216341477</v>
      </c>
      <c r="H109">
        <f>H108-$X108</f>
        <v>0.20405014040684621</v>
      </c>
      <c r="I109">
        <f>I108-$X108</f>
        <v>0.2254887867907216</v>
      </c>
      <c r="J109">
        <f>J108-$X108</f>
        <v>0.24902824105541566</v>
      </c>
      <c r="K109">
        <f>K108-$X108</f>
        <v>0.27619342648011957</v>
      </c>
      <c r="L109">
        <f>L108-$X108</f>
        <v>0.28535750493960954</v>
      </c>
      <c r="M109">
        <f>M108-$X108</f>
        <v>-0.40306891971254444</v>
      </c>
      <c r="N109">
        <f>N108-$X108</f>
        <v>-0.3712792680204462</v>
      </c>
      <c r="O109">
        <f>O108-$X108</f>
        <v>-0.38021050685834035</v>
      </c>
      <c r="P109">
        <f>P108-$X108</f>
        <v>-0.36707206988482211</v>
      </c>
      <c r="Q109">
        <f>Q108-$X108</f>
        <v>1.2779805628438279E-2</v>
      </c>
      <c r="R109">
        <f>R108-$X108</f>
        <v>4.8843202781467143E-2</v>
      </c>
      <c r="S109">
        <f>S108-$X108</f>
        <v>2.2516294282710403E-2</v>
      </c>
      <c r="T109">
        <f>T108-$X108</f>
        <v>0.13495478378945047</v>
      </c>
      <c r="U109">
        <f>U108-$X108</f>
        <v>0.17370689775838821</v>
      </c>
      <c r="V109">
        <f>V108-$X108</f>
        <v>0.20271643128403372</v>
      </c>
      <c r="W109">
        <f>W108-$X108</f>
        <v>0.20813684376420305</v>
      </c>
    </row>
    <row r="110" spans="1:25" ht="16">
      <c r="A110" s="2"/>
      <c r="M110">
        <f>B109*M109</f>
        <v>6.9861154728892691E-2</v>
      </c>
      <c r="N110">
        <f t="shared" ref="N110:W110" si="5">C109*N109</f>
        <v>6.6639997150756067E-2</v>
      </c>
      <c r="O110">
        <f t="shared" si="5"/>
        <v>5.2918346979060081E-2</v>
      </c>
      <c r="P110">
        <f t="shared" si="5"/>
        <v>5.333185236435195E-2</v>
      </c>
      <c r="Q110">
        <f t="shared" si="5"/>
        <v>1.9086873678467937E-4</v>
      </c>
      <c r="R110">
        <f t="shared" si="5"/>
        <v>4.8943537286790907E-3</v>
      </c>
      <c r="S110">
        <f t="shared" si="5"/>
        <v>4.5944530098289268E-3</v>
      </c>
      <c r="T110">
        <f t="shared" si="5"/>
        <v>3.0430790468287328E-2</v>
      </c>
      <c r="U110">
        <f t="shared" si="5"/>
        <v>4.3257923207964344E-2</v>
      </c>
      <c r="V110">
        <f t="shared" si="5"/>
        <v>5.5988945760158976E-2</v>
      </c>
      <c r="W110">
        <f t="shared" si="5"/>
        <v>5.9393410422558308E-2</v>
      </c>
      <c r="X110">
        <f>SUM(M110:W110)</f>
        <v>0.44150209655732242</v>
      </c>
      <c r="Y110">
        <f>X110/COUNT(B108:L108)/Y108</f>
        <v>0.77410163544742605</v>
      </c>
    </row>
    <row r="111" spans="1:25" ht="16">
      <c r="A111" s="2" t="s">
        <v>204</v>
      </c>
      <c r="B111">
        <v>1.0378948948197804</v>
      </c>
      <c r="C111">
        <v>1.0317304692722493</v>
      </c>
      <c r="D111">
        <v>1.0720362889575952</v>
      </c>
      <c r="E111">
        <v>1.0659281275330992</v>
      </c>
      <c r="F111">
        <v>1.2261531780252506</v>
      </c>
      <c r="G111">
        <v>1.3114234165796221</v>
      </c>
      <c r="H111">
        <v>1.4152681353523207</v>
      </c>
      <c r="I111">
        <v>1.436706781736196</v>
      </c>
      <c r="J111">
        <v>1.4602462360008901</v>
      </c>
      <c r="K111">
        <v>1.487411421425594</v>
      </c>
      <c r="L111">
        <v>1.496575499885084</v>
      </c>
      <c r="M111">
        <v>0.61506174710205319</v>
      </c>
      <c r="N111">
        <v>0.70844415690221163</v>
      </c>
      <c r="O111">
        <v>0.72851090608740598</v>
      </c>
      <c r="P111">
        <v>0.8009182139519766</v>
      </c>
      <c r="Q111">
        <v>1.0718276566025573</v>
      </c>
      <c r="R111">
        <v>1.1708111187985837</v>
      </c>
      <c r="S111">
        <v>1.2685855611057779</v>
      </c>
      <c r="T111">
        <v>1.3067651193226801</v>
      </c>
      <c r="U111">
        <v>1.3189797604295745</v>
      </c>
      <c r="V111">
        <v>1.3177442854754342</v>
      </c>
      <c r="W111">
        <v>1.3336321451170638</v>
      </c>
      <c r="X111">
        <f>AVERAGE(B111:W111)</f>
        <v>1.1673934145674094</v>
      </c>
      <c r="Y111">
        <f>(_xlfn.STDEV.P(B111:W111))^2</f>
        <v>6.6541868588983755E-2</v>
      </c>
    </row>
    <row r="112" spans="1:25">
      <c r="B112">
        <f>B111-$X111</f>
        <v>-0.12949851974762905</v>
      </c>
      <c r="C112">
        <f>C111-$X111</f>
        <v>-0.1356629452951601</v>
      </c>
      <c r="D112">
        <f>D111-$X111</f>
        <v>-9.5357125609814242E-2</v>
      </c>
      <c r="E112">
        <f>E111-$X111</f>
        <v>-0.10146528703431024</v>
      </c>
      <c r="F112">
        <f>F111-$X111</f>
        <v>5.8759763457841174E-2</v>
      </c>
      <c r="G112">
        <f>G111-$X111</f>
        <v>0.14403000201221272</v>
      </c>
      <c r="H112">
        <f>H111-$X111</f>
        <v>0.24787472078491124</v>
      </c>
      <c r="I112">
        <f>I111-$X111</f>
        <v>0.26931336716878662</v>
      </c>
      <c r="J112">
        <f>J111-$X111</f>
        <v>0.29285282143348068</v>
      </c>
      <c r="K112">
        <f>K111-$X111</f>
        <v>0.3200180068581846</v>
      </c>
      <c r="L112">
        <f>L111-$X111</f>
        <v>0.32918208531767457</v>
      </c>
      <c r="M112">
        <f>M111-$X111</f>
        <v>-0.55233166746535622</v>
      </c>
      <c r="N112">
        <f>N111-$X111</f>
        <v>-0.45894925766519779</v>
      </c>
      <c r="O112">
        <f>O111-$X111</f>
        <v>-0.43888250848000343</v>
      </c>
      <c r="P112">
        <f>P111-$X111</f>
        <v>-0.36647520061543282</v>
      </c>
      <c r="Q112">
        <f>Q111-$X111</f>
        <v>-9.5565757964852116E-2</v>
      </c>
      <c r="R112">
        <f>R111-$X111</f>
        <v>3.4177042311742678E-3</v>
      </c>
      <c r="S112">
        <f>S111-$X111</f>
        <v>0.1011921465383685</v>
      </c>
      <c r="T112">
        <f>T111-$X111</f>
        <v>0.13937170475527072</v>
      </c>
      <c r="U112">
        <f>U111-$X111</f>
        <v>0.15158634586216513</v>
      </c>
      <c r="V112">
        <f>V111-$X111</f>
        <v>0.15035087090802479</v>
      </c>
      <c r="W112">
        <f>W111-$X111</f>
        <v>0.16623873054965443</v>
      </c>
    </row>
    <row r="113" spans="1:25">
      <c r="M113">
        <f>B112*M112</f>
        <v>7.1526133346503318E-2</v>
      </c>
      <c r="N113">
        <f t="shared" ref="N113" si="6">C112*N112</f>
        <v>6.2262408035888062E-2</v>
      </c>
      <c r="O113">
        <f t="shared" ref="O113" si="7">D112*O112</f>
        <v>4.185057448907805E-2</v>
      </c>
      <c r="P113">
        <f t="shared" ref="P113" si="8">E112*P112</f>
        <v>3.718451142140132E-2</v>
      </c>
      <c r="Q113">
        <f t="shared" ref="Q113" si="9">F112*Q112</f>
        <v>-5.6154213326840112E-3</v>
      </c>
      <c r="R113">
        <f t="shared" ref="R113" si="10">G112*R112</f>
        <v>4.9225194729317768E-4</v>
      </c>
      <c r="S113">
        <f t="shared" ref="S113" si="11">H112*S112</f>
        <v>2.5082975068823916E-2</v>
      </c>
      <c r="T113">
        <f t="shared" ref="T113" si="12">I112*T112</f>
        <v>3.7534663095695947E-2</v>
      </c>
      <c r="U113">
        <f t="shared" ref="U113" si="13">J112*U112</f>
        <v>4.4392489076526487E-2</v>
      </c>
      <c r="V113">
        <f t="shared" ref="V113" si="14">K112*V112</f>
        <v>4.8114986037378307E-2</v>
      </c>
      <c r="W113">
        <f t="shared" ref="W113" si="15">L112*W112</f>
        <v>5.4722811982898259E-2</v>
      </c>
      <c r="X113">
        <f>SUM(M113:W113)</f>
        <v>0.41754838316880283</v>
      </c>
      <c r="Y113">
        <f>X113/COUNT(B111:L111)/Y111</f>
        <v>0.57045202861527189</v>
      </c>
    </row>
    <row r="114" spans="1:25" ht="16">
      <c r="A114" s="2" t="s">
        <v>205</v>
      </c>
      <c r="B114">
        <v>0.80814907523293</v>
      </c>
      <c r="C114">
        <v>0.83993872692502825</v>
      </c>
      <c r="D114">
        <v>0.83100748808713409</v>
      </c>
      <c r="E114">
        <v>0.84414592506065234</v>
      </c>
      <c r="F114">
        <v>1.2239978005739127</v>
      </c>
      <c r="G114">
        <v>1.2600611977269416</v>
      </c>
      <c r="H114">
        <v>1.2337342892281848</v>
      </c>
      <c r="I114">
        <v>1.3461727787349249</v>
      </c>
      <c r="J114">
        <v>1.3849248927038627</v>
      </c>
      <c r="K114">
        <v>1.4139344262295082</v>
      </c>
      <c r="L114">
        <v>1.4193548387096775</v>
      </c>
      <c r="M114">
        <v>0.61506174710205319</v>
      </c>
      <c r="N114">
        <v>0.70844415690221163</v>
      </c>
      <c r="O114">
        <v>0.72851090608740598</v>
      </c>
      <c r="P114">
        <v>0.8009182139519766</v>
      </c>
      <c r="Q114">
        <v>1.0718276566025573</v>
      </c>
      <c r="R114">
        <v>1.1708111187985837</v>
      </c>
      <c r="S114">
        <v>1.2685855611057779</v>
      </c>
      <c r="T114">
        <v>1.3067651193226801</v>
      </c>
      <c r="U114">
        <v>1.3189797604295745</v>
      </c>
      <c r="V114">
        <v>1.3177442854754342</v>
      </c>
      <c r="W114">
        <v>1.3336321451170638</v>
      </c>
      <c r="X114">
        <f>AVERAGE(B114:W114)</f>
        <v>1.1021228231867306</v>
      </c>
      <c r="Y114">
        <f>(_xlfn.STDEV.P(B114:W114))^2</f>
        <v>6.9754458001598366E-2</v>
      </c>
    </row>
    <row r="115" spans="1:25">
      <c r="B115">
        <f>B114-$X114</f>
        <v>-0.2939737479538006</v>
      </c>
      <c r="C115">
        <f>C114-$X114</f>
        <v>-0.26218409626170236</v>
      </c>
      <c r="D115">
        <f>D114-$X114</f>
        <v>-0.27111533509959651</v>
      </c>
      <c r="E115">
        <f>E114-$X114</f>
        <v>-0.25797689812607827</v>
      </c>
      <c r="F115">
        <f>F114-$X114</f>
        <v>0.12187497738718212</v>
      </c>
      <c r="G115">
        <f>G114-$X114</f>
        <v>0.15793837454021098</v>
      </c>
      <c r="H115">
        <f>H114-$X114</f>
        <v>0.13161146604145424</v>
      </c>
      <c r="I115">
        <f>I114-$X114</f>
        <v>0.24404995554819431</v>
      </c>
      <c r="J115">
        <f>J114-$X114</f>
        <v>0.28280206951713205</v>
      </c>
      <c r="K115">
        <f>K114-$X114</f>
        <v>0.31181160304277755</v>
      </c>
      <c r="L115">
        <f>L114-$X114</f>
        <v>0.31723201552294689</v>
      </c>
      <c r="M115">
        <f>M114-$X114</f>
        <v>-0.48706107608467741</v>
      </c>
      <c r="N115">
        <f>N114-$X114</f>
        <v>-0.39367866628451897</v>
      </c>
      <c r="O115">
        <f>O114-$X114</f>
        <v>-0.37361191709932462</v>
      </c>
      <c r="P115">
        <f>P114-$X114</f>
        <v>-0.30120460923475401</v>
      </c>
      <c r="Q115">
        <f>Q114-$X114</f>
        <v>-3.0295166584173305E-2</v>
      </c>
      <c r="R115">
        <f>R114-$X114</f>
        <v>6.8688295611853079E-2</v>
      </c>
      <c r="S115">
        <f>S114-$X114</f>
        <v>0.16646273791904731</v>
      </c>
      <c r="T115">
        <f>T114-$X114</f>
        <v>0.20464229613594953</v>
      </c>
      <c r="U115">
        <f>U114-$X114</f>
        <v>0.21685693724284394</v>
      </c>
      <c r="V115">
        <f>V114-$X114</f>
        <v>0.2156214622887036</v>
      </c>
      <c r="W115">
        <f>W114-$X114</f>
        <v>0.23150932193033325</v>
      </c>
    </row>
    <row r="116" spans="1:25">
      <c r="M116">
        <f>B115*M115</f>
        <v>0.14318317001902386</v>
      </c>
      <c r="N116">
        <f t="shared" ref="N116" si="16">C115*N115</f>
        <v>0.10321628533731893</v>
      </c>
      <c r="O116">
        <f t="shared" ref="O116" si="17">D115*O115</f>
        <v>0.10129192010158607</v>
      </c>
      <c r="P116">
        <f t="shared" ref="P116" si="18">E115*P115</f>
        <v>7.7703830791659351E-2</v>
      </c>
      <c r="Q116">
        <f t="shared" ref="Q116" si="19">F115*Q115</f>
        <v>-3.692222742387037E-3</v>
      </c>
      <c r="R116">
        <f t="shared" ref="R116" si="20">G115*R115</f>
        <v>1.0848517758873582E-2</v>
      </c>
      <c r="S116">
        <f t="shared" ref="S116" si="21">H115*S115</f>
        <v>2.1908404978800193E-2</v>
      </c>
      <c r="T116">
        <f t="shared" ref="T116" si="22">I115*T115</f>
        <v>4.9942943275258896E-2</v>
      </c>
      <c r="U116">
        <f t="shared" ref="U116" si="23">J115*U115</f>
        <v>6.1327590641423096E-2</v>
      </c>
      <c r="V116">
        <f t="shared" ref="V116" si="24">K115*V115</f>
        <v>6.7233273806668478E-2</v>
      </c>
      <c r="W116">
        <f t="shared" ref="W116" si="25">L115*W115</f>
        <v>7.3442168808310379E-2</v>
      </c>
      <c r="X116">
        <f>SUM(M116:W116)</f>
        <v>0.70640588277653571</v>
      </c>
      <c r="Y116">
        <f>X116/COUNT(B114:L114)/Y114</f>
        <v>0.92063960434725456</v>
      </c>
    </row>
    <row r="119" spans="1:25">
      <c r="X119" t="s">
        <v>185</v>
      </c>
      <c r="Y119" t="s">
        <v>186</v>
      </c>
    </row>
    <row r="120" spans="1:25" ht="16">
      <c r="A120" s="2" t="s">
        <v>203</v>
      </c>
      <c r="B120">
        <v>0.19282305875548272</v>
      </c>
      <c r="C120">
        <v>0.19960260895857632</v>
      </c>
      <c r="D120">
        <v>0.20360819316674736</v>
      </c>
      <c r="E120">
        <v>0.20459653569919731</v>
      </c>
      <c r="F120">
        <v>0.2328758459300487</v>
      </c>
      <c r="G120">
        <v>0.23192330528724314</v>
      </c>
      <c r="H120">
        <v>0.22843237605979258</v>
      </c>
      <c r="I120">
        <v>0.23857329924549478</v>
      </c>
      <c r="J120">
        <v>0.26878634736013407</v>
      </c>
      <c r="K120">
        <v>0.26634531849900511</v>
      </c>
      <c r="L120">
        <v>0.28054548805209167</v>
      </c>
      <c r="M120">
        <v>0.15744915166741233</v>
      </c>
      <c r="N120">
        <v>0.15190446873511679</v>
      </c>
      <c r="O120">
        <v>0.1560623861517402</v>
      </c>
      <c r="P120">
        <v>0.16816577075239059</v>
      </c>
      <c r="Q120">
        <v>0.18300506787584406</v>
      </c>
      <c r="R120">
        <v>0.18859131802308102</v>
      </c>
      <c r="S120">
        <v>0.18945269760995892</v>
      </c>
      <c r="T120">
        <v>0.17784989487156047</v>
      </c>
      <c r="U120">
        <v>0.19878623539285944</v>
      </c>
      <c r="V120">
        <v>0.20305522914218566</v>
      </c>
      <c r="W120">
        <v>0.2095197255574614</v>
      </c>
      <c r="X120">
        <f>AVERAGE(B120:W120)</f>
        <v>0.20599792376333748</v>
      </c>
      <c r="Y120">
        <f>(_xlfn.STDEV.P(B120:W120))^2</f>
        <v>1.2500634743363261E-3</v>
      </c>
    </row>
    <row r="121" spans="1:25" ht="16">
      <c r="A121" s="2"/>
      <c r="B121">
        <f>B120-$X120</f>
        <v>-1.3174865007854752E-2</v>
      </c>
      <c r="C121">
        <f>C120-$X120</f>
        <v>-6.3953148047611597E-3</v>
      </c>
      <c r="D121">
        <f>D120-$X120</f>
        <v>-2.3897305965901172E-3</v>
      </c>
      <c r="E121">
        <f>E120-$X120</f>
        <v>-1.4013880641401688E-3</v>
      </c>
      <c r="F121">
        <f>F120-$X120</f>
        <v>2.6877922166711227E-2</v>
      </c>
      <c r="G121">
        <f>G120-$X120</f>
        <v>2.5925381523905666E-2</v>
      </c>
      <c r="H121">
        <f>H120-$X120</f>
        <v>2.2434452296455104E-2</v>
      </c>
      <c r="I121">
        <f>I120-$X120</f>
        <v>3.2575375482157304E-2</v>
      </c>
      <c r="J121">
        <f>J120-$X120</f>
        <v>6.2788423596796594E-2</v>
      </c>
      <c r="K121">
        <f>K120-$X120</f>
        <v>6.0347394735667637E-2</v>
      </c>
      <c r="L121">
        <f>L120-$X120</f>
        <v>7.4547564288754198E-2</v>
      </c>
      <c r="M121">
        <f>M120-$X120</f>
        <v>-4.8548772095925147E-2</v>
      </c>
      <c r="N121">
        <f>N120-$X120</f>
        <v>-5.4093455028220688E-2</v>
      </c>
      <c r="O121">
        <f>O120-$X120</f>
        <v>-4.9935537611597275E-2</v>
      </c>
      <c r="P121">
        <f>P120-$X120</f>
        <v>-3.783215301094689E-2</v>
      </c>
      <c r="Q121">
        <f>Q120-$X120</f>
        <v>-2.2992855887493419E-2</v>
      </c>
      <c r="R121">
        <f>R120-$X120</f>
        <v>-1.7406605740256459E-2</v>
      </c>
      <c r="S121">
        <f>S120-$X120</f>
        <v>-1.6545226153378556E-2</v>
      </c>
      <c r="T121">
        <f>T120-$X120</f>
        <v>-2.8148028891777005E-2</v>
      </c>
      <c r="U121">
        <f>U120-$X120</f>
        <v>-7.211688370478031E-3</v>
      </c>
      <c r="V121">
        <f>V120-$X120</f>
        <v>-2.9426946211518201E-3</v>
      </c>
      <c r="W121">
        <f>W120-$X120</f>
        <v>3.5218017941239244E-3</v>
      </c>
    </row>
    <row r="122" spans="1:25" ht="16">
      <c r="A122" s="2"/>
      <c r="M122">
        <f>B121*M121</f>
        <v>6.3962351866091941E-4</v>
      </c>
      <c r="N122">
        <f t="shared" ref="N122" si="26">C121*N121</f>
        <v>3.4594467378266176E-4</v>
      </c>
      <c r="O122">
        <f t="shared" ref="O122" si="27">D121*O121</f>
        <v>1.193324820876106E-4</v>
      </c>
      <c r="P122">
        <f t="shared" ref="P122" si="28">E121*P121</f>
        <v>5.3017527670265519E-5</v>
      </c>
      <c r="Q122">
        <f t="shared" ref="Q122" si="29">F121*Q121</f>
        <v>-6.1800019093445613E-4</v>
      </c>
      <c r="R122">
        <f t="shared" ref="R122" si="30">G121*R121</f>
        <v>-4.512728948523551E-4</v>
      </c>
      <c r="S122">
        <f t="shared" ref="S122" si="31">H121*S121</f>
        <v>-3.711830868720326E-4</v>
      </c>
      <c r="T122">
        <f t="shared" ref="T122" si="32">I121*T121</f>
        <v>-9.1693261023224806E-4</v>
      </c>
      <c r="U122">
        <f t="shared" ref="U122" si="33">J121*U121</f>
        <v>-4.5281054425366638E-4</v>
      </c>
      <c r="V122">
        <f t="shared" ref="V122" si="34">K121*V121</f>
        <v>-1.7758395388917483E-4</v>
      </c>
      <c r="W122">
        <f t="shared" ref="W122" si="35">L121*W121</f>
        <v>2.6254174565970312E-4</v>
      </c>
      <c r="X122">
        <f>SUM(M122:W122)</f>
        <v>-1.5673233331727726E-3</v>
      </c>
      <c r="Y122">
        <f>X122/COUNT(B120:L120)/Y120</f>
        <v>-0.11398136359034843</v>
      </c>
    </row>
    <row r="123" spans="1:25" ht="16">
      <c r="A123" s="2" t="s">
        <v>204</v>
      </c>
      <c r="B123">
        <v>0.19282305875548272</v>
      </c>
      <c r="C123">
        <v>0.19960260895857632</v>
      </c>
      <c r="D123">
        <v>0.20360819316674736</v>
      </c>
      <c r="E123">
        <v>0.20459653569919731</v>
      </c>
      <c r="F123">
        <v>0.2328758459300487</v>
      </c>
      <c r="G123">
        <v>0.23192330528724314</v>
      </c>
      <c r="H123">
        <v>0.22843237605979258</v>
      </c>
      <c r="I123">
        <v>0.23857329924549478</v>
      </c>
      <c r="J123">
        <v>0.26878634736013407</v>
      </c>
      <c r="K123">
        <v>0.26634531849900511</v>
      </c>
      <c r="L123">
        <v>0.28054548805209167</v>
      </c>
      <c r="M123">
        <v>9.0808307260230106E-2</v>
      </c>
      <c r="N123">
        <v>8.5488153422062882E-2</v>
      </c>
      <c r="O123">
        <v>8.8248904794224717E-2</v>
      </c>
      <c r="P123">
        <v>9.5655996888685979E-2</v>
      </c>
      <c r="Q123">
        <v>0.10746328504836851</v>
      </c>
      <c r="R123">
        <v>0.11421255098257323</v>
      </c>
      <c r="S123">
        <v>0.11515275889490291</v>
      </c>
      <c r="T123">
        <v>0.12643891341172397</v>
      </c>
      <c r="U123">
        <v>0.14251937681045956</v>
      </c>
      <c r="V123">
        <v>0.14848649628421243</v>
      </c>
      <c r="W123">
        <v>0.15396781463761813</v>
      </c>
      <c r="X123">
        <f>AVERAGE(B123:W123)</f>
        <v>0.17347976979313076</v>
      </c>
      <c r="Y123">
        <f>(_xlfn.STDEV.P(B123:W123))^2</f>
        <v>4.0750446736838083E-3</v>
      </c>
    </row>
    <row r="124" spans="1:25">
      <c r="B124">
        <f>B123-$X123</f>
        <v>1.9343288962351962E-2</v>
      </c>
      <c r="C124">
        <f>C123-$X123</f>
        <v>2.6122839165445555E-2</v>
      </c>
      <c r="D124">
        <f>D123-$X123</f>
        <v>3.0128423373616597E-2</v>
      </c>
      <c r="E124">
        <f>E123-$X123</f>
        <v>3.1116765906066546E-2</v>
      </c>
      <c r="F124">
        <f>F123-$X123</f>
        <v>5.9396076136917941E-2</v>
      </c>
      <c r="G124">
        <f>G123-$X123</f>
        <v>5.8443535494112381E-2</v>
      </c>
      <c r="H124">
        <f>H123-$X123</f>
        <v>5.4952606266661819E-2</v>
      </c>
      <c r="I124">
        <f>I123-$X123</f>
        <v>6.5093529452364018E-2</v>
      </c>
      <c r="J124">
        <f>J123-$X123</f>
        <v>9.5306577567003309E-2</v>
      </c>
      <c r="K124">
        <f>K123-$X123</f>
        <v>9.2865548705874351E-2</v>
      </c>
      <c r="L124">
        <f>L123-$X123</f>
        <v>0.10706571825896091</v>
      </c>
      <c r="M124">
        <f>M123-$X123</f>
        <v>-8.2671462532900655E-2</v>
      </c>
      <c r="N124">
        <f>N123-$X123</f>
        <v>-8.7991616371067879E-2</v>
      </c>
      <c r="O124">
        <f>O123-$X123</f>
        <v>-8.5230864998906045E-2</v>
      </c>
      <c r="P124">
        <f>P123-$X123</f>
        <v>-7.7823772904444782E-2</v>
      </c>
      <c r="Q124">
        <f>Q123-$X123</f>
        <v>-6.6016484744762252E-2</v>
      </c>
      <c r="R124">
        <f>R123-$X123</f>
        <v>-5.9267218810557534E-2</v>
      </c>
      <c r="S124">
        <f>S123-$X123</f>
        <v>-5.8327010898227852E-2</v>
      </c>
      <c r="T124">
        <f>T123-$X123</f>
        <v>-4.7040856381406787E-2</v>
      </c>
      <c r="U124">
        <f>U123-$X123</f>
        <v>-3.0960392982671198E-2</v>
      </c>
      <c r="V124">
        <f>V123-$X123</f>
        <v>-2.4993273508918334E-2</v>
      </c>
      <c r="W124">
        <f>W123-$X123</f>
        <v>-1.9511955155512628E-2</v>
      </c>
    </row>
    <row r="125" spans="1:25">
      <c r="M125">
        <f>B124*M124</f>
        <v>-1.599137988714151E-3</v>
      </c>
      <c r="N125">
        <f t="shared" ref="N125" si="36">C124*N124</f>
        <v>-2.2985908423689924E-3</v>
      </c>
      <c r="O125">
        <f t="shared" ref="O125" si="37">D124*O124</f>
        <v>-2.5678715851866016E-3</v>
      </c>
      <c r="P125">
        <f t="shared" ref="P125" si="38">E124*P124</f>
        <v>-2.4216241233944928E-3</v>
      </c>
      <c r="Q125">
        <f t="shared" ref="Q125" si="39">F124*Q124</f>
        <v>-3.9211201541915807E-3</v>
      </c>
      <c r="R125">
        <f t="shared" ref="R125" si="40">G124*R124</f>
        <v>-3.4637858061921443E-3</v>
      </c>
      <c r="S125">
        <f t="shared" ref="S125" si="41">H124*S124</f>
        <v>-3.2052212646016078E-3</v>
      </c>
      <c r="T125">
        <f t="shared" ref="T125" si="42">I124*T124</f>
        <v>-3.0620553703275288E-3</v>
      </c>
      <c r="U125">
        <f t="shared" ref="U125" si="43">J124*U124</f>
        <v>-2.9507290953078576E-3</v>
      </c>
      <c r="V125">
        <f t="shared" ref="V125" si="44">K124*V124</f>
        <v>-2.3210140583616945E-3</v>
      </c>
      <c r="W125">
        <f t="shared" ref="W125" si="45">L124*W124</f>
        <v>-2.0890614933615948E-3</v>
      </c>
      <c r="X125">
        <f>SUM(M125:W125)</f>
        <v>-2.9900211782008249E-2</v>
      </c>
      <c r="Y125">
        <f>X125/COUNT(B123:L123)/Y123</f>
        <v>-0.66703589500392557</v>
      </c>
    </row>
    <row r="126" spans="1:25" ht="16">
      <c r="A126" s="2" t="s">
        <v>205</v>
      </c>
      <c r="B126">
        <v>0.15744915166741233</v>
      </c>
      <c r="C126">
        <v>0.15190446873511679</v>
      </c>
      <c r="D126">
        <v>0.1560623861517402</v>
      </c>
      <c r="E126">
        <v>0.16816577075239059</v>
      </c>
      <c r="F126">
        <v>0.18300506787584406</v>
      </c>
      <c r="G126">
        <v>0.18859131802308102</v>
      </c>
      <c r="H126">
        <v>0.18945269760995892</v>
      </c>
      <c r="I126">
        <v>0.17784989487156047</v>
      </c>
      <c r="J126">
        <v>0.19878623539285944</v>
      </c>
      <c r="K126">
        <v>0.20305522914218566</v>
      </c>
      <c r="L126">
        <v>0.2095197255574614</v>
      </c>
      <c r="M126">
        <v>9.0808307260230106E-2</v>
      </c>
      <c r="N126">
        <v>8.5488153422062882E-2</v>
      </c>
      <c r="O126">
        <v>8.8248904794224717E-2</v>
      </c>
      <c r="P126">
        <v>9.5655996888685979E-2</v>
      </c>
      <c r="Q126">
        <v>0.10746328504836851</v>
      </c>
      <c r="R126">
        <v>0.11421255098257323</v>
      </c>
      <c r="S126">
        <v>0.11515275889490291</v>
      </c>
      <c r="T126">
        <v>0.12643891341172397</v>
      </c>
      <c r="U126">
        <v>0.14251937681045956</v>
      </c>
      <c r="V126">
        <v>0.14848649628421243</v>
      </c>
      <c r="W126">
        <v>0.15396781463761813</v>
      </c>
      <c r="X126">
        <f>AVERAGE(B126:W126)</f>
        <v>0.14783111382793968</v>
      </c>
      <c r="Y126">
        <f>(_xlfn.STDEV.P(B126:W126))^2</f>
        <v>1.5152795079893255E-3</v>
      </c>
    </row>
    <row r="127" spans="1:25">
      <c r="B127">
        <f>B126-$X126</f>
        <v>9.618037839472654E-3</v>
      </c>
      <c r="C127">
        <f>C126-$X126</f>
        <v>4.0733549071771125E-3</v>
      </c>
      <c r="D127">
        <f>D126-$X126</f>
        <v>8.2312723238005259E-3</v>
      </c>
      <c r="E127">
        <f>E126-$X126</f>
        <v>2.0334656924450911E-2</v>
      </c>
      <c r="F127">
        <f>F126-$X126</f>
        <v>3.5173954047904382E-2</v>
      </c>
      <c r="G127">
        <f>G126-$X126</f>
        <v>4.0760204195141342E-2</v>
      </c>
      <c r="H127">
        <f>H126-$X126</f>
        <v>4.1621583782019245E-2</v>
      </c>
      <c r="I127">
        <f>I126-$X126</f>
        <v>3.0018781043620796E-2</v>
      </c>
      <c r="J127">
        <f>J126-$X126</f>
        <v>5.095512156491977E-2</v>
      </c>
      <c r="K127">
        <f>K126-$X126</f>
        <v>5.5224115314245981E-2</v>
      </c>
      <c r="L127">
        <f>L126-$X126</f>
        <v>6.1688611729521725E-2</v>
      </c>
      <c r="M127">
        <f>M126-$X126</f>
        <v>-5.7022806567709569E-2</v>
      </c>
      <c r="N127">
        <f>N126-$X126</f>
        <v>-6.2342960405876793E-2</v>
      </c>
      <c r="O127">
        <f>O126-$X126</f>
        <v>-5.9582209033714958E-2</v>
      </c>
      <c r="P127">
        <f>P126-$X126</f>
        <v>-5.2175116939253696E-2</v>
      </c>
      <c r="Q127">
        <f>Q126-$X126</f>
        <v>-4.0367828779571166E-2</v>
      </c>
      <c r="R127">
        <f>R126-$X126</f>
        <v>-3.3618562845366448E-2</v>
      </c>
      <c r="S127">
        <f>S126-$X126</f>
        <v>-3.2678354933036766E-2</v>
      </c>
      <c r="T127">
        <f>T126-$X126</f>
        <v>-2.1392200416215701E-2</v>
      </c>
      <c r="U127">
        <f>U126-$X126</f>
        <v>-5.3117370174801115E-3</v>
      </c>
      <c r="V127">
        <f>V126-$X126</f>
        <v>6.5538245627275171E-4</v>
      </c>
      <c r="W127">
        <f>W126-$X126</f>
        <v>6.1367008096784581E-3</v>
      </c>
    </row>
    <row r="128" spans="1:25">
      <c r="M128">
        <f>B127*M127</f>
        <v>-5.484475112811604E-4</v>
      </c>
      <c r="N128">
        <f t="shared" ref="N128" si="46">C127*N127</f>
        <v>-2.5394500369722666E-4</v>
      </c>
      <c r="O128">
        <f t="shared" ref="O128" si="47">D127*O127</f>
        <v>-4.9043738821011556E-4</v>
      </c>
      <c r="P128">
        <f t="shared" ref="P128" si="48">E127*P127</f>
        <v>-1.0609631029528312E-3</v>
      </c>
      <c r="Q128">
        <f t="shared" ref="Q128" si="49">F127*Q127</f>
        <v>-1.4198961545063083E-3</v>
      </c>
      <c r="R128">
        <f t="shared" ref="R128" si="50">G127*R127</f>
        <v>-1.3702994863243284E-3</v>
      </c>
      <c r="S128">
        <f t="shared" ref="S128" si="51">H127*S127</f>
        <v>-1.3601248877039517E-3</v>
      </c>
      <c r="T128">
        <f t="shared" ref="T128" si="52">I127*T127</f>
        <v>-6.4216778033563283E-4</v>
      </c>
      <c r="U128">
        <f t="shared" ref="U128" si="53">J127*U127</f>
        <v>-2.7066020544658345E-4</v>
      </c>
      <c r="V128">
        <f t="shared" ref="V128" si="54">K127*V127</f>
        <v>3.6192916340140216E-5</v>
      </c>
      <c r="W128">
        <f t="shared" ref="W128" si="55">L127*W127</f>
        <v>3.7856455354849601E-4</v>
      </c>
      <c r="X128">
        <f>SUM(M128:W128)</f>
        <v>-7.0021840505695024E-3</v>
      </c>
      <c r="Y128">
        <f>X128/COUNT(B126:L126)/Y126</f>
        <v>-0.42009555534746501</v>
      </c>
    </row>
  </sheetData>
  <sortState ref="A42:B46">
    <sortCondition descending="1" ref="B47"/>
  </sortState>
  <dataConsolidate/>
  <phoneticPr fontId="2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</vt:lpstr>
      <vt:lpstr>All-交通方式</vt:lpstr>
      <vt:lpstr>道路类型</vt:lpstr>
      <vt:lpstr>车辆性质</vt:lpstr>
      <vt:lpstr>事故形态</vt:lpstr>
      <vt:lpstr>上下行隔离</vt:lpstr>
      <vt:lpstr>事故位置</vt:lpstr>
      <vt:lpstr>事发点钟</vt:lpstr>
      <vt:lpstr>事故原因</vt:lpstr>
      <vt:lpstr>交通控制</vt:lpstr>
      <vt:lpstr>驾龄</vt:lpstr>
      <vt:lpstr>年龄</vt:lpstr>
    </vt:vector>
  </TitlesOfParts>
  <Company>Tsinghua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 Toyhouse</dc:creator>
  <cp:lastModifiedBy>Woody De-Yu Wang</cp:lastModifiedBy>
  <dcterms:created xsi:type="dcterms:W3CDTF">2013-03-31T11:12:05Z</dcterms:created>
  <dcterms:modified xsi:type="dcterms:W3CDTF">2013-10-15T14:41:46Z</dcterms:modified>
</cp:coreProperties>
</file>