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Ciclo II 2022\Sistemas Contables\Semana 10\Discusión\"/>
    </mc:Choice>
  </mc:AlternateContent>
  <xr:revisionPtr revIDLastSave="0" documentId="13_ncr:1_{4D9E8B63-57FB-4003-8F41-DC826A903937}" xr6:coauthVersionLast="47" xr6:coauthVersionMax="47" xr10:uidLastSave="{00000000-0000-0000-0000-000000000000}"/>
  <bookViews>
    <workbookView xWindow="-120" yWindow="-120" windowWidth="29040" windowHeight="15720" activeTab="2" xr2:uid="{E070565C-EBA9-457B-950D-4264ACBCBC52}"/>
  </bookViews>
  <sheets>
    <sheet name="Ejercicio 1" sheetId="3" r:id="rId1"/>
    <sheet name="Ejercico 2" sheetId="2" r:id="rId2"/>
    <sheet name="Ejercicio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9" i="3" l="1"/>
  <c r="H57" i="3"/>
  <c r="H55" i="3"/>
  <c r="J53" i="3"/>
  <c r="I53" i="3"/>
  <c r="H53" i="3"/>
  <c r="D53" i="3"/>
  <c r="J52" i="3"/>
  <c r="C14" i="2" l="1"/>
  <c r="C13" i="2"/>
  <c r="C12" i="2"/>
  <c r="C11" i="2"/>
  <c r="C9" i="2"/>
  <c r="C8" i="2"/>
  <c r="C7" i="2"/>
  <c r="C6" i="2"/>
  <c r="C5" i="2"/>
  <c r="C4" i="2"/>
  <c r="C3" i="2"/>
  <c r="C2" i="2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G12" i="1"/>
  <c r="F12" i="1" s="1"/>
  <c r="G11" i="1"/>
  <c r="G17" i="1" s="1"/>
  <c r="C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E2" i="1"/>
  <c r="B12" i="1" l="1"/>
  <c r="C12" i="1"/>
  <c r="D11" i="1"/>
  <c r="E11" i="1"/>
  <c r="B11" i="1"/>
  <c r="F11" i="1"/>
  <c r="F17" i="1" s="1"/>
  <c r="D12" i="1"/>
  <c r="E12" i="1"/>
  <c r="E17" i="1" l="1"/>
  <c r="E19" i="1"/>
  <c r="E22" i="1" s="1"/>
  <c r="B18" i="1"/>
  <c r="D18" i="1"/>
  <c r="C18" i="1"/>
  <c r="I2" i="1" l="1"/>
  <c r="C19" i="1" l="1"/>
  <c r="B19" i="1"/>
  <c r="D19" i="1"/>
  <c r="J2" i="1" l="1"/>
  <c r="B22" i="1" l="1"/>
  <c r="B26" i="1" s="1"/>
  <c r="C22" i="1"/>
  <c r="B27" i="1"/>
  <c r="D22" i="1"/>
  <c r="B28" i="1" s="1"/>
  <c r="G22" i="1" l="1"/>
</calcChain>
</file>

<file path=xl/sharedStrings.xml><?xml version="1.0" encoding="utf-8"?>
<sst xmlns="http://schemas.openxmlformats.org/spreadsheetml/2006/main" count="89" uniqueCount="54">
  <si>
    <t>A) De cuánto será el valor del inventario final si se mantiene un registro de inventario perpetuo
para el material sobre la base PEPS.</t>
  </si>
  <si>
    <t>Fecha</t>
  </si>
  <si>
    <t>Recibido</t>
  </si>
  <si>
    <t>Vendido</t>
  </si>
  <si>
    <t>Saldo</t>
  </si>
  <si>
    <t>Unidades</t>
  </si>
  <si>
    <t>Costo</t>
  </si>
  <si>
    <t>Total</t>
  </si>
  <si>
    <t>B) De cuánto será el valor del inventario final si se mantiene un registro de inventario perpetuo
para el material sobre la base UEPS.</t>
  </si>
  <si>
    <t>C) De cuánto será el valor del inventario final si se mantiene un registro de inventario perpetuo
para el material sobre la base PROMEDIO.</t>
  </si>
  <si>
    <t>Departamento A</t>
  </si>
  <si>
    <t>Departamento C</t>
  </si>
  <si>
    <t>Departamento de servicio 1</t>
  </si>
  <si>
    <t>Departamento de servicio 2</t>
  </si>
  <si>
    <t>Mano de obra indirecta</t>
  </si>
  <si>
    <t>Alquiler de la planta</t>
  </si>
  <si>
    <t>Seguros, maquinaria equipo</t>
  </si>
  <si>
    <t>Seguro de compensación</t>
  </si>
  <si>
    <t>Superintendencia</t>
  </si>
  <si>
    <t>Sueldo de los empleados de oficina de la fábrica</t>
  </si>
  <si>
    <t>Mantenimiento y reparación de máquinas</t>
  </si>
  <si>
    <t>Depreciación, maquinaria y equipo</t>
  </si>
  <si>
    <t>Combustible</t>
  </si>
  <si>
    <t>1/4 Electricidad</t>
  </si>
  <si>
    <t>3/4 Electricidad</t>
  </si>
  <si>
    <t>Suministros de fabricación utilizados</t>
  </si>
  <si>
    <t>Prestaciones de seguro social</t>
  </si>
  <si>
    <t>Suministros de oficina para fábrica</t>
  </si>
  <si>
    <t>Otros gastos de planta</t>
  </si>
  <si>
    <t>Coeficiente costos indirectos por Hora-Máquina Dep. A</t>
  </si>
  <si>
    <t>Coeficiente costos indirectos por Hora-Máquina Dep. B</t>
  </si>
  <si>
    <t>Coeficiente costos indirectos por Hora-Mano de Obra Dep. C</t>
  </si>
  <si>
    <t>Departamento B</t>
  </si>
  <si>
    <t>Total:</t>
  </si>
  <si>
    <t>Salarios y Prestaciones</t>
  </si>
  <si>
    <t>Valor</t>
  </si>
  <si>
    <t>Total semanal</t>
  </si>
  <si>
    <t>Séptimo</t>
  </si>
  <si>
    <t>Aguinaldo</t>
  </si>
  <si>
    <t>Vacaciones</t>
  </si>
  <si>
    <t>Salud</t>
  </si>
  <si>
    <t>AFP</t>
  </si>
  <si>
    <t>Costo real semanal</t>
  </si>
  <si>
    <t>Costo real por día</t>
  </si>
  <si>
    <t>Costo real por hora</t>
  </si>
  <si>
    <t>Factor de recargo por hora</t>
  </si>
  <si>
    <t>Factor de recargo por hora con eficiencia</t>
  </si>
  <si>
    <t>Factor de recargo por dia</t>
  </si>
  <si>
    <t>Factor de recargo por dia con eficiencia</t>
  </si>
  <si>
    <t>7 días por $20</t>
  </si>
  <si>
    <t>(18 días por $20) entre 52</t>
  </si>
  <si>
    <t>((15 días por $20) + 30% recargo) entre 52</t>
  </si>
  <si>
    <t>($140 más $7.50) por 0.075</t>
  </si>
  <si>
    <t>($140 más $7.50) por 0.0775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</si>
</sst>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$-440A]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4" borderId="1" xfId="0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44" fontId="0" fillId="0" borderId="0" xfId="1" applyFont="1"/>
    <xf numFmtId="44" fontId="0" fillId="0" borderId="1" xfId="1" applyFont="1" applyBorder="1" applyAlignment="1">
      <alignment horizontal="center" vertical="center"/>
    </xf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2" borderId="3" xfId="1" applyFont="1" applyFill="1" applyBorder="1"/>
    <xf numFmtId="44" fontId="0" fillId="2" borderId="4" xfId="1" applyFont="1" applyFill="1" applyBorder="1"/>
    <xf numFmtId="44" fontId="0" fillId="0" borderId="9" xfId="1" applyFont="1" applyBorder="1"/>
    <xf numFmtId="0" fontId="0" fillId="2" borderId="3" xfId="0" applyFill="1" applyBorder="1"/>
    <xf numFmtId="0" fontId="1" fillId="2" borderId="10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44" fontId="0" fillId="0" borderId="9" xfId="1" applyFont="1" applyBorder="1" applyAlignment="1">
      <alignment horizontal="center" vertical="center"/>
    </xf>
    <xf numFmtId="0" fontId="1" fillId="2" borderId="5" xfId="0" applyFont="1" applyFill="1" applyBorder="1"/>
    <xf numFmtId="44" fontId="0" fillId="0" borderId="11" xfId="1" applyFont="1" applyBorder="1" applyAlignment="1">
      <alignment horizontal="center" vertical="center"/>
    </xf>
    <xf numFmtId="44" fontId="0" fillId="7" borderId="11" xfId="1" applyFont="1" applyFill="1" applyBorder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0" fontId="1" fillId="2" borderId="3" xfId="0" applyFont="1" applyFill="1" applyBorder="1"/>
    <xf numFmtId="0" fontId="0" fillId="8" borderId="1" xfId="0" applyFill="1" applyBorder="1"/>
    <xf numFmtId="44" fontId="0" fillId="8" borderId="1" xfId="1" applyFont="1" applyFill="1" applyBorder="1" applyAlignment="1">
      <alignment horizontal="center" vertical="center"/>
    </xf>
    <xf numFmtId="0" fontId="0" fillId="8" borderId="8" xfId="0" applyFill="1" applyBorder="1"/>
    <xf numFmtId="0" fontId="0" fillId="8" borderId="9" xfId="0" applyFill="1" applyBorder="1"/>
    <xf numFmtId="0" fontId="1" fillId="8" borderId="8" xfId="0" applyFont="1" applyFill="1" applyBorder="1"/>
    <xf numFmtId="44" fontId="0" fillId="8" borderId="9" xfId="1" applyFont="1" applyFill="1" applyBorder="1" applyAlignment="1">
      <alignment horizontal="center" vertical="center"/>
    </xf>
    <xf numFmtId="0" fontId="1" fillId="9" borderId="3" xfId="0" applyFont="1" applyFill="1" applyBorder="1"/>
    <xf numFmtId="0" fontId="1" fillId="9" borderId="10" xfId="0" applyFont="1" applyFill="1" applyBorder="1"/>
    <xf numFmtId="0" fontId="1" fillId="9" borderId="4" xfId="0" applyFont="1" applyFill="1" applyBorder="1"/>
    <xf numFmtId="0" fontId="1" fillId="0" borderId="8" xfId="0" applyFont="1" applyBorder="1"/>
    <xf numFmtId="164" fontId="0" fillId="10" borderId="9" xfId="0" applyNumberFormat="1" applyFill="1" applyBorder="1"/>
    <xf numFmtId="0" fontId="1" fillId="0" borderId="12" xfId="0" applyFont="1" applyBorder="1"/>
    <xf numFmtId="0" fontId="0" fillId="0" borderId="13" xfId="0" applyBorder="1"/>
    <xf numFmtId="164" fontId="0" fillId="10" borderId="14" xfId="0" applyNumberFormat="1" applyFill="1" applyBorder="1"/>
    <xf numFmtId="164" fontId="0" fillId="0" borderId="16" xfId="0" applyNumberFormat="1" applyBorder="1"/>
    <xf numFmtId="164" fontId="0" fillId="10" borderId="4" xfId="0" applyNumberFormat="1" applyFill="1" applyBorder="1"/>
    <xf numFmtId="164" fontId="0" fillId="10" borderId="6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0" fillId="0" borderId="17" xfId="0" applyBorder="1"/>
    <xf numFmtId="165" fontId="0" fillId="2" borderId="9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11" xfId="0" applyFill="1" applyBorder="1"/>
    <xf numFmtId="0" fontId="0" fillId="4" borderId="11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3" borderId="3" xfId="0" applyFill="1" applyBorder="1"/>
    <xf numFmtId="0" fontId="0" fillId="3" borderId="10" xfId="0" applyFill="1" applyBorder="1"/>
    <xf numFmtId="0" fontId="0" fillId="4" borderId="10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17</xdr:col>
      <xdr:colOff>610323</xdr:colOff>
      <xdr:row>11</xdr:row>
      <xdr:rowOff>133666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F9197A-471D-FA2C-B52A-84158DD8B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0"/>
          <a:ext cx="5182323" cy="2267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11</xdr:col>
      <xdr:colOff>600903</xdr:colOff>
      <xdr:row>10</xdr:row>
      <xdr:rowOff>28849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AFAFD2-74DC-C4F9-F003-A9CB24B6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0"/>
          <a:ext cx="5934903" cy="196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18</xdr:col>
      <xdr:colOff>467535</xdr:colOff>
      <xdr:row>4</xdr:row>
      <xdr:rowOff>186552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4D8A1C-7023-0095-9529-407BFF9DD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49107" y="0"/>
          <a:ext cx="5801535" cy="962159"/>
        </a:xfrm>
        <a:prstGeom prst="rect">
          <a:avLst/>
        </a:prstGeom>
      </xdr:spPr>
    </xdr:pic>
    <xdr:clientData/>
  </xdr:twoCellAnchor>
  <xdr:twoCellAnchor editAs="oneCell">
    <xdr:from>
      <xdr:col>10</xdr:col>
      <xdr:colOff>693964</xdr:colOff>
      <xdr:row>5</xdr:row>
      <xdr:rowOff>54427</xdr:rowOff>
    </xdr:from>
    <xdr:to>
      <xdr:col>18</xdr:col>
      <xdr:colOff>532867</xdr:colOff>
      <xdr:row>47</xdr:row>
      <xdr:rowOff>109985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7A45CF-DD47-ED63-3675-FBCDB8086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81071" y="1020534"/>
          <a:ext cx="5934903" cy="8097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D1094-0725-4BD0-BD5F-C206F42412E2}">
  <dimension ref="A1:J71"/>
  <sheetViews>
    <sheetView zoomScaleNormal="100" workbookViewId="0">
      <selection activeCell="N22" sqref="N22"/>
    </sheetView>
  </sheetViews>
  <sheetFormatPr baseColWidth="10" defaultRowHeight="15" x14ac:dyDescent="0.25"/>
  <sheetData>
    <row r="1" spans="1:10" ht="1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x14ac:dyDescent="0.25">
      <c r="A3" s="57" t="s">
        <v>1</v>
      </c>
      <c r="B3" s="58" t="s">
        <v>2</v>
      </c>
      <c r="C3" s="58"/>
      <c r="D3" s="58"/>
      <c r="E3" s="59" t="s">
        <v>3</v>
      </c>
      <c r="F3" s="59"/>
      <c r="G3" s="59"/>
      <c r="H3" s="60" t="s">
        <v>4</v>
      </c>
      <c r="I3" s="60"/>
      <c r="J3" s="60"/>
    </row>
    <row r="4" spans="1:10" x14ac:dyDescent="0.25">
      <c r="A4" s="57"/>
      <c r="B4" s="2" t="s">
        <v>5</v>
      </c>
      <c r="C4" s="2" t="s">
        <v>6</v>
      </c>
      <c r="D4" s="2" t="s">
        <v>7</v>
      </c>
      <c r="E4" s="3" t="s">
        <v>5</v>
      </c>
      <c r="F4" s="3" t="s">
        <v>6</v>
      </c>
      <c r="G4" s="3" t="s">
        <v>7</v>
      </c>
      <c r="H4" s="1" t="s">
        <v>5</v>
      </c>
      <c r="I4" s="1" t="s">
        <v>6</v>
      </c>
      <c r="J4" s="1" t="s">
        <v>7</v>
      </c>
    </row>
    <row r="5" spans="1:10" ht="15.75" thickBot="1" x14ac:dyDescent="0.3">
      <c r="A5" s="6"/>
      <c r="B5" s="72"/>
      <c r="C5" s="73"/>
      <c r="D5" s="73"/>
      <c r="E5" s="74"/>
      <c r="F5" s="75"/>
      <c r="G5" s="75"/>
      <c r="H5" s="76">
        <v>100</v>
      </c>
      <c r="I5" s="77">
        <v>1.5</v>
      </c>
      <c r="J5" s="77">
        <v>150</v>
      </c>
    </row>
    <row r="6" spans="1:10" x14ac:dyDescent="0.25">
      <c r="A6" s="71"/>
      <c r="B6" s="78">
        <v>300</v>
      </c>
      <c r="C6" s="79">
        <v>1.56</v>
      </c>
      <c r="D6" s="79">
        <v>468</v>
      </c>
      <c r="E6" s="80"/>
      <c r="F6" s="81"/>
      <c r="G6" s="81"/>
      <c r="H6" s="82">
        <v>100</v>
      </c>
      <c r="I6" s="83">
        <v>1.5</v>
      </c>
      <c r="J6" s="84">
        <v>150</v>
      </c>
    </row>
    <row r="7" spans="1:10" ht="15.75" thickBot="1" x14ac:dyDescent="0.3">
      <c r="A7" s="71"/>
      <c r="B7" s="85"/>
      <c r="C7" s="86"/>
      <c r="D7" s="86"/>
      <c r="E7" s="87"/>
      <c r="F7" s="88"/>
      <c r="G7" s="88"/>
      <c r="H7" s="89">
        <v>300</v>
      </c>
      <c r="I7" s="90">
        <v>1.56</v>
      </c>
      <c r="J7" s="91">
        <v>468</v>
      </c>
    </row>
    <row r="8" spans="1:10" x14ac:dyDescent="0.25">
      <c r="A8" s="71"/>
      <c r="B8" s="78"/>
      <c r="C8" s="79"/>
      <c r="D8" s="79"/>
      <c r="E8" s="80">
        <v>80</v>
      </c>
      <c r="F8" s="81">
        <v>1.5</v>
      </c>
      <c r="G8" s="81">
        <v>120</v>
      </c>
      <c r="H8" s="82">
        <v>20</v>
      </c>
      <c r="I8" s="83">
        <v>1.5</v>
      </c>
      <c r="J8" s="84">
        <v>30</v>
      </c>
    </row>
    <row r="9" spans="1:10" ht="15.75" thickBot="1" x14ac:dyDescent="0.3">
      <c r="A9" s="71"/>
      <c r="B9" s="85"/>
      <c r="C9" s="86"/>
      <c r="D9" s="86"/>
      <c r="E9" s="87"/>
      <c r="F9" s="88"/>
      <c r="G9" s="88"/>
      <c r="H9" s="89">
        <v>300</v>
      </c>
      <c r="I9" s="90">
        <v>1.56</v>
      </c>
      <c r="J9" s="91">
        <v>468</v>
      </c>
    </row>
    <row r="10" spans="1:10" x14ac:dyDescent="0.25">
      <c r="A10" s="71"/>
      <c r="B10" s="78"/>
      <c r="C10" s="79"/>
      <c r="D10" s="79"/>
      <c r="E10" s="80">
        <v>20</v>
      </c>
      <c r="F10" s="81">
        <v>1.5</v>
      </c>
      <c r="G10" s="81">
        <v>30</v>
      </c>
      <c r="H10" s="82">
        <v>180</v>
      </c>
      <c r="I10" s="83">
        <v>1.56</v>
      </c>
      <c r="J10" s="84">
        <v>280.8</v>
      </c>
    </row>
    <row r="11" spans="1:10" ht="15.75" thickBot="1" x14ac:dyDescent="0.3">
      <c r="A11" s="71"/>
      <c r="B11" s="85"/>
      <c r="C11" s="86"/>
      <c r="D11" s="86"/>
      <c r="E11" s="87">
        <v>120</v>
      </c>
      <c r="F11" s="88">
        <v>1.56</v>
      </c>
      <c r="G11" s="88">
        <v>187.2</v>
      </c>
      <c r="H11" s="89"/>
      <c r="I11" s="90"/>
      <c r="J11" s="91"/>
    </row>
    <row r="12" spans="1:10" x14ac:dyDescent="0.25">
      <c r="A12" s="71"/>
      <c r="B12" s="78">
        <v>150</v>
      </c>
      <c r="C12" s="79">
        <v>1.6</v>
      </c>
      <c r="D12" s="79">
        <v>240</v>
      </c>
      <c r="E12" s="80"/>
      <c r="F12" s="81"/>
      <c r="G12" s="81"/>
      <c r="H12" s="82">
        <v>180</v>
      </c>
      <c r="I12" s="83">
        <v>1.56</v>
      </c>
      <c r="J12" s="84">
        <v>280.8</v>
      </c>
    </row>
    <row r="13" spans="1:10" ht="15.75" thickBot="1" x14ac:dyDescent="0.3">
      <c r="A13" s="71"/>
      <c r="B13" s="85"/>
      <c r="C13" s="86"/>
      <c r="D13" s="86"/>
      <c r="E13" s="87"/>
      <c r="F13" s="88"/>
      <c r="G13" s="88"/>
      <c r="H13" s="89">
        <v>150</v>
      </c>
      <c r="I13" s="90">
        <v>1.6</v>
      </c>
      <c r="J13" s="91">
        <v>240</v>
      </c>
    </row>
    <row r="14" spans="1:10" x14ac:dyDescent="0.25">
      <c r="A14" s="71"/>
      <c r="B14" s="78"/>
      <c r="C14" s="79"/>
      <c r="D14" s="79"/>
      <c r="E14" s="80">
        <v>130</v>
      </c>
      <c r="F14" s="81">
        <v>1.56</v>
      </c>
      <c r="G14" s="81">
        <v>202.8</v>
      </c>
      <c r="H14" s="82">
        <v>50</v>
      </c>
      <c r="I14" s="83">
        <v>1.56</v>
      </c>
      <c r="J14" s="84">
        <v>78</v>
      </c>
    </row>
    <row r="15" spans="1:10" ht="15.75" thickBot="1" x14ac:dyDescent="0.3">
      <c r="A15" s="71"/>
      <c r="B15" s="85"/>
      <c r="C15" s="86"/>
      <c r="D15" s="86"/>
      <c r="E15" s="87"/>
      <c r="F15" s="88"/>
      <c r="G15" s="88"/>
      <c r="H15" s="89">
        <v>150</v>
      </c>
      <c r="I15" s="90">
        <v>1.6</v>
      </c>
      <c r="J15" s="91">
        <v>240</v>
      </c>
    </row>
    <row r="16" spans="1:10" x14ac:dyDescent="0.25">
      <c r="A16" s="71"/>
      <c r="B16" s="78"/>
      <c r="C16" s="79"/>
      <c r="D16" s="79"/>
      <c r="E16" s="80">
        <v>50</v>
      </c>
      <c r="F16" s="81">
        <v>1.56</v>
      </c>
      <c r="G16" s="81">
        <v>78</v>
      </c>
      <c r="H16" s="82">
        <v>90</v>
      </c>
      <c r="I16" s="83">
        <v>1.6</v>
      </c>
      <c r="J16" s="84">
        <v>144</v>
      </c>
    </row>
    <row r="17" spans="1:10" ht="15.75" thickBot="1" x14ac:dyDescent="0.3">
      <c r="A17" s="71"/>
      <c r="B17" s="85"/>
      <c r="C17" s="86"/>
      <c r="D17" s="86"/>
      <c r="E17" s="87">
        <v>60</v>
      </c>
      <c r="F17" s="88">
        <v>1.6</v>
      </c>
      <c r="G17" s="88">
        <v>96</v>
      </c>
      <c r="H17" s="89"/>
      <c r="I17" s="90"/>
      <c r="J17" s="91"/>
    </row>
    <row r="18" spans="1:10" x14ac:dyDescent="0.25">
      <c r="A18" s="71"/>
      <c r="B18" s="78">
        <v>150</v>
      </c>
      <c r="C18" s="79">
        <v>1.7</v>
      </c>
      <c r="D18" s="79">
        <v>255</v>
      </c>
      <c r="E18" s="80"/>
      <c r="F18" s="81"/>
      <c r="G18" s="81"/>
      <c r="H18" s="82">
        <v>90</v>
      </c>
      <c r="I18" s="83">
        <v>1.6</v>
      </c>
      <c r="J18" s="84">
        <v>144</v>
      </c>
    </row>
    <row r="19" spans="1:10" ht="15.75" thickBot="1" x14ac:dyDescent="0.3">
      <c r="A19" s="71"/>
      <c r="B19" s="85"/>
      <c r="C19" s="86"/>
      <c r="D19" s="86"/>
      <c r="E19" s="87"/>
      <c r="F19" s="88"/>
      <c r="G19" s="88"/>
      <c r="H19" s="89">
        <v>150</v>
      </c>
      <c r="I19" s="90">
        <v>1.7</v>
      </c>
      <c r="J19" s="91">
        <v>255</v>
      </c>
    </row>
    <row r="20" spans="1:10" x14ac:dyDescent="0.25">
      <c r="A20" s="71"/>
      <c r="B20" s="78"/>
      <c r="C20" s="79"/>
      <c r="D20" s="79"/>
      <c r="E20" s="80">
        <v>90</v>
      </c>
      <c r="F20" s="81">
        <v>1.6</v>
      </c>
      <c r="G20" s="81">
        <v>144</v>
      </c>
      <c r="H20" s="82">
        <v>100</v>
      </c>
      <c r="I20" s="83">
        <v>1.7</v>
      </c>
      <c r="J20" s="84">
        <v>170</v>
      </c>
    </row>
    <row r="21" spans="1:10" ht="15.75" thickBot="1" x14ac:dyDescent="0.3">
      <c r="A21" s="71"/>
      <c r="B21" s="85"/>
      <c r="C21" s="86"/>
      <c r="D21" s="86"/>
      <c r="E21" s="87">
        <v>50</v>
      </c>
      <c r="F21" s="88">
        <v>1.7</v>
      </c>
      <c r="G21" s="88">
        <v>85</v>
      </c>
      <c r="H21" s="89"/>
      <c r="I21" s="90"/>
      <c r="J21" s="91"/>
    </row>
    <row r="23" spans="1:10" ht="15" customHeight="1" x14ac:dyDescent="0.25">
      <c r="A23" s="61" t="s">
        <v>8</v>
      </c>
      <c r="B23" s="61"/>
      <c r="C23" s="61"/>
      <c r="D23" s="61"/>
      <c r="E23" s="61"/>
      <c r="F23" s="61"/>
      <c r="G23" s="61"/>
      <c r="H23" s="61"/>
      <c r="I23" s="61"/>
      <c r="J23" s="61"/>
    </row>
    <row r="24" spans="1:10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</row>
    <row r="25" spans="1:10" x14ac:dyDescent="0.25">
      <c r="A25" s="57" t="s">
        <v>1</v>
      </c>
      <c r="B25" s="58" t="s">
        <v>2</v>
      </c>
      <c r="C25" s="58"/>
      <c r="D25" s="58"/>
      <c r="E25" s="59" t="s">
        <v>3</v>
      </c>
      <c r="F25" s="59"/>
      <c r="G25" s="59"/>
      <c r="H25" s="60" t="s">
        <v>4</v>
      </c>
      <c r="I25" s="60"/>
      <c r="J25" s="60"/>
    </row>
    <row r="26" spans="1:10" ht="15.75" thickBot="1" x14ac:dyDescent="0.3">
      <c r="A26" s="57"/>
      <c r="B26" s="92" t="s">
        <v>5</v>
      </c>
      <c r="C26" s="92" t="s">
        <v>6</v>
      </c>
      <c r="D26" s="92" t="s">
        <v>7</v>
      </c>
      <c r="E26" s="93" t="s">
        <v>5</v>
      </c>
      <c r="F26" s="93" t="s">
        <v>6</v>
      </c>
      <c r="G26" s="93" t="s">
        <v>7</v>
      </c>
      <c r="H26" s="94" t="s">
        <v>5</v>
      </c>
      <c r="I26" s="94" t="s">
        <v>6</v>
      </c>
      <c r="J26" s="94" t="s">
        <v>7</v>
      </c>
    </row>
    <row r="27" spans="1:10" ht="15.75" thickBot="1" x14ac:dyDescent="0.3">
      <c r="A27" s="71"/>
      <c r="B27" s="95"/>
      <c r="C27" s="96"/>
      <c r="D27" s="96"/>
      <c r="E27" s="97"/>
      <c r="F27" s="98"/>
      <c r="G27" s="98"/>
      <c r="H27" s="99">
        <v>100</v>
      </c>
      <c r="I27" s="100">
        <v>1.5</v>
      </c>
      <c r="J27" s="101">
        <v>150</v>
      </c>
    </row>
    <row r="28" spans="1:10" x14ac:dyDescent="0.25">
      <c r="A28" s="71"/>
      <c r="B28" s="78">
        <v>300</v>
      </c>
      <c r="C28" s="79">
        <v>1.56</v>
      </c>
      <c r="D28" s="79">
        <v>468</v>
      </c>
      <c r="E28" s="80"/>
      <c r="F28" s="81"/>
      <c r="G28" s="81"/>
      <c r="H28" s="82">
        <v>100</v>
      </c>
      <c r="I28" s="83">
        <v>1.5</v>
      </c>
      <c r="J28" s="84">
        <v>150</v>
      </c>
    </row>
    <row r="29" spans="1:10" ht="15.75" thickBot="1" x14ac:dyDescent="0.3">
      <c r="A29" s="71"/>
      <c r="B29" s="85"/>
      <c r="C29" s="86"/>
      <c r="D29" s="86"/>
      <c r="E29" s="87"/>
      <c r="F29" s="88"/>
      <c r="G29" s="88"/>
      <c r="H29" s="89">
        <v>300</v>
      </c>
      <c r="I29" s="90">
        <v>1.56</v>
      </c>
      <c r="J29" s="91">
        <v>468</v>
      </c>
    </row>
    <row r="30" spans="1:10" x14ac:dyDescent="0.25">
      <c r="A30" s="71"/>
      <c r="B30" s="78"/>
      <c r="C30" s="79"/>
      <c r="D30" s="79"/>
      <c r="E30" s="80">
        <v>80</v>
      </c>
      <c r="F30" s="81">
        <v>1.56</v>
      </c>
      <c r="G30" s="81">
        <v>124.8</v>
      </c>
      <c r="H30" s="82">
        <v>100</v>
      </c>
      <c r="I30" s="83">
        <v>1.5</v>
      </c>
      <c r="J30" s="84">
        <v>150</v>
      </c>
    </row>
    <row r="31" spans="1:10" ht="15.75" thickBot="1" x14ac:dyDescent="0.3">
      <c r="A31" s="71"/>
      <c r="B31" s="85"/>
      <c r="C31" s="86"/>
      <c r="D31" s="86"/>
      <c r="E31" s="87"/>
      <c r="F31" s="88"/>
      <c r="G31" s="88"/>
      <c r="H31" s="89">
        <v>220</v>
      </c>
      <c r="I31" s="90">
        <v>1.56</v>
      </c>
      <c r="J31" s="91">
        <v>343.2</v>
      </c>
    </row>
    <row r="32" spans="1:10" x14ac:dyDescent="0.25">
      <c r="A32" s="71"/>
      <c r="B32" s="78"/>
      <c r="C32" s="79"/>
      <c r="D32" s="79"/>
      <c r="E32" s="80">
        <v>140</v>
      </c>
      <c r="F32" s="81">
        <v>1.56</v>
      </c>
      <c r="G32" s="81">
        <v>218.4</v>
      </c>
      <c r="H32" s="82">
        <v>100</v>
      </c>
      <c r="I32" s="83">
        <v>1.5</v>
      </c>
      <c r="J32" s="84">
        <v>150</v>
      </c>
    </row>
    <row r="33" spans="1:10" ht="15.75" thickBot="1" x14ac:dyDescent="0.3">
      <c r="A33" s="71"/>
      <c r="B33" s="85"/>
      <c r="C33" s="86"/>
      <c r="D33" s="86"/>
      <c r="E33" s="87"/>
      <c r="F33" s="88"/>
      <c r="G33" s="88"/>
      <c r="H33" s="89">
        <v>80</v>
      </c>
      <c r="I33" s="90">
        <v>1.56</v>
      </c>
      <c r="J33" s="91">
        <v>124.8</v>
      </c>
    </row>
    <row r="34" spans="1:10" x14ac:dyDescent="0.25">
      <c r="A34" s="71"/>
      <c r="B34" s="78">
        <v>150</v>
      </c>
      <c r="C34" s="79">
        <v>1.6</v>
      </c>
      <c r="D34" s="79">
        <v>240</v>
      </c>
      <c r="E34" s="80"/>
      <c r="F34" s="81"/>
      <c r="G34" s="81"/>
      <c r="H34" s="82">
        <v>100</v>
      </c>
      <c r="I34" s="83">
        <v>1.5</v>
      </c>
      <c r="J34" s="84">
        <v>150</v>
      </c>
    </row>
    <row r="35" spans="1:10" x14ac:dyDescent="0.25">
      <c r="A35" s="71"/>
      <c r="B35" s="102"/>
      <c r="C35" s="12"/>
      <c r="D35" s="12"/>
      <c r="E35" s="8"/>
      <c r="F35" s="11"/>
      <c r="G35" s="11"/>
      <c r="H35" s="9">
        <v>80</v>
      </c>
      <c r="I35" s="10">
        <v>1.56</v>
      </c>
      <c r="J35" s="103">
        <v>124.8</v>
      </c>
    </row>
    <row r="36" spans="1:10" ht="15.75" thickBot="1" x14ac:dyDescent="0.3">
      <c r="A36" s="71"/>
      <c r="B36" s="85"/>
      <c r="C36" s="86"/>
      <c r="D36" s="86"/>
      <c r="E36" s="87"/>
      <c r="F36" s="88"/>
      <c r="G36" s="88"/>
      <c r="H36" s="89">
        <v>150</v>
      </c>
      <c r="I36" s="90">
        <v>1.6</v>
      </c>
      <c r="J36" s="91">
        <v>240</v>
      </c>
    </row>
    <row r="37" spans="1:10" x14ac:dyDescent="0.25">
      <c r="A37" s="71"/>
      <c r="B37" s="78"/>
      <c r="C37" s="79"/>
      <c r="D37" s="79"/>
      <c r="E37" s="80">
        <v>130</v>
      </c>
      <c r="F37" s="81">
        <v>1.6</v>
      </c>
      <c r="G37" s="81">
        <v>208</v>
      </c>
      <c r="H37" s="82">
        <v>100</v>
      </c>
      <c r="I37" s="83">
        <v>1.5</v>
      </c>
      <c r="J37" s="84">
        <v>150</v>
      </c>
    </row>
    <row r="38" spans="1:10" x14ac:dyDescent="0.25">
      <c r="A38" s="71"/>
      <c r="B38" s="102"/>
      <c r="C38" s="12"/>
      <c r="D38" s="12"/>
      <c r="E38" s="8"/>
      <c r="F38" s="11"/>
      <c r="G38" s="11"/>
      <c r="H38" s="9">
        <v>80</v>
      </c>
      <c r="I38" s="10">
        <v>1.56</v>
      </c>
      <c r="J38" s="103">
        <v>124.8</v>
      </c>
    </row>
    <row r="39" spans="1:10" ht="15.75" thickBot="1" x14ac:dyDescent="0.3">
      <c r="A39" s="71"/>
      <c r="B39" s="85"/>
      <c r="C39" s="86"/>
      <c r="D39" s="86"/>
      <c r="E39" s="87"/>
      <c r="F39" s="88"/>
      <c r="G39" s="88"/>
      <c r="H39" s="89">
        <v>20</v>
      </c>
      <c r="I39" s="90">
        <v>1.6</v>
      </c>
      <c r="J39" s="91">
        <v>32</v>
      </c>
    </row>
    <row r="40" spans="1:10" x14ac:dyDescent="0.25">
      <c r="A40" s="71"/>
      <c r="B40" s="78">
        <v>150</v>
      </c>
      <c r="C40" s="79">
        <v>1.7</v>
      </c>
      <c r="D40" s="79">
        <v>255</v>
      </c>
      <c r="E40" s="80">
        <v>20</v>
      </c>
      <c r="F40" s="81">
        <v>1.6</v>
      </c>
      <c r="G40" s="81">
        <v>32</v>
      </c>
      <c r="H40" s="82">
        <v>90</v>
      </c>
      <c r="I40" s="83">
        <v>1.5</v>
      </c>
      <c r="J40" s="84">
        <v>135</v>
      </c>
    </row>
    <row r="41" spans="1:10" x14ac:dyDescent="0.25">
      <c r="A41" s="71"/>
      <c r="B41" s="102"/>
      <c r="C41" s="12"/>
      <c r="D41" s="12"/>
      <c r="E41" s="8">
        <v>80</v>
      </c>
      <c r="F41" s="11">
        <v>1.56</v>
      </c>
      <c r="G41" s="11">
        <v>124.8</v>
      </c>
      <c r="H41" s="9"/>
      <c r="I41" s="10"/>
      <c r="J41" s="103"/>
    </row>
    <row r="42" spans="1:10" x14ac:dyDescent="0.25">
      <c r="A42" s="71"/>
      <c r="B42" s="102"/>
      <c r="C42" s="12"/>
      <c r="D42" s="12"/>
      <c r="E42" s="8">
        <v>10</v>
      </c>
      <c r="F42" s="11">
        <v>1.5</v>
      </c>
      <c r="G42" s="11">
        <v>15</v>
      </c>
      <c r="H42" s="9"/>
      <c r="I42" s="10"/>
      <c r="J42" s="103"/>
    </row>
    <row r="43" spans="1:10" x14ac:dyDescent="0.25">
      <c r="A43" s="71"/>
      <c r="B43" s="102"/>
      <c r="C43" s="12"/>
      <c r="D43" s="12"/>
      <c r="E43" s="8"/>
      <c r="F43" s="13"/>
      <c r="G43" s="13"/>
      <c r="H43" s="9">
        <v>90</v>
      </c>
      <c r="I43" s="16">
        <v>1.5</v>
      </c>
      <c r="J43" s="105">
        <v>135</v>
      </c>
    </row>
    <row r="44" spans="1:10" ht="15.75" thickBot="1" x14ac:dyDescent="0.3">
      <c r="A44" s="104"/>
      <c r="B44" s="106"/>
      <c r="C44" s="107"/>
      <c r="D44" s="107"/>
      <c r="E44" s="108"/>
      <c r="F44" s="109"/>
      <c r="G44" s="109"/>
      <c r="H44" s="89">
        <v>150</v>
      </c>
      <c r="I44" s="110">
        <v>1.7</v>
      </c>
      <c r="J44" s="111">
        <v>255</v>
      </c>
    </row>
    <row r="45" spans="1:10" x14ac:dyDescent="0.25">
      <c r="A45" s="104"/>
      <c r="B45" s="112"/>
      <c r="C45" s="113"/>
      <c r="D45" s="113"/>
      <c r="E45" s="114">
        <v>140</v>
      </c>
      <c r="F45" s="115">
        <v>1.7</v>
      </c>
      <c r="G45" s="115">
        <v>238</v>
      </c>
      <c r="H45" s="82">
        <v>90</v>
      </c>
      <c r="I45" s="116">
        <v>1.5</v>
      </c>
      <c r="J45" s="117">
        <v>135</v>
      </c>
    </row>
    <row r="46" spans="1:10" ht="15.75" thickBot="1" x14ac:dyDescent="0.3">
      <c r="A46" s="104"/>
      <c r="B46" s="106"/>
      <c r="C46" s="107"/>
      <c r="D46" s="107"/>
      <c r="E46" s="108"/>
      <c r="F46" s="109"/>
      <c r="G46" s="109"/>
      <c r="H46" s="89">
        <v>10</v>
      </c>
      <c r="I46" s="110">
        <v>1.7</v>
      </c>
      <c r="J46" s="111">
        <v>17</v>
      </c>
    </row>
    <row r="48" spans="1:10" x14ac:dyDescent="0.25">
      <c r="A48" s="61" t="s">
        <v>9</v>
      </c>
      <c r="B48" s="61"/>
      <c r="C48" s="61"/>
      <c r="D48" s="61"/>
      <c r="E48" s="61"/>
      <c r="F48" s="61"/>
      <c r="G48" s="61"/>
      <c r="H48" s="61"/>
      <c r="I48" s="61"/>
      <c r="J48" s="61"/>
    </row>
    <row r="49" spans="1:10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</row>
    <row r="50" spans="1:10" x14ac:dyDescent="0.25">
      <c r="A50" s="57" t="s">
        <v>1</v>
      </c>
      <c r="B50" s="58" t="s">
        <v>2</v>
      </c>
      <c r="C50" s="58"/>
      <c r="D50" s="58"/>
      <c r="E50" s="59" t="s">
        <v>3</v>
      </c>
      <c r="F50" s="59"/>
      <c r="G50" s="59"/>
      <c r="H50" s="60" t="s">
        <v>4</v>
      </c>
      <c r="I50" s="60"/>
      <c r="J50" s="60"/>
    </row>
    <row r="51" spans="1:10" x14ac:dyDescent="0.25">
      <c r="A51" s="57"/>
      <c r="B51" s="2" t="s">
        <v>5</v>
      </c>
      <c r="C51" s="2" t="s">
        <v>6</v>
      </c>
      <c r="D51" s="2" t="s">
        <v>7</v>
      </c>
      <c r="E51" s="3" t="s">
        <v>5</v>
      </c>
      <c r="F51" s="3" t="s">
        <v>6</v>
      </c>
      <c r="G51" s="3" t="s">
        <v>7</v>
      </c>
      <c r="H51" s="1" t="s">
        <v>5</v>
      </c>
      <c r="I51" s="1" t="s">
        <v>6</v>
      </c>
      <c r="J51" s="1" t="s">
        <v>7</v>
      </c>
    </row>
    <row r="52" spans="1:10" x14ac:dyDescent="0.25">
      <c r="A52" s="6"/>
      <c r="B52" s="7"/>
      <c r="C52" s="12"/>
      <c r="D52" s="12"/>
      <c r="E52" s="8"/>
      <c r="F52" s="11"/>
      <c r="G52" s="11"/>
      <c r="H52" s="9">
        <v>100</v>
      </c>
      <c r="I52" s="10">
        <v>1.5</v>
      </c>
      <c r="J52" s="10">
        <f>H52*I52</f>
        <v>150</v>
      </c>
    </row>
    <row r="53" spans="1:10" x14ac:dyDescent="0.25">
      <c r="A53" s="6"/>
      <c r="B53" s="7">
        <v>300</v>
      </c>
      <c r="C53" s="12">
        <v>1.56</v>
      </c>
      <c r="D53" s="12">
        <f>B53*C53</f>
        <v>468</v>
      </c>
      <c r="E53" s="8"/>
      <c r="F53" s="11"/>
      <c r="G53" s="11"/>
      <c r="H53" s="9">
        <f>B53+H52</f>
        <v>400</v>
      </c>
      <c r="I53" s="10">
        <f>(J52+D53)/H53</f>
        <v>1.5449999999999999</v>
      </c>
      <c r="J53" s="10">
        <f>H53*I53</f>
        <v>618</v>
      </c>
    </row>
    <row r="54" spans="1:10" x14ac:dyDescent="0.25">
      <c r="A54" s="6"/>
      <c r="B54" s="7"/>
      <c r="C54" s="12"/>
      <c r="D54" s="12"/>
      <c r="E54" s="8"/>
      <c r="F54" s="11"/>
      <c r="G54" s="11"/>
      <c r="H54" s="9"/>
      <c r="I54" s="10"/>
      <c r="J54" s="10"/>
    </row>
    <row r="55" spans="1:10" x14ac:dyDescent="0.25">
      <c r="A55" s="6"/>
      <c r="B55" s="7"/>
      <c r="C55" s="12"/>
      <c r="D55" s="12"/>
      <c r="E55" s="8">
        <v>80</v>
      </c>
      <c r="F55" s="11">
        <v>1.55</v>
      </c>
      <c r="G55" s="11">
        <v>123.6</v>
      </c>
      <c r="H55" s="9">
        <f>H53-E55</f>
        <v>320</v>
      </c>
      <c r="I55" s="10">
        <v>1.55</v>
      </c>
      <c r="J55" s="10">
        <v>494.4</v>
      </c>
    </row>
    <row r="56" spans="1:10" x14ac:dyDescent="0.25">
      <c r="A56" s="6"/>
      <c r="B56" s="7"/>
      <c r="C56" s="12"/>
      <c r="D56" s="12"/>
      <c r="E56" s="8"/>
      <c r="F56" s="11"/>
      <c r="G56" s="11"/>
      <c r="H56" s="9"/>
      <c r="I56" s="10"/>
      <c r="J56" s="10"/>
    </row>
    <row r="57" spans="1:10" x14ac:dyDescent="0.25">
      <c r="A57" s="6"/>
      <c r="B57" s="7"/>
      <c r="C57" s="12"/>
      <c r="D57" s="12"/>
      <c r="E57" s="8">
        <v>140</v>
      </c>
      <c r="F57" s="11">
        <v>1.55</v>
      </c>
      <c r="G57" s="11">
        <v>216.3</v>
      </c>
      <c r="H57" s="9">
        <f>H55-E57</f>
        <v>180</v>
      </c>
      <c r="I57" s="10">
        <v>1.55</v>
      </c>
      <c r="J57" s="10">
        <v>278.10000000000002</v>
      </c>
    </row>
    <row r="58" spans="1:10" x14ac:dyDescent="0.25">
      <c r="A58" s="6"/>
      <c r="B58" s="7"/>
      <c r="C58" s="12"/>
      <c r="D58" s="12"/>
      <c r="E58" s="8"/>
      <c r="F58" s="11"/>
      <c r="G58" s="11"/>
      <c r="H58" s="9"/>
      <c r="I58" s="10"/>
      <c r="J58" s="10"/>
    </row>
    <row r="59" spans="1:10" x14ac:dyDescent="0.25">
      <c r="A59" s="6"/>
      <c r="B59" s="7">
        <v>150</v>
      </c>
      <c r="C59" s="12">
        <v>1.6</v>
      </c>
      <c r="D59" s="12">
        <v>240</v>
      </c>
      <c r="E59" s="8"/>
      <c r="F59" s="11"/>
      <c r="G59" s="11"/>
      <c r="H59" s="9">
        <v>330</v>
      </c>
      <c r="I59" s="10">
        <f>(J57+D59)/H59</f>
        <v>1.57</v>
      </c>
      <c r="J59" s="10">
        <v>518.1</v>
      </c>
    </row>
    <row r="60" spans="1:10" x14ac:dyDescent="0.25">
      <c r="A60" s="6"/>
      <c r="B60" s="7"/>
      <c r="C60" s="12"/>
      <c r="D60" s="12"/>
      <c r="E60" s="8"/>
      <c r="F60" s="11"/>
      <c r="G60" s="11"/>
      <c r="H60" s="9"/>
      <c r="I60" s="10"/>
      <c r="J60" s="10"/>
    </row>
    <row r="61" spans="1:10" x14ac:dyDescent="0.25">
      <c r="A61" s="6"/>
      <c r="B61" s="7"/>
      <c r="C61" s="12"/>
      <c r="D61" s="12"/>
      <c r="E61" s="8"/>
      <c r="F61" s="11"/>
      <c r="G61" s="11"/>
      <c r="H61" s="9"/>
      <c r="I61" s="10"/>
      <c r="J61" s="10"/>
    </row>
    <row r="62" spans="1:10" x14ac:dyDescent="0.25">
      <c r="A62" s="6"/>
      <c r="B62" s="7"/>
      <c r="C62" s="12"/>
      <c r="D62" s="12"/>
      <c r="E62" s="8">
        <v>130</v>
      </c>
      <c r="F62" s="11">
        <v>1.57</v>
      </c>
      <c r="G62" s="11">
        <v>204.1</v>
      </c>
      <c r="H62" s="9">
        <v>200</v>
      </c>
      <c r="I62" s="10">
        <v>1.57</v>
      </c>
      <c r="J62" s="10">
        <v>314</v>
      </c>
    </row>
    <row r="63" spans="1:10" x14ac:dyDescent="0.25">
      <c r="A63" s="6"/>
      <c r="B63" s="7"/>
      <c r="C63" s="12"/>
      <c r="D63" s="12"/>
      <c r="E63" s="8"/>
      <c r="F63" s="11"/>
      <c r="G63" s="11"/>
      <c r="H63" s="9"/>
      <c r="I63" s="10"/>
      <c r="J63" s="10"/>
    </row>
    <row r="64" spans="1:10" x14ac:dyDescent="0.25">
      <c r="A64" s="6"/>
      <c r="B64" s="7"/>
      <c r="C64" s="12"/>
      <c r="D64" s="12"/>
      <c r="E64" s="8"/>
      <c r="F64" s="11"/>
      <c r="G64" s="11"/>
      <c r="H64" s="9"/>
      <c r="I64" s="10"/>
      <c r="J64" s="10"/>
    </row>
    <row r="65" spans="1:10" x14ac:dyDescent="0.25">
      <c r="A65" s="6"/>
      <c r="B65" s="7">
        <v>150</v>
      </c>
      <c r="C65" s="12">
        <v>1.7</v>
      </c>
      <c r="D65" s="12">
        <v>255</v>
      </c>
      <c r="E65" s="8">
        <v>110</v>
      </c>
      <c r="F65" s="11">
        <v>1.57</v>
      </c>
      <c r="G65" s="11">
        <v>204.1</v>
      </c>
      <c r="H65" s="9">
        <v>90</v>
      </c>
      <c r="I65" s="10">
        <v>1.57</v>
      </c>
      <c r="J65" s="10">
        <v>141.30000000000001</v>
      </c>
    </row>
    <row r="66" spans="1:10" x14ac:dyDescent="0.25">
      <c r="A66" s="6"/>
      <c r="B66" s="7"/>
      <c r="C66" s="12"/>
      <c r="D66" s="12"/>
      <c r="E66" s="8"/>
      <c r="F66" s="11"/>
      <c r="G66" s="11"/>
      <c r="H66" s="9"/>
      <c r="I66" s="10"/>
      <c r="J66" s="10"/>
    </row>
    <row r="67" spans="1:10" x14ac:dyDescent="0.25">
      <c r="A67" s="6"/>
      <c r="B67" s="7"/>
      <c r="C67" s="12"/>
      <c r="D67" s="12"/>
      <c r="E67" s="8"/>
      <c r="F67" s="11"/>
      <c r="G67" s="11"/>
      <c r="H67" s="9"/>
      <c r="I67" s="10"/>
      <c r="J67" s="10"/>
    </row>
    <row r="68" spans="1:10" x14ac:dyDescent="0.25">
      <c r="A68" s="6"/>
      <c r="B68" s="7"/>
      <c r="C68" s="18"/>
      <c r="D68" s="18"/>
      <c r="E68" s="8"/>
      <c r="F68" s="11"/>
      <c r="G68" s="11"/>
      <c r="H68" s="9">
        <v>240</v>
      </c>
      <c r="I68" s="10">
        <v>1.65</v>
      </c>
      <c r="J68" s="10">
        <v>396.3</v>
      </c>
    </row>
    <row r="69" spans="1:10" x14ac:dyDescent="0.25">
      <c r="A69" s="4"/>
      <c r="B69" s="5"/>
      <c r="C69" s="19"/>
      <c r="D69" s="19"/>
      <c r="E69" s="17"/>
      <c r="F69" s="20"/>
      <c r="G69" s="20"/>
      <c r="H69" s="9"/>
      <c r="I69" s="21"/>
      <c r="J69" s="21"/>
    </row>
    <row r="70" spans="1:10" x14ac:dyDescent="0.25">
      <c r="A70" s="4"/>
      <c r="B70" s="5"/>
      <c r="C70" s="19"/>
      <c r="D70" s="19"/>
      <c r="E70" s="14">
        <v>140</v>
      </c>
      <c r="F70" s="15">
        <v>1.65</v>
      </c>
      <c r="G70" s="15">
        <v>231.18</v>
      </c>
      <c r="H70" s="9">
        <v>100</v>
      </c>
      <c r="I70" s="21">
        <v>1.65</v>
      </c>
      <c r="J70" s="21">
        <v>165.13</v>
      </c>
    </row>
    <row r="71" spans="1:10" x14ac:dyDescent="0.25">
      <c r="A71" s="4"/>
      <c r="B71" s="5"/>
      <c r="C71" s="19"/>
      <c r="D71" s="19"/>
      <c r="E71" s="14"/>
      <c r="F71" s="15"/>
      <c r="G71" s="15"/>
      <c r="H71" s="9"/>
      <c r="I71" s="21"/>
      <c r="J71" s="21"/>
    </row>
  </sheetData>
  <mergeCells count="15">
    <mergeCell ref="A50:A51"/>
    <mergeCell ref="B50:D50"/>
    <mergeCell ref="E50:G50"/>
    <mergeCell ref="H50:J50"/>
    <mergeCell ref="A1:J2"/>
    <mergeCell ref="A23:J24"/>
    <mergeCell ref="A3:A4"/>
    <mergeCell ref="B3:D3"/>
    <mergeCell ref="E3:G3"/>
    <mergeCell ref="H3:J3"/>
    <mergeCell ref="A48:J49"/>
    <mergeCell ref="A25:A26"/>
    <mergeCell ref="B25:D25"/>
    <mergeCell ref="E25:G25"/>
    <mergeCell ref="H25:J2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4C19-F4A8-4E57-84EA-89D271F1E37B}">
  <dimension ref="A1:C14"/>
  <sheetViews>
    <sheetView workbookViewId="0">
      <selection activeCell="F17" sqref="F17"/>
    </sheetView>
  </sheetViews>
  <sheetFormatPr baseColWidth="10" defaultRowHeight="15" x14ac:dyDescent="0.25"/>
  <cols>
    <col min="1" max="1" width="22.5703125" customWidth="1"/>
    <col min="2" max="2" width="39.140625" customWidth="1"/>
    <col min="3" max="3" width="14.140625" customWidth="1"/>
  </cols>
  <sheetData>
    <row r="1" spans="1:3" x14ac:dyDescent="0.25">
      <c r="A1" s="46" t="s">
        <v>34</v>
      </c>
      <c r="B1" s="47" t="s">
        <v>35</v>
      </c>
      <c r="C1" s="48" t="s">
        <v>36</v>
      </c>
    </row>
    <row r="2" spans="1:3" x14ac:dyDescent="0.25">
      <c r="A2" s="49" t="s">
        <v>37</v>
      </c>
      <c r="B2" s="4" t="s">
        <v>49</v>
      </c>
      <c r="C2" s="50">
        <f>7*20</f>
        <v>140</v>
      </c>
    </row>
    <row r="3" spans="1:3" x14ac:dyDescent="0.25">
      <c r="A3" s="49" t="s">
        <v>38</v>
      </c>
      <c r="B3" s="4" t="s">
        <v>50</v>
      </c>
      <c r="C3" s="50">
        <f>(18*20)/52</f>
        <v>6.9230769230769234</v>
      </c>
    </row>
    <row r="4" spans="1:3" x14ac:dyDescent="0.25">
      <c r="A4" s="49" t="s">
        <v>39</v>
      </c>
      <c r="B4" s="4" t="s">
        <v>51</v>
      </c>
      <c r="C4" s="50">
        <f>((15*20)+ ((15*20)*0.3))/52</f>
        <v>7.5</v>
      </c>
    </row>
    <row r="5" spans="1:3" x14ac:dyDescent="0.25">
      <c r="A5" s="49" t="s">
        <v>40</v>
      </c>
      <c r="B5" s="4" t="s">
        <v>52</v>
      </c>
      <c r="C5" s="50">
        <f>(140+7.5)*0.075</f>
        <v>11.0625</v>
      </c>
    </row>
    <row r="6" spans="1:3" ht="15.75" thickBot="1" x14ac:dyDescent="0.3">
      <c r="A6" s="51" t="s">
        <v>41</v>
      </c>
      <c r="B6" s="52" t="s">
        <v>53</v>
      </c>
      <c r="C6" s="53">
        <f>(140+7.5)*0.0775</f>
        <v>11.43125</v>
      </c>
    </row>
    <row r="7" spans="1:3" x14ac:dyDescent="0.25">
      <c r="A7" s="67" t="s">
        <v>42</v>
      </c>
      <c r="B7" s="68"/>
      <c r="C7" s="55">
        <f>SUM(C2:C6)</f>
        <v>176.91682692307694</v>
      </c>
    </row>
    <row r="8" spans="1:3" x14ac:dyDescent="0.25">
      <c r="A8" s="69" t="s">
        <v>43</v>
      </c>
      <c r="B8" s="70"/>
      <c r="C8" s="50">
        <f>C7/5</f>
        <v>35.383365384615388</v>
      </c>
    </row>
    <row r="9" spans="1:3" ht="15.75" thickBot="1" x14ac:dyDescent="0.3">
      <c r="A9" s="63" t="s">
        <v>44</v>
      </c>
      <c r="B9" s="64"/>
      <c r="C9" s="56">
        <f>C8/8</f>
        <v>4.4229206730769235</v>
      </c>
    </row>
    <row r="10" spans="1:3" ht="15.75" thickBot="1" x14ac:dyDescent="0.3">
      <c r="A10" s="65"/>
      <c r="B10" s="66"/>
      <c r="C10" s="54"/>
    </row>
    <row r="11" spans="1:3" x14ac:dyDescent="0.25">
      <c r="A11" s="67" t="s">
        <v>45</v>
      </c>
      <c r="B11" s="68"/>
      <c r="C11" s="55">
        <f>4.42/(20/8)</f>
        <v>1.768</v>
      </c>
    </row>
    <row r="12" spans="1:3" x14ac:dyDescent="0.25">
      <c r="A12" s="69" t="s">
        <v>46</v>
      </c>
      <c r="B12" s="70"/>
      <c r="C12" s="50">
        <f>4.42/((20/8)*0.85)</f>
        <v>2.08</v>
      </c>
    </row>
    <row r="13" spans="1:3" x14ac:dyDescent="0.25">
      <c r="A13" s="69" t="s">
        <v>47</v>
      </c>
      <c r="B13" s="70"/>
      <c r="C13" s="50">
        <f>35.38/20</f>
        <v>1.7690000000000001</v>
      </c>
    </row>
    <row r="14" spans="1:3" ht="15.75" thickBot="1" x14ac:dyDescent="0.3">
      <c r="A14" s="63" t="s">
        <v>48</v>
      </c>
      <c r="B14" s="64"/>
      <c r="C14" s="56">
        <f>35.38/(20*0.85)</f>
        <v>2.0811764705882356</v>
      </c>
    </row>
  </sheetData>
  <mergeCells count="8">
    <mergeCell ref="A14:B14"/>
    <mergeCell ref="A10:B10"/>
    <mergeCell ref="A7:B7"/>
    <mergeCell ref="A8:B8"/>
    <mergeCell ref="A9:B9"/>
    <mergeCell ref="A11:B11"/>
    <mergeCell ref="A12:B12"/>
    <mergeCell ref="A13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5D8E-2AB6-47BF-80DA-22768DD7A956}">
  <dimension ref="A1:J28"/>
  <sheetViews>
    <sheetView tabSelected="1" zoomScale="70" zoomScaleNormal="70" workbookViewId="0">
      <selection activeCell="I31" sqref="I31"/>
    </sheetView>
  </sheetViews>
  <sheetFormatPr baseColWidth="10" defaultRowHeight="15" x14ac:dyDescent="0.25"/>
  <cols>
    <col min="1" max="1" width="77.42578125" customWidth="1"/>
    <col min="2" max="2" width="20.7109375" customWidth="1"/>
    <col min="3" max="3" width="21" customWidth="1"/>
    <col min="4" max="4" width="20.42578125" customWidth="1"/>
    <col min="5" max="5" width="29.85546875" customWidth="1"/>
    <col min="6" max="6" width="30.140625" customWidth="1"/>
    <col min="7" max="7" width="13.28515625" bestFit="1" customWidth="1"/>
    <col min="9" max="10" width="12.140625" bestFit="1" customWidth="1"/>
  </cols>
  <sheetData>
    <row r="1" spans="1:10" x14ac:dyDescent="0.25">
      <c r="A1" s="30"/>
      <c r="B1" s="31" t="s">
        <v>10</v>
      </c>
      <c r="C1" s="31" t="s">
        <v>32</v>
      </c>
      <c r="D1" s="31" t="s">
        <v>11</v>
      </c>
      <c r="E1" s="31" t="s">
        <v>12</v>
      </c>
      <c r="F1" s="31" t="s">
        <v>13</v>
      </c>
      <c r="G1" s="32" t="s">
        <v>7</v>
      </c>
      <c r="I1" s="27"/>
      <c r="J1" s="28"/>
    </row>
    <row r="2" spans="1:10" ht="15.75" thickBot="1" x14ac:dyDescent="0.3">
      <c r="A2" s="33" t="s">
        <v>14</v>
      </c>
      <c r="B2" s="23">
        <v>0</v>
      </c>
      <c r="C2" s="23">
        <v>0</v>
      </c>
      <c r="D2" s="23">
        <v>0</v>
      </c>
      <c r="E2" s="23">
        <f>G2-F2</f>
        <v>37240</v>
      </c>
      <c r="F2" s="23">
        <v>4500</v>
      </c>
      <c r="G2" s="34">
        <v>41740</v>
      </c>
      <c r="H2" s="22"/>
      <c r="I2" s="25">
        <f>F17-E19</f>
        <v>11575.043028211821</v>
      </c>
      <c r="J2" s="26">
        <f>B19+C19+D19+E19</f>
        <v>12861.158920235357</v>
      </c>
    </row>
    <row r="3" spans="1:10" x14ac:dyDescent="0.25">
      <c r="A3" s="33" t="s">
        <v>15</v>
      </c>
      <c r="B3" s="23">
        <f>(10000/30000)*2400</f>
        <v>800</v>
      </c>
      <c r="C3" s="23">
        <f>(5000/30000)*G3</f>
        <v>400</v>
      </c>
      <c r="D3" s="23">
        <f>(2000/30000)*G3</f>
        <v>160</v>
      </c>
      <c r="E3" s="23">
        <f>(7500/30000)*G3</f>
        <v>600</v>
      </c>
      <c r="F3" s="23">
        <f>(5500/30000)*G3</f>
        <v>439.99999999999994</v>
      </c>
      <c r="G3" s="34">
        <v>2400</v>
      </c>
      <c r="H3" s="22"/>
      <c r="I3" s="22"/>
      <c r="J3" s="22"/>
    </row>
    <row r="4" spans="1:10" x14ac:dyDescent="0.25">
      <c r="A4" s="33" t="s">
        <v>16</v>
      </c>
      <c r="B4" s="23">
        <f>(623225/1019047)*G4</f>
        <v>2578.4057065081392</v>
      </c>
      <c r="C4" s="23">
        <f>(250960/1019047)*G4</f>
        <v>1038.2714045573953</v>
      </c>
      <c r="D4" s="23">
        <f>(20210/1019047)*G4</f>
        <v>83.612787241412803</v>
      </c>
      <c r="E4" s="23">
        <f>(112862/1019047)*G4</f>
        <v>466.9325281365825</v>
      </c>
      <c r="F4" s="23">
        <f>(11790/1019047)*G4</f>
        <v>48.777573556469918</v>
      </c>
      <c r="G4" s="34">
        <v>4216</v>
      </c>
      <c r="H4" s="22"/>
      <c r="I4" s="22"/>
      <c r="J4" s="22"/>
    </row>
    <row r="5" spans="1:10" x14ac:dyDescent="0.25">
      <c r="A5" s="33" t="s">
        <v>17</v>
      </c>
      <c r="B5" s="23">
        <f>(76180/161307)*G5</f>
        <v>1150.44282021239</v>
      </c>
      <c r="C5" s="23">
        <f>(28472/161307)*G5</f>
        <v>429.97385110379582</v>
      </c>
      <c r="D5" s="23">
        <f>(9975/161307)*G5</f>
        <v>150.63884394353624</v>
      </c>
      <c r="E5" s="23">
        <f>(37230/161307)*G5</f>
        <v>562.23400100429615</v>
      </c>
      <c r="F5" s="23">
        <f>(9450/161307)*G5</f>
        <v>142.71048373598171</v>
      </c>
      <c r="G5" s="34">
        <v>2436</v>
      </c>
      <c r="H5" s="22"/>
      <c r="I5" s="22"/>
      <c r="J5" s="22"/>
    </row>
    <row r="6" spans="1:10" x14ac:dyDescent="0.25">
      <c r="A6" s="33" t="s">
        <v>18</v>
      </c>
      <c r="B6" s="23">
        <f>(76180/161307)*G6</f>
        <v>2833.6030054492367</v>
      </c>
      <c r="C6" s="23">
        <f>(28472/161307)*G6</f>
        <v>1059.0488943443247</v>
      </c>
      <c r="D6" s="23">
        <f>(9975/161307)*G6</f>
        <v>371.03163532890699</v>
      </c>
      <c r="E6" s="23">
        <f>(37230/161307)*G6</f>
        <v>1384.8128103554093</v>
      </c>
      <c r="F6" s="23">
        <f>(9450/161307)*G6</f>
        <v>351.50365452212242</v>
      </c>
      <c r="G6" s="34">
        <v>6000</v>
      </c>
      <c r="H6" s="22"/>
      <c r="I6" s="22"/>
      <c r="J6" s="22"/>
    </row>
    <row r="7" spans="1:10" x14ac:dyDescent="0.25">
      <c r="A7" s="33" t="s">
        <v>19</v>
      </c>
      <c r="B7" s="23">
        <v>0</v>
      </c>
      <c r="C7" s="23">
        <v>0</v>
      </c>
      <c r="D7" s="23">
        <v>0</v>
      </c>
      <c r="E7" s="23">
        <v>0</v>
      </c>
      <c r="F7" s="23">
        <v>4950</v>
      </c>
      <c r="G7" s="34">
        <v>4950</v>
      </c>
      <c r="H7" s="22"/>
      <c r="I7" s="22"/>
      <c r="J7" s="22"/>
    </row>
    <row r="8" spans="1:10" x14ac:dyDescent="0.25">
      <c r="A8" s="33" t="s">
        <v>20</v>
      </c>
      <c r="B8" s="23">
        <f>(623225/1019047)*G8</f>
        <v>18964.981252091417</v>
      </c>
      <c r="C8" s="23">
        <f>(250960/1019047)*G8</f>
        <v>7636.8112560068375</v>
      </c>
      <c r="D8" s="23">
        <f>(20210/1019047)*G8</f>
        <v>614.99822873724179</v>
      </c>
      <c r="E8" s="23">
        <f>(112862/1019047)*G8</f>
        <v>3434.4349377408498</v>
      </c>
      <c r="F8" s="23">
        <f>(11790/1019047)*G8</f>
        <v>358.77432542365563</v>
      </c>
      <c r="G8" s="34">
        <v>31010</v>
      </c>
      <c r="H8" s="22"/>
      <c r="I8" s="22"/>
      <c r="J8" s="22"/>
    </row>
    <row r="9" spans="1:10" x14ac:dyDescent="0.25">
      <c r="A9" s="33" t="s">
        <v>21</v>
      </c>
      <c r="B9" s="23">
        <f>(623225/1019047)*G9</f>
        <v>26175.46590098396</v>
      </c>
      <c r="C9" s="23">
        <f>(250960/1019047)*G9</f>
        <v>10540.32640300202</v>
      </c>
      <c r="D9" s="23">
        <f>(20210/1019047)*G9</f>
        <v>848.82051563863092</v>
      </c>
      <c r="E9" s="23">
        <f>(112862/1019047)*G9</f>
        <v>4740.2068795649266</v>
      </c>
      <c r="F9" s="23">
        <f>(11790/1019047)*G9</f>
        <v>495.18030081046311</v>
      </c>
      <c r="G9" s="34">
        <v>42800</v>
      </c>
      <c r="H9" s="22"/>
      <c r="I9" s="22"/>
      <c r="J9" s="22"/>
    </row>
    <row r="10" spans="1:10" x14ac:dyDescent="0.25">
      <c r="A10" s="33" t="s">
        <v>22</v>
      </c>
      <c r="B10" s="23">
        <f>(10000/30000)*G10</f>
        <v>1057.3333333333333</v>
      </c>
      <c r="C10" s="23">
        <f>(5000/30000)*G10</f>
        <v>528.66666666666663</v>
      </c>
      <c r="D10" s="23">
        <f>(2000/30000)*G10</f>
        <v>211.46666666666667</v>
      </c>
      <c r="E10" s="23">
        <f>(7500/30000)*G10</f>
        <v>793</v>
      </c>
      <c r="F10" s="23">
        <f>(5500/30000)*G10</f>
        <v>581.5333333333333</v>
      </c>
      <c r="G10" s="34">
        <v>3172</v>
      </c>
      <c r="H10" s="22"/>
      <c r="I10" s="22"/>
      <c r="J10" s="22"/>
    </row>
    <row r="11" spans="1:10" x14ac:dyDescent="0.25">
      <c r="A11" s="33" t="s">
        <v>23</v>
      </c>
      <c r="B11" s="23">
        <f>(10000/30000)*G11</f>
        <v>181.5</v>
      </c>
      <c r="C11" s="23">
        <f>(5000/30000)*G11</f>
        <v>90.75</v>
      </c>
      <c r="D11" s="23">
        <f>(2000/30000)*G11</f>
        <v>36.299999999999997</v>
      </c>
      <c r="E11" s="23">
        <f>(7500/30000)*G11</f>
        <v>136.125</v>
      </c>
      <c r="F11" s="23">
        <f>(5500/30000)*G11</f>
        <v>99.824999999999989</v>
      </c>
      <c r="G11" s="34">
        <f>2178/4</f>
        <v>544.5</v>
      </c>
      <c r="H11" s="22"/>
      <c r="I11" s="22"/>
      <c r="J11" s="22"/>
    </row>
    <row r="12" spans="1:10" x14ac:dyDescent="0.25">
      <c r="A12" s="33" t="s">
        <v>24</v>
      </c>
      <c r="B12" s="23">
        <f>(623225/1019047)*G12</f>
        <v>999.00989601068454</v>
      </c>
      <c r="C12" s="23">
        <f>(250960/1019047)*G12</f>
        <v>402.28091540429438</v>
      </c>
      <c r="D12" s="23">
        <f>(20210/1019047)*G12</f>
        <v>32.395988605039804</v>
      </c>
      <c r="E12" s="23">
        <f>(112862/1019047)*G12</f>
        <v>180.9142041534885</v>
      </c>
      <c r="F12" s="23">
        <f>(11790/1019047)*G12</f>
        <v>18.898995826492794</v>
      </c>
      <c r="G12" s="34">
        <f>544.5*3</f>
        <v>1633.5</v>
      </c>
      <c r="H12" s="22"/>
      <c r="I12" s="22"/>
      <c r="J12" s="22"/>
    </row>
    <row r="13" spans="1:10" x14ac:dyDescent="0.25">
      <c r="A13" s="33" t="s">
        <v>25</v>
      </c>
      <c r="B13" s="23">
        <f>(76180/161307)*G13</f>
        <v>1708.1903451183148</v>
      </c>
      <c r="C13" s="23">
        <f>(28472/161307)*G13</f>
        <v>638.42997514057049</v>
      </c>
      <c r="D13" s="23">
        <f>(9975/161307)*G13</f>
        <v>223.67023749744277</v>
      </c>
      <c r="E13" s="23">
        <f>(37230/161307)*G13</f>
        <v>834.81132250925259</v>
      </c>
      <c r="F13" s="23">
        <f>(9450/161307)*G13</f>
        <v>211.89811973441948</v>
      </c>
      <c r="G13" s="34">
        <v>3617</v>
      </c>
      <c r="H13" s="22"/>
      <c r="I13" s="22"/>
      <c r="J13" s="22"/>
    </row>
    <row r="14" spans="1:10" x14ac:dyDescent="0.25">
      <c r="A14" s="33" t="s">
        <v>26</v>
      </c>
      <c r="B14" s="23">
        <f>(76180/161307)*G14</f>
        <v>4349.5806133645783</v>
      </c>
      <c r="C14" s="23">
        <f>(28472/161307)*G14</f>
        <v>1625.6400528185386</v>
      </c>
      <c r="D14" s="23">
        <f>(9975/161307)*G14</f>
        <v>569.53356022987225</v>
      </c>
      <c r="E14" s="23">
        <f>(37230/161307)*G14</f>
        <v>2125.6876638955532</v>
      </c>
      <c r="F14" s="23">
        <f>(9450/161307)*G14</f>
        <v>539.55810969145796</v>
      </c>
      <c r="G14" s="34">
        <v>9210</v>
      </c>
      <c r="H14" s="22"/>
      <c r="I14" s="22"/>
      <c r="J14" s="22"/>
    </row>
    <row r="15" spans="1:10" x14ac:dyDescent="0.25">
      <c r="A15" s="33" t="s">
        <v>27</v>
      </c>
      <c r="B15" s="23">
        <f>(76180/161307)*G15</f>
        <v>415.12284029831312</v>
      </c>
      <c r="C15" s="23">
        <f>(28472/161307)*G15</f>
        <v>155.15066302144356</v>
      </c>
      <c r="D15" s="23">
        <f>(9975/161307)*G15</f>
        <v>54.356134575684877</v>
      </c>
      <c r="E15" s="23">
        <f>(37230/161307)*G15</f>
        <v>202.87507671706746</v>
      </c>
      <c r="F15" s="23">
        <f>(9450/161307)*G15</f>
        <v>51.495285387490938</v>
      </c>
      <c r="G15" s="34">
        <v>879</v>
      </c>
      <c r="H15" s="22"/>
      <c r="I15" s="22"/>
      <c r="J15" s="22"/>
    </row>
    <row r="16" spans="1:10" x14ac:dyDescent="0.25">
      <c r="A16" s="33" t="s">
        <v>28</v>
      </c>
      <c r="B16" s="23">
        <f>(76180/161307)*G16</f>
        <v>572.38780710074582</v>
      </c>
      <c r="C16" s="23">
        <f>(28472/161307)*G16</f>
        <v>213.92787665755361</v>
      </c>
      <c r="D16" s="23">
        <f>(9975/161307)*G16</f>
        <v>74.948390336439218</v>
      </c>
      <c r="E16" s="23">
        <f>(37230/161307)*G16</f>
        <v>279.73218769179266</v>
      </c>
      <c r="F16" s="23">
        <f>(9450/161307)*G16</f>
        <v>71.003738213468736</v>
      </c>
      <c r="G16" s="34">
        <v>1212</v>
      </c>
      <c r="H16" s="22"/>
      <c r="I16" s="22"/>
      <c r="J16" s="22"/>
    </row>
    <row r="17" spans="1:10" x14ac:dyDescent="0.25">
      <c r="A17" s="33"/>
      <c r="B17" s="23"/>
      <c r="C17" s="23"/>
      <c r="D17" s="23"/>
      <c r="E17" s="23">
        <f>SUM(E2:E16)</f>
        <v>52981.766611769213</v>
      </c>
      <c r="F17" s="23">
        <f>SUM(F2:F16)</f>
        <v>12861.158920235357</v>
      </c>
      <c r="G17" s="34">
        <f>SUM(G2:G16)</f>
        <v>155820</v>
      </c>
      <c r="H17" s="22"/>
      <c r="I17" s="22"/>
      <c r="J17" s="22"/>
    </row>
    <row r="18" spans="1:10" x14ac:dyDescent="0.25">
      <c r="A18" s="33" t="s">
        <v>12</v>
      </c>
      <c r="B18" s="23">
        <f>(52000/76960)*E17</f>
        <v>35798.490953898116</v>
      </c>
      <c r="C18" s="23">
        <f>(20800/76960)*E17</f>
        <v>14319.396381559247</v>
      </c>
      <c r="D18" s="23">
        <f>(4160/76960)*E17</f>
        <v>2863.8792763118495</v>
      </c>
      <c r="E18" s="23"/>
      <c r="F18" s="23"/>
      <c r="G18" s="34"/>
      <c r="H18" s="22"/>
      <c r="I18" s="22"/>
      <c r="J18" s="22"/>
    </row>
    <row r="19" spans="1:10" x14ac:dyDescent="0.25">
      <c r="A19" s="33" t="s">
        <v>13</v>
      </c>
      <c r="B19" s="23">
        <f>(31912/42112)*I2</f>
        <v>8771.4374315229779</v>
      </c>
      <c r="C19" s="23">
        <f>(9640/42112)*I2</f>
        <v>2649.6821521647503</v>
      </c>
      <c r="D19" s="23">
        <f>(560/42112)*I2</f>
        <v>153.92344452409338</v>
      </c>
      <c r="E19" s="23">
        <f>F17/10</f>
        <v>1286.1158920235357</v>
      </c>
      <c r="F19" s="23"/>
      <c r="G19" s="34"/>
      <c r="H19" s="22"/>
    </row>
    <row r="20" spans="1:10" x14ac:dyDescent="0.25">
      <c r="A20" s="42"/>
      <c r="B20" s="40"/>
      <c r="C20" s="40"/>
      <c r="D20" s="40"/>
      <c r="E20" s="40"/>
      <c r="F20" s="40"/>
      <c r="G20" s="43"/>
      <c r="H20" s="22"/>
    </row>
    <row r="21" spans="1:10" x14ac:dyDescent="0.25">
      <c r="A21" s="44"/>
      <c r="B21" s="41"/>
      <c r="C21" s="41"/>
      <c r="D21" s="41"/>
      <c r="E21" s="41"/>
      <c r="F21" s="41"/>
      <c r="G21" s="45"/>
      <c r="H21" s="22"/>
      <c r="I21" s="22"/>
      <c r="J21" s="22"/>
    </row>
    <row r="22" spans="1:10" ht="15.75" thickBot="1" x14ac:dyDescent="0.3">
      <c r="A22" s="35"/>
      <c r="B22" s="36">
        <f>SUM(B2:B21)</f>
        <v>106355.95190589222</v>
      </c>
      <c r="C22" s="36">
        <f>SUM(C2:C21)</f>
        <v>41728.356492447441</v>
      </c>
      <c r="D22" s="36">
        <f>SUM(D2:D21)</f>
        <v>6449.5757096368179</v>
      </c>
      <c r="E22" s="36">
        <f>E19</f>
        <v>1286.1158920235357</v>
      </c>
      <c r="F22" s="37" t="s">
        <v>33</v>
      </c>
      <c r="G22" s="38">
        <f>B22+C22+D22+E22</f>
        <v>155820.00000000003</v>
      </c>
      <c r="H22" s="22"/>
      <c r="I22" s="22"/>
      <c r="J22" s="22"/>
    </row>
    <row r="23" spans="1:10" x14ac:dyDescent="0.25">
      <c r="B23" s="22"/>
      <c r="C23" s="22"/>
      <c r="D23" s="22"/>
      <c r="E23" s="22"/>
      <c r="F23" s="22"/>
      <c r="G23" s="22"/>
      <c r="H23" s="22"/>
      <c r="I23" s="22"/>
      <c r="J23" s="22"/>
    </row>
    <row r="24" spans="1:10" x14ac:dyDescent="0.25">
      <c r="B24" s="22"/>
      <c r="C24" s="22"/>
      <c r="D24" s="22"/>
      <c r="E24" s="22"/>
      <c r="F24" s="22"/>
      <c r="G24" s="22"/>
      <c r="H24" s="22"/>
      <c r="I24" s="22"/>
      <c r="J24" s="22"/>
    </row>
    <row r="25" spans="1:10" ht="15.75" thickBot="1" x14ac:dyDescent="0.3">
      <c r="B25" s="22"/>
      <c r="C25" s="22"/>
      <c r="D25" s="22"/>
      <c r="E25" s="22"/>
      <c r="F25" s="22"/>
      <c r="G25" s="22"/>
      <c r="H25" s="22"/>
      <c r="I25" s="22"/>
      <c r="J25" s="22"/>
    </row>
    <row r="26" spans="1:10" x14ac:dyDescent="0.25">
      <c r="A26" s="39" t="s">
        <v>29</v>
      </c>
      <c r="B26" s="24">
        <f>B22/31912</f>
        <v>3.3327886658903303</v>
      </c>
      <c r="C26" s="22"/>
      <c r="D26" s="22"/>
      <c r="E26" s="22"/>
      <c r="F26" s="22"/>
      <c r="G26" s="22"/>
      <c r="H26" s="22"/>
      <c r="I26" s="22"/>
      <c r="J26" s="22"/>
    </row>
    <row r="27" spans="1:10" x14ac:dyDescent="0.25">
      <c r="A27" s="33" t="s">
        <v>30</v>
      </c>
      <c r="B27" s="29">
        <f>C22/9640</f>
        <v>4.3286676859385311</v>
      </c>
      <c r="C27" s="22"/>
      <c r="D27" s="22"/>
      <c r="E27" s="22"/>
      <c r="F27" s="22"/>
      <c r="G27" s="22"/>
      <c r="H27" s="22"/>
      <c r="I27" s="22"/>
      <c r="J27" s="22"/>
    </row>
    <row r="28" spans="1:10" ht="15.75" thickBot="1" x14ac:dyDescent="0.3">
      <c r="A28" s="35" t="s">
        <v>31</v>
      </c>
      <c r="B28" s="26">
        <f>D22/4160</f>
        <v>1.5503787763550043</v>
      </c>
      <c r="C28" s="22"/>
      <c r="D28" s="22"/>
      <c r="E28" s="22"/>
      <c r="F28" s="22"/>
      <c r="G28" s="22"/>
      <c r="H28" s="22"/>
      <c r="I28" s="22"/>
      <c r="J28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Leonardo Efigenio</cp:lastModifiedBy>
  <dcterms:created xsi:type="dcterms:W3CDTF">2022-10-01T03:37:22Z</dcterms:created>
  <dcterms:modified xsi:type="dcterms:W3CDTF">2022-10-11T17:22:30Z</dcterms:modified>
</cp:coreProperties>
</file>