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360" yWindow="300" windowWidth="6390" windowHeight="2670" firstSheet="6" activeTab="10"/>
  </bookViews>
  <sheets>
    <sheet name="segundo examen parcial 01" sheetId="6" r:id="rId1"/>
    <sheet name="segundo examen parcial 02" sheetId="5" r:id="rId2"/>
    <sheet name="segundo examen parcial 03" sheetId="8" r:id="rId3"/>
    <sheet name="tercer examen parcial 01" sheetId="13" r:id="rId4"/>
    <sheet name="tercer examen parcial 03" sheetId="14" r:id="rId5"/>
    <sheet name="EJERCICIO 1" sheetId="1" r:id="rId6"/>
    <sheet name="EJERCICIO 2" sheetId="2" r:id="rId7"/>
    <sheet name="EJERCICIO 3" sheetId="4" r:id="rId8"/>
    <sheet name="EJERCICIO 8" sheetId="3" r:id="rId9"/>
    <sheet name="EJERCICIO 9" sheetId="10" r:id="rId10"/>
    <sheet name="EJERCICIO 11" sheetId="12" r:id="rId11"/>
  </sheets>
  <calcPr calcId="125725"/>
</workbook>
</file>

<file path=xl/calcChain.xml><?xml version="1.0" encoding="utf-8"?>
<calcChain xmlns="http://schemas.openxmlformats.org/spreadsheetml/2006/main">
  <c r="D19" i="14"/>
  <c r="E19"/>
  <c r="C19"/>
  <c r="D15"/>
  <c r="E15"/>
  <c r="C16" s="1"/>
  <c r="C15"/>
  <c r="E12"/>
  <c r="D12"/>
  <c r="C12"/>
  <c r="C20"/>
  <c r="C13"/>
  <c r="C9"/>
  <c r="E8"/>
  <c r="D8"/>
  <c r="C8"/>
  <c r="D2" i="13" l="1"/>
  <c r="E34"/>
  <c r="E43" s="1"/>
  <c r="E52" s="1"/>
  <c r="C34"/>
  <c r="C43" s="1"/>
  <c r="C52" s="1"/>
  <c r="E33"/>
  <c r="E42" s="1"/>
  <c r="C33"/>
  <c r="C42" s="1"/>
  <c r="C26"/>
  <c r="B26"/>
  <c r="C25"/>
  <c r="B25"/>
  <c r="C24"/>
  <c r="C27" s="1"/>
  <c r="D33" s="1"/>
  <c r="B24"/>
  <c r="B27" s="1"/>
  <c r="B33" s="1"/>
  <c r="C20"/>
  <c r="D34" s="1"/>
  <c r="D43" s="1"/>
  <c r="D52" s="1"/>
  <c r="B20"/>
  <c r="B34" s="1"/>
  <c r="B43" s="1"/>
  <c r="B52" s="1"/>
  <c r="C18"/>
  <c r="D36" s="1"/>
  <c r="D45" s="1"/>
  <c r="D54" s="1"/>
  <c r="B18"/>
  <c r="B36" s="1"/>
  <c r="B45" s="1"/>
  <c r="B54" s="1"/>
  <c r="B12"/>
  <c r="B10"/>
  <c r="B9"/>
  <c r="B11" s="1"/>
  <c r="B13" s="1"/>
  <c r="D5"/>
  <c r="F5" s="1"/>
  <c r="G3"/>
  <c r="D3"/>
  <c r="F3" s="1"/>
  <c r="G2"/>
  <c r="F2"/>
  <c r="G2" i="12"/>
  <c r="G3"/>
  <c r="B9"/>
  <c r="B10"/>
  <c r="B11"/>
  <c r="B12"/>
  <c r="B13"/>
  <c r="B17"/>
  <c r="C17"/>
  <c r="B18"/>
  <c r="C18"/>
  <c r="D5" s="1"/>
  <c r="F5" s="1"/>
  <c r="B19"/>
  <c r="C19"/>
  <c r="B20"/>
  <c r="C20"/>
  <c r="B21"/>
  <c r="C21"/>
  <c r="F2" s="1"/>
  <c r="B24"/>
  <c r="C24"/>
  <c r="B25"/>
  <c r="C25"/>
  <c r="B26"/>
  <c r="C26"/>
  <c r="B27"/>
  <c r="C27"/>
  <c r="B33"/>
  <c r="C33"/>
  <c r="D33"/>
  <c r="E33"/>
  <c r="B34"/>
  <c r="C34"/>
  <c r="D34"/>
  <c r="E34"/>
  <c r="B35"/>
  <c r="C35"/>
  <c r="D35"/>
  <c r="E35"/>
  <c r="B36"/>
  <c r="C36"/>
  <c r="C5" s="1"/>
  <c r="D36"/>
  <c r="E36"/>
  <c r="E5" s="1"/>
  <c r="B37"/>
  <c r="C37"/>
  <c r="D37"/>
  <c r="E37"/>
  <c r="B42"/>
  <c r="C42"/>
  <c r="D42"/>
  <c r="E42"/>
  <c r="B43"/>
  <c r="C43"/>
  <c r="D43"/>
  <c r="E43"/>
  <c r="B44"/>
  <c r="C44"/>
  <c r="D44"/>
  <c r="E44"/>
  <c r="B45"/>
  <c r="D45"/>
  <c r="B46"/>
  <c r="C45" s="1"/>
  <c r="C46" s="1"/>
  <c r="D46"/>
  <c r="E45" s="1"/>
  <c r="E46" s="1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C17" i="13" l="1"/>
  <c r="C19" s="1"/>
  <c r="C21" s="1"/>
  <c r="B17"/>
  <c r="B19" s="1"/>
  <c r="B21" s="1"/>
  <c r="B42"/>
  <c r="B35"/>
  <c r="B37" s="1"/>
  <c r="D42"/>
  <c r="D35"/>
  <c r="D37" s="1"/>
  <c r="C51"/>
  <c r="C53" s="1"/>
  <c r="C44"/>
  <c r="E51"/>
  <c r="E53" s="1"/>
  <c r="E44"/>
  <c r="C35"/>
  <c r="E35"/>
  <c r="C36"/>
  <c r="C5" s="1"/>
  <c r="E36"/>
  <c r="E5" s="1"/>
  <c r="D3" i="12"/>
  <c r="F3" s="1"/>
  <c r="G5"/>
  <c r="D51" i="13" l="1"/>
  <c r="D53" s="1"/>
  <c r="D55" s="1"/>
  <c r="D44"/>
  <c r="D46" s="1"/>
  <c r="E45" s="1"/>
  <c r="B51"/>
  <c r="B53" s="1"/>
  <c r="B55" s="1"/>
  <c r="B44"/>
  <c r="B46" s="1"/>
  <c r="C45" s="1"/>
  <c r="G5"/>
  <c r="E37"/>
  <c r="C37"/>
  <c r="E46"/>
  <c r="C46"/>
  <c r="M24" i="10"/>
  <c r="T23"/>
  <c r="P24"/>
  <c r="X16"/>
  <c r="T18"/>
  <c r="P18"/>
  <c r="L18"/>
  <c r="M18" s="1"/>
  <c r="Q7"/>
  <c r="T11"/>
  <c r="P11"/>
  <c r="L11"/>
  <c r="L6"/>
  <c r="M6" s="1"/>
  <c r="U4"/>
  <c r="C54" i="13" l="1"/>
  <c r="C55" s="1"/>
  <c r="E54"/>
  <c r="E55" s="1"/>
  <c r="G36" i="10"/>
  <c r="F36"/>
  <c r="I35"/>
  <c r="I36" s="1"/>
  <c r="C35"/>
  <c r="F29"/>
  <c r="G27"/>
  <c r="G29" s="1"/>
  <c r="C27"/>
  <c r="I26"/>
  <c r="I27" s="1"/>
  <c r="I29" s="1"/>
  <c r="C26"/>
  <c r="F20"/>
  <c r="F18"/>
  <c r="G16"/>
  <c r="G18" s="1"/>
  <c r="G20" s="1"/>
  <c r="C16"/>
  <c r="I15"/>
  <c r="I16" s="1"/>
  <c r="I18" s="1"/>
  <c r="I20" s="1"/>
  <c r="C15"/>
  <c r="F9"/>
  <c r="F7"/>
  <c r="G5"/>
  <c r="G7" s="1"/>
  <c r="G9" s="1"/>
  <c r="C5"/>
  <c r="C4"/>
  <c r="I4"/>
  <c r="I5" s="1"/>
  <c r="I7" s="1"/>
  <c r="I9" s="1"/>
  <c r="K3" i="8" l="1"/>
  <c r="G17"/>
  <c r="F17"/>
  <c r="E17"/>
  <c r="D17"/>
  <c r="C17"/>
  <c r="B17"/>
  <c r="C16"/>
  <c r="G15"/>
  <c r="F15"/>
  <c r="E15"/>
  <c r="D15"/>
  <c r="C15"/>
  <c r="B15"/>
  <c r="H8"/>
  <c r="G8"/>
  <c r="G9"/>
  <c r="G10"/>
  <c r="G11"/>
  <c r="G12"/>
  <c r="G13"/>
  <c r="H13"/>
  <c r="F13"/>
  <c r="E13"/>
  <c r="D13"/>
  <c r="C13"/>
  <c r="B13"/>
  <c r="D12"/>
  <c r="G14"/>
  <c r="G16"/>
  <c r="J4"/>
  <c r="F14" i="6"/>
  <c r="E11"/>
  <c r="D11"/>
  <c r="C11"/>
  <c r="B11"/>
  <c r="F11" s="1"/>
  <c r="F12"/>
  <c r="E10"/>
  <c r="E13" s="1"/>
  <c r="E15" s="1"/>
  <c r="E16" s="1"/>
  <c r="D10"/>
  <c r="D13" s="1"/>
  <c r="D15" s="1"/>
  <c r="D17" s="1"/>
  <c r="C10"/>
  <c r="C13" s="1"/>
  <c r="C15" s="1"/>
  <c r="C16" s="1"/>
  <c r="F16" s="1"/>
  <c r="B10"/>
  <c r="B13" s="1"/>
  <c r="F9"/>
  <c r="G8"/>
  <c r="I4"/>
  <c r="F8"/>
  <c r="A8" i="5"/>
  <c r="J4"/>
  <c r="F15"/>
  <c r="F17" s="1"/>
  <c r="F11"/>
  <c r="E11"/>
  <c r="D11"/>
  <c r="C11"/>
  <c r="B11"/>
  <c r="F10"/>
  <c r="F12" s="1"/>
  <c r="G12" s="1"/>
  <c r="E10"/>
  <c r="E13" s="1"/>
  <c r="E15" s="1"/>
  <c r="E16" s="1"/>
  <c r="D10"/>
  <c r="D13" s="1"/>
  <c r="D15" s="1"/>
  <c r="D17" s="1"/>
  <c r="C10"/>
  <c r="C13" s="1"/>
  <c r="C15" s="1"/>
  <c r="C16" s="1"/>
  <c r="G16" s="1"/>
  <c r="B10"/>
  <c r="B13" s="1"/>
  <c r="H5"/>
  <c r="H6"/>
  <c r="H8"/>
  <c r="G14"/>
  <c r="G11"/>
  <c r="G10"/>
  <c r="G9"/>
  <c r="G7"/>
  <c r="G5"/>
  <c r="G4"/>
  <c r="G6" s="1"/>
  <c r="G8" s="1"/>
  <c r="I17" i="3"/>
  <c r="P6"/>
  <c r="M6" s="1"/>
  <c r="P5"/>
  <c r="M5" s="1"/>
  <c r="O4"/>
  <c r="G14" s="1"/>
  <c r="N4"/>
  <c r="F14" s="1"/>
  <c r="M4"/>
  <c r="E14" s="1"/>
  <c r="L4"/>
  <c r="D14" s="1"/>
  <c r="K4"/>
  <c r="C14" s="1"/>
  <c r="H14" s="1"/>
  <c r="O3"/>
  <c r="G10" s="1"/>
  <c r="N3"/>
  <c r="F10" s="1"/>
  <c r="M3"/>
  <c r="E10" s="1"/>
  <c r="L3"/>
  <c r="D10" s="1"/>
  <c r="K3"/>
  <c r="C10" s="1"/>
  <c r="H10" s="1"/>
  <c r="O2"/>
  <c r="G4" s="1"/>
  <c r="N2"/>
  <c r="F4" s="1"/>
  <c r="M2"/>
  <c r="E4" s="1"/>
  <c r="L2"/>
  <c r="D4" s="1"/>
  <c r="K2"/>
  <c r="C4" s="1"/>
  <c r="H4" s="1"/>
  <c r="H16"/>
  <c r="H15"/>
  <c r="H41" i="4"/>
  <c r="H42" s="1"/>
  <c r="H43" s="1"/>
  <c r="H44" s="1"/>
  <c r="H45" s="1"/>
  <c r="H46" s="1"/>
  <c r="J40"/>
  <c r="D45"/>
  <c r="D43"/>
  <c r="D41"/>
  <c r="G30"/>
  <c r="G26"/>
  <c r="G34"/>
  <c r="D32"/>
  <c r="D28"/>
  <c r="H24"/>
  <c r="H26" s="1"/>
  <c r="H28" s="1"/>
  <c r="H30" s="1"/>
  <c r="H32" s="1"/>
  <c r="H34" s="1"/>
  <c r="D24"/>
  <c r="J23"/>
  <c r="J24" s="1"/>
  <c r="J26" s="1"/>
  <c r="J28" s="1"/>
  <c r="J30" s="1"/>
  <c r="J32" s="1"/>
  <c r="D15"/>
  <c r="J15" s="1"/>
  <c r="G12"/>
  <c r="D9"/>
  <c r="G17"/>
  <c r="G7"/>
  <c r="H5"/>
  <c r="H7" s="1"/>
  <c r="H9" s="1"/>
  <c r="H12" s="1"/>
  <c r="H15" s="1"/>
  <c r="H17" s="1"/>
  <c r="D5"/>
  <c r="J4"/>
  <c r="J5" s="1"/>
  <c r="J7" s="1"/>
  <c r="J9" s="1"/>
  <c r="J12" s="1"/>
  <c r="D58" i="2"/>
  <c r="D55"/>
  <c r="H52"/>
  <c r="H53" s="1"/>
  <c r="H54" s="1"/>
  <c r="H55" s="1"/>
  <c r="H56" s="1"/>
  <c r="H57" s="1"/>
  <c r="H58" s="1"/>
  <c r="H59" s="1"/>
  <c r="D52"/>
  <c r="J51"/>
  <c r="J52" s="1"/>
  <c r="G45"/>
  <c r="N8" s="1"/>
  <c r="G40"/>
  <c r="G37"/>
  <c r="G32"/>
  <c r="D43"/>
  <c r="D34"/>
  <c r="G30"/>
  <c r="H28"/>
  <c r="H30" s="1"/>
  <c r="H32" s="1"/>
  <c r="H34" s="1"/>
  <c r="H37" s="1"/>
  <c r="H40" s="1"/>
  <c r="H43" s="1"/>
  <c r="H45" s="1"/>
  <c r="D28"/>
  <c r="J27"/>
  <c r="J28" s="1"/>
  <c r="G21"/>
  <c r="M8" s="1"/>
  <c r="D18"/>
  <c r="G16"/>
  <c r="G14"/>
  <c r="D11"/>
  <c r="G9"/>
  <c r="G7"/>
  <c r="H5"/>
  <c r="H7" s="1"/>
  <c r="H9" s="1"/>
  <c r="H11" s="1"/>
  <c r="H14" s="1"/>
  <c r="H16" s="1"/>
  <c r="H18" s="1"/>
  <c r="H21" s="1"/>
  <c r="D5"/>
  <c r="J4"/>
  <c r="J5" s="1"/>
  <c r="J7" s="1"/>
  <c r="J9" s="1"/>
  <c r="J11" s="1"/>
  <c r="J14" s="1"/>
  <c r="J16" s="1"/>
  <c r="J18" s="1"/>
  <c r="J21" s="1"/>
  <c r="M4" s="1"/>
  <c r="G43" i="1"/>
  <c r="G35"/>
  <c r="G38" s="1"/>
  <c r="G26"/>
  <c r="G28" s="1"/>
  <c r="G30" s="1"/>
  <c r="C26"/>
  <c r="I25"/>
  <c r="I26" s="1"/>
  <c r="I28" s="1"/>
  <c r="I30" s="1"/>
  <c r="I32" s="1"/>
  <c r="I35" s="1"/>
  <c r="I38" s="1"/>
  <c r="I41" s="1"/>
  <c r="I43" s="1"/>
  <c r="I19"/>
  <c r="G19"/>
  <c r="G13"/>
  <c r="G15" s="1"/>
  <c r="F13"/>
  <c r="I13" s="1"/>
  <c r="I15" s="1"/>
  <c r="I4"/>
  <c r="C5"/>
  <c r="F7"/>
  <c r="I5"/>
  <c r="I7" s="1"/>
  <c r="I9" s="1"/>
  <c r="G5"/>
  <c r="G7" s="1"/>
  <c r="G9" s="1"/>
  <c r="B15" i="5" l="1"/>
  <c r="H13"/>
  <c r="M9" i="2"/>
  <c r="B15" i="6"/>
  <c r="G13"/>
  <c r="F10"/>
  <c r="F13" s="1"/>
  <c r="F15" s="1"/>
  <c r="F17" s="1"/>
  <c r="G13" i="5"/>
  <c r="B17"/>
  <c r="H15"/>
  <c r="H17"/>
  <c r="G15"/>
  <c r="G17"/>
  <c r="K6" i="3"/>
  <c r="L6"/>
  <c r="C2"/>
  <c r="D2"/>
  <c r="E2"/>
  <c r="F2"/>
  <c r="G2"/>
  <c r="C5"/>
  <c r="D5"/>
  <c r="E5"/>
  <c r="F5"/>
  <c r="G5"/>
  <c r="C7"/>
  <c r="D7"/>
  <c r="E7"/>
  <c r="F7"/>
  <c r="G7"/>
  <c r="C9"/>
  <c r="D9"/>
  <c r="E9"/>
  <c r="F9"/>
  <c r="G9"/>
  <c r="C11"/>
  <c r="D11"/>
  <c r="E11"/>
  <c r="F11"/>
  <c r="G11"/>
  <c r="C12"/>
  <c r="D12"/>
  <c r="E12"/>
  <c r="F12"/>
  <c r="G12"/>
  <c r="C13"/>
  <c r="D13"/>
  <c r="E13"/>
  <c r="F13"/>
  <c r="G13"/>
  <c r="C3"/>
  <c r="D3"/>
  <c r="E3"/>
  <c r="F3"/>
  <c r="G3"/>
  <c r="C6"/>
  <c r="D6"/>
  <c r="E6"/>
  <c r="F6"/>
  <c r="G6"/>
  <c r="C8"/>
  <c r="D8"/>
  <c r="E8"/>
  <c r="F8"/>
  <c r="G8"/>
  <c r="K5"/>
  <c r="L5"/>
  <c r="J41" i="4"/>
  <c r="I41"/>
  <c r="F42" s="1"/>
  <c r="G42" s="1"/>
  <c r="J34"/>
  <c r="N10" s="1"/>
  <c r="N11" s="1"/>
  <c r="N12" s="1"/>
  <c r="N14" s="1"/>
  <c r="J17"/>
  <c r="M10" s="1"/>
  <c r="M11" s="1"/>
  <c r="M12" s="1"/>
  <c r="M14" s="1"/>
  <c r="I52" i="2"/>
  <c r="F53" s="1"/>
  <c r="G53" s="1"/>
  <c r="J53" s="1"/>
  <c r="M3"/>
  <c r="M5" s="1"/>
  <c r="J30"/>
  <c r="J32" s="1"/>
  <c r="H17" i="8" l="1"/>
  <c r="H15"/>
  <c r="M15" i="4"/>
  <c r="M16" s="1"/>
  <c r="N15"/>
  <c r="N16" s="1"/>
  <c r="B17" i="6"/>
  <c r="G17" s="1"/>
  <c r="G15"/>
  <c r="H8" i="3"/>
  <c r="H6"/>
  <c r="H3"/>
  <c r="H13"/>
  <c r="H12"/>
  <c r="H11"/>
  <c r="H9"/>
  <c r="H5"/>
  <c r="G17"/>
  <c r="F17"/>
  <c r="E17"/>
  <c r="C17"/>
  <c r="H2"/>
  <c r="J42" i="4"/>
  <c r="I53" i="2"/>
  <c r="F54" s="1"/>
  <c r="G54" s="1"/>
  <c r="J54" s="1"/>
  <c r="J34"/>
  <c r="J37" s="1"/>
  <c r="J40" s="1"/>
  <c r="F18" i="3" l="1"/>
  <c r="I18"/>
  <c r="F19"/>
  <c r="E20"/>
  <c r="D20"/>
  <c r="C20"/>
  <c r="H20" s="1"/>
  <c r="J43" i="4"/>
  <c r="I42"/>
  <c r="J55" i="2"/>
  <c r="I54"/>
  <c r="J43"/>
  <c r="E18" i="3" l="1"/>
  <c r="E19" s="1"/>
  <c r="E21" s="1"/>
  <c r="D18"/>
  <c r="C18"/>
  <c r="C19" s="1"/>
  <c r="H18"/>
  <c r="C21"/>
  <c r="I43" i="4"/>
  <c r="F44" s="1"/>
  <c r="G44" s="1"/>
  <c r="J44" s="1"/>
  <c r="J45" i="2"/>
  <c r="N3"/>
  <c r="I55"/>
  <c r="F56" s="1"/>
  <c r="G56" s="1"/>
  <c r="J56" s="1"/>
  <c r="N4" l="1"/>
  <c r="N9"/>
  <c r="N5"/>
  <c r="J45" i="4"/>
  <c r="I44"/>
  <c r="I56" i="2"/>
  <c r="F57" s="1"/>
  <c r="G57" s="1"/>
  <c r="J57" s="1"/>
  <c r="I45" i="4" l="1"/>
  <c r="F46" s="1"/>
  <c r="G46" s="1"/>
  <c r="J46" s="1"/>
  <c r="J58" i="2"/>
  <c r="I57"/>
  <c r="I46" i="4" l="1"/>
  <c r="O10"/>
  <c r="O11" s="1"/>
  <c r="O12" s="1"/>
  <c r="O14" s="1"/>
  <c r="O3" i="2"/>
  <c r="I58"/>
  <c r="F59" s="1"/>
  <c r="G59" s="1"/>
  <c r="J59" l="1"/>
  <c r="O9" s="1"/>
  <c r="O8"/>
  <c r="O15" i="4"/>
  <c r="O16" s="1"/>
  <c r="O4" i="2"/>
  <c r="I59"/>
  <c r="O5"/>
  <c r="H7" i="3"/>
  <c r="D17"/>
  <c r="D19" s="1"/>
  <c r="H17"/>
  <c r="D21" l="1"/>
  <c r="H21" s="1"/>
  <c r="H19"/>
</calcChain>
</file>

<file path=xl/sharedStrings.xml><?xml version="1.0" encoding="utf-8"?>
<sst xmlns="http://schemas.openxmlformats.org/spreadsheetml/2006/main" count="614" uniqueCount="229">
  <si>
    <t>CANTIAD</t>
  </si>
  <si>
    <t>C.U.</t>
  </si>
  <si>
    <t>MONTO</t>
  </si>
  <si>
    <t>RECIBIDO</t>
  </si>
  <si>
    <t>DESPACHADO</t>
  </si>
  <si>
    <t>SALDO</t>
  </si>
  <si>
    <r>
      <t xml:space="preserve">100 </t>
    </r>
    <r>
      <rPr>
        <sz val="10"/>
        <color theme="1"/>
        <rFont val="Calibri"/>
        <family val="2"/>
      </rPr>
      <t>→ 1.50</t>
    </r>
  </si>
  <si>
    <t>300 → 1.56</t>
  </si>
  <si>
    <r>
      <t xml:space="preserve">20 </t>
    </r>
    <r>
      <rPr>
        <sz val="10"/>
        <color theme="1"/>
        <rFont val="Calibri"/>
        <family val="2"/>
      </rPr>
      <t>→ 1.50</t>
    </r>
  </si>
  <si>
    <t>120 → 1.56</t>
  </si>
  <si>
    <r>
      <t xml:space="preserve">180 </t>
    </r>
    <r>
      <rPr>
        <sz val="10"/>
        <color theme="1"/>
        <rFont val="Calibri"/>
        <family val="2"/>
      </rPr>
      <t>→ 1.56</t>
    </r>
  </si>
  <si>
    <t>150 → 1.6</t>
  </si>
  <si>
    <r>
      <t xml:space="preserve">50 </t>
    </r>
    <r>
      <rPr>
        <sz val="10"/>
        <color theme="1"/>
        <rFont val="Calibri"/>
        <family val="2"/>
      </rPr>
      <t>→ 1.56</t>
    </r>
  </si>
  <si>
    <t>60 → 1.6</t>
  </si>
  <si>
    <r>
      <t xml:space="preserve">90 </t>
    </r>
    <r>
      <rPr>
        <sz val="10"/>
        <color theme="1"/>
        <rFont val="Calibri"/>
        <family val="2"/>
      </rPr>
      <t>→ 1.6</t>
    </r>
  </si>
  <si>
    <t>150 → 1.7</t>
  </si>
  <si>
    <t>50 → 1.7</t>
  </si>
  <si>
    <t>PEPS</t>
  </si>
  <si>
    <t>UEPS</t>
  </si>
  <si>
    <t>220 → 1.56</t>
  </si>
  <si>
    <t>80 → 1.56</t>
  </si>
  <si>
    <t>20 → 1.6</t>
  </si>
  <si>
    <r>
      <t xml:space="preserve">20 </t>
    </r>
    <r>
      <rPr>
        <sz val="10"/>
        <color theme="1"/>
        <rFont val="Calibri"/>
        <family val="2"/>
      </rPr>
      <t>→ 1.56</t>
    </r>
  </si>
  <si>
    <t>10 → 1.5</t>
  </si>
  <si>
    <r>
      <t xml:space="preserve">90 </t>
    </r>
    <r>
      <rPr>
        <sz val="10"/>
        <color theme="1"/>
        <rFont val="Calibri"/>
        <family val="2"/>
      </rPr>
      <t>→ 1.50</t>
    </r>
  </si>
  <si>
    <t>10 → 1.7</t>
  </si>
  <si>
    <t>FECHA</t>
  </si>
  <si>
    <r>
      <t xml:space="preserve">80 </t>
    </r>
    <r>
      <rPr>
        <sz val="10"/>
        <color theme="1"/>
        <rFont val="Calibri"/>
        <family val="2"/>
      </rPr>
      <t>→ 1.50</t>
    </r>
  </si>
  <si>
    <r>
      <t xml:space="preserve">200 </t>
    </r>
    <r>
      <rPr>
        <sz val="10"/>
        <color theme="1"/>
        <rFont val="Calibri"/>
        <family val="2"/>
      </rPr>
      <t>→ 1.50</t>
    </r>
  </si>
  <si>
    <t>300 → 1.50</t>
  </si>
  <si>
    <t>30 → 1.50</t>
  </si>
  <si>
    <r>
      <t xml:space="preserve">120 </t>
    </r>
    <r>
      <rPr>
        <sz val="10"/>
        <color theme="1"/>
        <rFont val="Calibri"/>
        <family val="2"/>
      </rPr>
      <t>→ 1.50</t>
    </r>
  </si>
  <si>
    <r>
      <t xml:space="preserve">10 </t>
    </r>
    <r>
      <rPr>
        <sz val="10"/>
        <color theme="1"/>
        <rFont val="Calibri"/>
        <family val="2"/>
      </rPr>
      <t>→ 1.50</t>
    </r>
  </si>
  <si>
    <t>120 → 1.50</t>
  </si>
  <si>
    <t>150 → 1.60</t>
  </si>
  <si>
    <r>
      <t xml:space="preserve">180 </t>
    </r>
    <r>
      <rPr>
        <sz val="10"/>
        <color theme="1"/>
        <rFont val="Calibri"/>
        <family val="2"/>
      </rPr>
      <t>→ 1.50</t>
    </r>
  </si>
  <si>
    <t>20 → 1.50</t>
  </si>
  <si>
    <t>150 → 1.70</t>
  </si>
  <si>
    <t>120 → 1.60</t>
  </si>
  <si>
    <t>30 → 1.60</t>
  </si>
  <si>
    <t>220 → 1.50</t>
  </si>
  <si>
    <t>110 → 1.50</t>
  </si>
  <si>
    <t>200 → 1.50</t>
  </si>
  <si>
    <t>20 → 1.60</t>
  </si>
  <si>
    <r>
      <t xml:space="preserve">20 </t>
    </r>
    <r>
      <rPr>
        <sz val="10"/>
        <color theme="1"/>
        <rFont val="Calibri"/>
        <family val="2"/>
      </rPr>
      <t>→ 1.60</t>
    </r>
  </si>
  <si>
    <t>140 → 1.50</t>
  </si>
  <si>
    <r>
      <t xml:space="preserve">170 </t>
    </r>
    <r>
      <rPr>
        <sz val="10"/>
        <color theme="1"/>
        <rFont val="Calibri"/>
        <family val="2"/>
      </rPr>
      <t>→ 1.50</t>
    </r>
  </si>
  <si>
    <t>170 → 1.50</t>
  </si>
  <si>
    <t>10 → 1.70</t>
  </si>
  <si>
    <t>CP</t>
  </si>
  <si>
    <t>Mercadería disponible a la venta</t>
  </si>
  <si>
    <t>— inventario final</t>
  </si>
  <si>
    <t>= Costo de lo vendido</t>
  </si>
  <si>
    <t>UPES</t>
  </si>
  <si>
    <t>Costo de Venta</t>
  </si>
  <si>
    <t>Inventario Final</t>
  </si>
  <si>
    <r>
      <t xml:space="preserve">100 </t>
    </r>
    <r>
      <rPr>
        <sz val="10"/>
        <color theme="1"/>
        <rFont val="Calibri"/>
        <family val="2"/>
      </rPr>
      <t>→ 8.00</t>
    </r>
  </si>
  <si>
    <t>60 → 9.00</t>
  </si>
  <si>
    <r>
      <t xml:space="preserve">30 </t>
    </r>
    <r>
      <rPr>
        <sz val="10"/>
        <color theme="1"/>
        <rFont val="Calibri"/>
        <family val="2"/>
      </rPr>
      <t>→ 8.00</t>
    </r>
  </si>
  <si>
    <t>30 → 8.00</t>
  </si>
  <si>
    <t>150 → 9.00</t>
  </si>
  <si>
    <t>120 → 9.00</t>
  </si>
  <si>
    <r>
      <t xml:space="preserve">300 </t>
    </r>
    <r>
      <rPr>
        <sz val="10"/>
        <color theme="1"/>
        <rFont val="Calibri"/>
        <family val="2"/>
      </rPr>
      <t>→ 9.00</t>
    </r>
  </si>
  <si>
    <t>90 → 10.00</t>
  </si>
  <si>
    <r>
      <t xml:space="preserve">60 </t>
    </r>
    <r>
      <rPr>
        <sz val="10"/>
        <color theme="1"/>
        <rFont val="Calibri"/>
        <family val="2"/>
      </rPr>
      <t>→ 9.00</t>
    </r>
  </si>
  <si>
    <t>10 → 8.00</t>
  </si>
  <si>
    <t>90 → 8.00</t>
  </si>
  <si>
    <t>60 → 8.00</t>
  </si>
  <si>
    <t>60 → 10.00</t>
  </si>
  <si>
    <t>INGRESO POR VENTAS</t>
  </si>
  <si>
    <t>INVENTARIO INICIAL</t>
  </si>
  <si>
    <t>10% UTILIDADES EN OPERACIÓN</t>
  </si>
  <si>
    <t>INGRESO POR VENTAS=</t>
  </si>
  <si>
    <t>∑PRECIO=</t>
  </si>
  <si>
    <t>COMPRAS NETAS=</t>
  </si>
  <si>
    <t>∑COMPRAS=</t>
  </si>
  <si>
    <t>70*$20+210*$22+30*$25=$6,770</t>
  </si>
  <si>
    <t>$540+$1,350+$900=$2,790</t>
  </si>
  <si>
    <t>COSTO DE LO VENDIDO:</t>
  </si>
  <si>
    <t>+COMPRAS NETAS</t>
  </si>
  <si>
    <r>
      <rPr>
        <sz val="11"/>
        <color theme="1"/>
        <rFont val="Calibri"/>
        <family val="2"/>
      </rPr>
      <t>—</t>
    </r>
    <r>
      <rPr>
        <sz val="11"/>
        <color theme="1"/>
        <rFont val="Calibri"/>
        <family val="2"/>
        <scheme val="minor"/>
      </rPr>
      <t>INVENTARIO FINAL</t>
    </r>
  </si>
  <si>
    <t>—COSTO DE LO VENDIDO</t>
  </si>
  <si>
    <t>=UTILIDADES BRUTAS</t>
  </si>
  <si>
    <t>—GASTOS DE OPERACIÓN</t>
  </si>
  <si>
    <t>=UTILIDAD EN OPERACIÓN</t>
  </si>
  <si>
    <t>=UTILIDADES NETAS</t>
  </si>
  <si>
    <t>Alquiler de la planta</t>
  </si>
  <si>
    <t>Seguro de compensación</t>
  </si>
  <si>
    <t>Superintendencia</t>
  </si>
  <si>
    <t>Combustible</t>
  </si>
  <si>
    <t>Suministros de fabricación utilizados</t>
  </si>
  <si>
    <t>Seguro Social</t>
  </si>
  <si>
    <t>Suministros de oficina para fábrica</t>
  </si>
  <si>
    <t>Otros gastos de planta</t>
  </si>
  <si>
    <t>TOTAL</t>
  </si>
  <si>
    <t>A</t>
  </si>
  <si>
    <t>B</t>
  </si>
  <si>
    <t>C</t>
  </si>
  <si>
    <t>Área de la planta</t>
  </si>
  <si>
    <t>No. Horas MO.</t>
  </si>
  <si>
    <t>Salarios</t>
  </si>
  <si>
    <t>GASTO</t>
  </si>
  <si>
    <t>BASE</t>
  </si>
  <si>
    <t>1/4 Electricidad</t>
  </si>
  <si>
    <t>No. horas Máquina</t>
  </si>
  <si>
    <t>Inversion Máquina Equipo</t>
  </si>
  <si>
    <t>Seguros maquinaria y equipo</t>
  </si>
  <si>
    <t>Mantenimiento y reparación de Máquina</t>
  </si>
  <si>
    <t>3/4 Electricidad</t>
  </si>
  <si>
    <t>Depreciación maquinaria y equipo</t>
  </si>
  <si>
    <t>Sueldo de Oficina más MOI</t>
  </si>
  <si>
    <t>Saldo de Mano de obra indirecta</t>
  </si>
  <si>
    <t>+Compras de Materia Prima</t>
  </si>
  <si>
    <t>=Materia Prima Disponible</t>
  </si>
  <si>
    <t>—Inventario Final de Materia Prima</t>
  </si>
  <si>
    <t>+Inventario Inicial de Producto en Proceso</t>
  </si>
  <si>
    <t>+Mano de Obra Directa</t>
  </si>
  <si>
    <t>=Costo de Producto Terminado</t>
  </si>
  <si>
    <t>+Inventario Inicial de Producto Terminado</t>
  </si>
  <si>
    <t>=Producto Disponible en Venta</t>
  </si>
  <si>
    <t>=Costo de lo Vendido</t>
  </si>
  <si>
    <t>Total</t>
  </si>
  <si>
    <t>ESTADO DE COSTOS DE PRODUCCIÓN Y VENTAS</t>
  </si>
  <si>
    <t xml:space="preserve">El Palacio de Ensueño S.A. </t>
  </si>
  <si>
    <t>horas mano de obra</t>
  </si>
  <si>
    <t>costo mano de obra por hora</t>
  </si>
  <si>
    <t>aplicación GIF costo/hora mano de obra</t>
  </si>
  <si>
    <t>+Gastos Indirectos de Fabricación</t>
  </si>
  <si>
    <t>—Inventario Final de Producto en Proceso</t>
  </si>
  <si>
    <t>—Inventario Final de Producto Terminado</t>
  </si>
  <si>
    <t>Variación de GIF</t>
  </si>
  <si>
    <t>Inventario Inicial de Materia Prima</t>
  </si>
  <si>
    <t>=Materia Prima Utilizada</t>
  </si>
  <si>
    <t>OF 41</t>
  </si>
  <si>
    <t>OF 42</t>
  </si>
  <si>
    <t>OF 43</t>
  </si>
  <si>
    <t>OF 44</t>
  </si>
  <si>
    <t>MATERIAL D</t>
  </si>
  <si>
    <t>ENTRADA</t>
  </si>
  <si>
    <t>SALIDA</t>
  </si>
  <si>
    <t>Q</t>
  </si>
  <si>
    <t>$</t>
  </si>
  <si>
    <r>
      <t xml:space="preserve">600 </t>
    </r>
    <r>
      <rPr>
        <sz val="10"/>
        <color theme="1"/>
        <rFont val="Calibri"/>
        <family val="2"/>
      </rPr>
      <t>→ 5</t>
    </r>
  </si>
  <si>
    <t>800 → 6</t>
  </si>
  <si>
    <r>
      <t xml:space="preserve">200 </t>
    </r>
    <r>
      <rPr>
        <sz val="10"/>
        <color theme="1"/>
        <rFont val="Calibri"/>
        <family val="2"/>
      </rPr>
      <t>→ 5</t>
    </r>
  </si>
  <si>
    <t>100 → 6</t>
  </si>
  <si>
    <t>MATERIAL E</t>
  </si>
  <si>
    <r>
      <t xml:space="preserve">30 </t>
    </r>
    <r>
      <rPr>
        <sz val="10"/>
        <color theme="1"/>
        <rFont val="Calibri"/>
        <family val="2"/>
      </rPr>
      <t>→ 20</t>
    </r>
  </si>
  <si>
    <t>90 → 22</t>
  </si>
  <si>
    <r>
      <t xml:space="preserve">100 </t>
    </r>
    <r>
      <rPr>
        <sz val="10"/>
        <color theme="1"/>
        <rFont val="Calibri"/>
        <family val="2"/>
      </rPr>
      <t>→ 20</t>
    </r>
  </si>
  <si>
    <t>200 → 22</t>
  </si>
  <si>
    <t>PRODUCTO J</t>
  </si>
  <si>
    <r>
      <t xml:space="preserve">15 </t>
    </r>
    <r>
      <rPr>
        <sz val="10"/>
        <color theme="1"/>
        <rFont val="Calibri"/>
        <family val="2"/>
      </rPr>
      <t>→ 220</t>
    </r>
  </si>
  <si>
    <t>10 → 240</t>
  </si>
  <si>
    <t>PRODUCTO K</t>
  </si>
  <si>
    <t>EFECTIVO</t>
  </si>
  <si>
    <t>CxC</t>
  </si>
  <si>
    <t>VARIACION GIF</t>
  </si>
  <si>
    <t>CxP</t>
  </si>
  <si>
    <t>MOD DEP A</t>
  </si>
  <si>
    <t>MOI</t>
  </si>
  <si>
    <t>MOD DEP B</t>
  </si>
  <si>
    <t>SUPERVICION</t>
  </si>
  <si>
    <t>REP Y MANTO</t>
  </si>
  <si>
    <t>INGRESOSxVENTA</t>
  </si>
  <si>
    <t>COSTOxVENTA</t>
  </si>
  <si>
    <t>=Unidades transferidas</t>
  </si>
  <si>
    <t>−Inventario final x grado de avance final</t>
  </si>
  <si>
    <t>=Total de unidades equivalentes</t>
  </si>
  <si>
    <t>+Inventario inicial x grado de avance inicial</t>
  </si>
  <si>
    <t>Unidades equivalentes producidas</t>
  </si>
  <si>
    <t>CC</t>
  </si>
  <si>
    <t>MP</t>
  </si>
  <si>
    <t>Por el Método de Valoración de Inventario CP</t>
  </si>
  <si>
    <t>Por el Método de Valoración de Inventario UEPS</t>
  </si>
  <si>
    <t>Por el Método de Valoración de Inventario PEPS</t>
  </si>
  <si>
    <t>ASIGNACIÓN DE COSTOS</t>
  </si>
  <si>
    <t>=Unidades equivalentes producidas</t>
  </si>
  <si>
    <t>+ Inventario final de producto en proceso x grado de avance al final</t>
  </si>
  <si>
    <t>+Inventario inicial de producto en proceso x ( 1 – grado de avance al inicial)</t>
  </si>
  <si>
    <t>Unidades hincadas y terminadas en el período</t>
  </si>
  <si>
    <t>Método de unidades iniciadas y terminadas</t>
  </si>
  <si>
    <t>=unidades equivalentes producidas en el período</t>
  </si>
  <si>
    <t>−Inventario inicial x grado de avance inicial</t>
  </si>
  <si>
    <t>+Inventario final x grado de avance final</t>
  </si>
  <si>
    <t>Unidades transferidas</t>
  </si>
  <si>
    <t>Método de unidades terminadas</t>
  </si>
  <si>
    <t>UNIDADES EQUIVALENTES</t>
  </si>
  <si>
    <t>=Unidades transferidas al siguiente departamento</t>
  </si>
  <si>
    <t>−Inventario final de producto en proceso</t>
  </si>
  <si>
    <t>=Unidades disponibles</t>
  </si>
  <si>
    <t>+Inventario Inicial de producto en proceso</t>
  </si>
  <si>
    <t>Unidades iniciadas en el período</t>
  </si>
  <si>
    <t>UNIDADES FÍSICAS</t>
  </si>
  <si>
    <t>Grado de Avance Final</t>
  </si>
  <si>
    <t>Grado de Avance Inicial</t>
  </si>
  <si>
    <t>Inventario Inicial</t>
  </si>
  <si>
    <t>Unidades Iniciadas</t>
  </si>
  <si>
    <t>Costos de Conversión</t>
  </si>
  <si>
    <t>Materia Prima</t>
  </si>
  <si>
    <t>ESTANDAR</t>
  </si>
  <si>
    <t>REAL</t>
  </si>
  <si>
    <t>Precio</t>
  </si>
  <si>
    <t>Cantidad</t>
  </si>
  <si>
    <t>Eficiencia</t>
  </si>
  <si>
    <t>Tarifa</t>
  </si>
  <si>
    <t>Precio Real)x</t>
  </si>
  <si>
    <t>Cantidad Real</t>
  </si>
  <si>
    <t>Cantidad Real)x</t>
  </si>
  <si>
    <t>Materiales</t>
  </si>
  <si>
    <t>Mano de Obra</t>
  </si>
  <si>
    <t>Tarifa Real)x</t>
  </si>
  <si>
    <t>Hora Real</t>
  </si>
  <si>
    <t>Hora Real)x</t>
  </si>
  <si>
    <t>Se debe buscar mejores precios en los materiales</t>
  </si>
  <si>
    <t>Se debe mejorar la eficiencia de los trabajadores</t>
  </si>
  <si>
    <t>Se debe disminuir el desperdicio</t>
  </si>
  <si>
    <t>Variación en Precios=</t>
  </si>
  <si>
    <r>
      <t>(Estándar de Precios</t>
    </r>
    <r>
      <rPr>
        <sz val="11"/>
        <color theme="1"/>
        <rFont val="Courier New"/>
        <family val="3"/>
      </rPr>
      <t>—</t>
    </r>
  </si>
  <si>
    <t>Variación en Cantidad=</t>
  </si>
  <si>
    <r>
      <t>(Cantidad Estándar</t>
    </r>
    <r>
      <rPr>
        <sz val="11"/>
        <color theme="1"/>
        <rFont val="Courier New"/>
        <family val="3"/>
      </rPr>
      <t>—</t>
    </r>
  </si>
  <si>
    <t>Precio Estándar</t>
  </si>
  <si>
    <t>Variación en Tarifa=</t>
  </si>
  <si>
    <r>
      <t>(Tarifa Estándar</t>
    </r>
    <r>
      <rPr>
        <sz val="11"/>
        <color theme="1"/>
        <rFont val="Courier New"/>
        <family val="3"/>
      </rPr>
      <t>—</t>
    </r>
  </si>
  <si>
    <t>Variación en Eficiencia=</t>
  </si>
  <si>
    <r>
      <t>(Eficiencia Estándar</t>
    </r>
    <r>
      <rPr>
        <sz val="11"/>
        <color theme="1"/>
        <rFont val="Courier New"/>
        <family val="3"/>
      </rPr>
      <t>—</t>
    </r>
  </si>
  <si>
    <t>Tarifa Estándar</t>
  </si>
  <si>
    <t>Se deben mejorar los métodos de producción</t>
  </si>
  <si>
    <t>Alternativas
de solución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</si>
</sst>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#,##0.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0" fontId="2" fillId="0" borderId="36" xfId="0" applyFont="1" applyBorder="1"/>
    <xf numFmtId="0" fontId="2" fillId="0" borderId="1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17" fontId="0" fillId="0" borderId="38" xfId="0" applyNumberForma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0" fillId="0" borderId="36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0" fillId="0" borderId="25" xfId="0" applyBorder="1"/>
    <xf numFmtId="4" fontId="2" fillId="0" borderId="1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0" fillId="0" borderId="44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" fontId="2" fillId="0" borderId="45" xfId="0" applyNumberFormat="1" applyFont="1" applyBorder="1" applyAlignment="1">
      <alignment horizontal="center" vertical="center"/>
    </xf>
    <xf numFmtId="4" fontId="2" fillId="0" borderId="46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/>
    <xf numFmtId="49" fontId="3" fillId="0" borderId="25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/>
    </xf>
    <xf numFmtId="4" fontId="8" fillId="0" borderId="0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47" xfId="0" applyNumberFormat="1" applyFont="1" applyBorder="1"/>
    <xf numFmtId="4" fontId="2" fillId="0" borderId="47" xfId="0" applyNumberFormat="1" applyFont="1" applyBorder="1"/>
    <xf numFmtId="4" fontId="9" fillId="0" borderId="47" xfId="0" applyNumberFormat="1" applyFont="1" applyBorder="1"/>
    <xf numFmtId="49" fontId="4" fillId="0" borderId="47" xfId="0" applyNumberFormat="1" applyFont="1" applyBorder="1"/>
    <xf numFmtId="4" fontId="10" fillId="0" borderId="47" xfId="0" applyNumberFormat="1" applyFont="1" applyBorder="1"/>
    <xf numFmtId="4" fontId="11" fillId="0" borderId="47" xfId="0" applyNumberFormat="1" applyFont="1" applyBorder="1"/>
    <xf numFmtId="4" fontId="12" fillId="0" borderId="47" xfId="0" applyNumberFormat="1" applyFont="1" applyBorder="1"/>
    <xf numFmtId="4" fontId="13" fillId="0" borderId="47" xfId="0" applyNumberFormat="1" applyFont="1" applyBorder="1"/>
    <xf numFmtId="4" fontId="14" fillId="0" borderId="47" xfId="0" applyNumberFormat="1" applyFont="1" applyBorder="1"/>
    <xf numFmtId="4" fontId="15" fillId="0" borderId="47" xfId="0" applyNumberFormat="1" applyFont="1" applyBorder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48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4" fontId="16" fillId="0" borderId="47" xfId="0" applyNumberFormat="1" applyFont="1" applyBorder="1"/>
    <xf numFmtId="4" fontId="2" fillId="0" borderId="12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4" fontId="0" fillId="0" borderId="0" xfId="0" applyNumberFormat="1"/>
    <xf numFmtId="0" fontId="2" fillId="0" borderId="34" xfId="0" applyFont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4" fontId="2" fillId="0" borderId="49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49" fontId="17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right"/>
    </xf>
    <xf numFmtId="0" fontId="6" fillId="0" borderId="52" xfId="0" applyFont="1" applyBorder="1" applyAlignment="1">
      <alignment horizontal="righ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right"/>
    </xf>
    <xf numFmtId="4" fontId="19" fillId="0" borderId="52" xfId="0" applyNumberFormat="1" applyFont="1" applyBorder="1" applyAlignment="1">
      <alignment horizontal="right"/>
    </xf>
    <xf numFmtId="4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right"/>
    </xf>
    <xf numFmtId="4" fontId="19" fillId="0" borderId="53" xfId="0" applyNumberFormat="1" applyFont="1" applyBorder="1" applyAlignment="1">
      <alignment horizontal="right"/>
    </xf>
    <xf numFmtId="4" fontId="20" fillId="0" borderId="51" xfId="0" applyNumberFormat="1" applyFont="1" applyBorder="1" applyAlignment="1">
      <alignment horizontal="left"/>
    </xf>
    <xf numFmtId="4" fontId="6" fillId="0" borderId="0" xfId="0" applyNumberFormat="1" applyFont="1" applyAlignment="1">
      <alignment horizontal="left"/>
    </xf>
    <xf numFmtId="4" fontId="6" fillId="0" borderId="52" xfId="0" applyNumberFormat="1" applyFont="1" applyBorder="1" applyAlignment="1">
      <alignment horizontal="right"/>
    </xf>
    <xf numFmtId="4" fontId="17" fillId="0" borderId="52" xfId="0" applyNumberFormat="1" applyFont="1" applyBorder="1" applyAlignment="1">
      <alignment horizontal="right"/>
    </xf>
    <xf numFmtId="4" fontId="17" fillId="0" borderId="54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" fontId="21" fillId="0" borderId="55" xfId="0" applyNumberFormat="1" applyFont="1" applyBorder="1" applyAlignment="1">
      <alignment horizontal="right"/>
    </xf>
    <xf numFmtId="4" fontId="6" fillId="0" borderId="54" xfId="0" applyNumberFormat="1" applyFont="1" applyBorder="1" applyAlignment="1">
      <alignment horizontal="left"/>
    </xf>
    <xf numFmtId="4" fontId="17" fillId="0" borderId="0" xfId="0" applyNumberFormat="1" applyFont="1" applyBorder="1" applyAlignment="1">
      <alignment horizontal="right"/>
    </xf>
    <xf numFmtId="4" fontId="6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right"/>
    </xf>
    <xf numFmtId="4" fontId="20" fillId="0" borderId="52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" fontId="21" fillId="0" borderId="0" xfId="0" applyNumberFormat="1" applyFont="1" applyBorder="1" applyAlignment="1">
      <alignment horizontal="right"/>
    </xf>
    <xf numFmtId="4" fontId="17" fillId="0" borderId="0" xfId="0" applyNumberFormat="1" applyFont="1" applyBorder="1" applyAlignment="1">
      <alignment horizontal="left"/>
    </xf>
    <xf numFmtId="4" fontId="6" fillId="0" borderId="0" xfId="0" applyNumberFormat="1" applyFont="1" applyBorder="1"/>
    <xf numFmtId="4" fontId="21" fillId="0" borderId="55" xfId="0" applyNumberFormat="1" applyFont="1" applyBorder="1" applyAlignment="1">
      <alignment horizontal="left"/>
    </xf>
    <xf numFmtId="4" fontId="2" fillId="0" borderId="10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49" fontId="7" fillId="0" borderId="0" xfId="0" applyNumberFormat="1" applyFont="1" applyAlignment="1"/>
    <xf numFmtId="4" fontId="2" fillId="0" borderId="1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49" fontId="22" fillId="0" borderId="24" xfId="0" applyNumberFormat="1" applyFont="1" applyBorder="1" applyAlignment="1"/>
    <xf numFmtId="4" fontId="2" fillId="0" borderId="7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9" fontId="7" fillId="0" borderId="24" xfId="0" applyNumberFormat="1" applyFont="1" applyBorder="1" applyAlignment="1"/>
    <xf numFmtId="4" fontId="3" fillId="0" borderId="5" xfId="0" applyNumberFormat="1" applyFont="1" applyBorder="1" applyAlignment="1">
      <alignment horizontal="center"/>
    </xf>
    <xf numFmtId="49" fontId="23" fillId="0" borderId="0" xfId="0" applyNumberFormat="1" applyFont="1" applyAlignment="1"/>
    <xf numFmtId="4" fontId="2" fillId="0" borderId="0" xfId="0" applyNumberFormat="1" applyFont="1"/>
    <xf numFmtId="49" fontId="23" fillId="0" borderId="0" xfId="0" applyNumberFormat="1" applyFont="1" applyAlignment="1">
      <alignment wrapText="1"/>
    </xf>
    <xf numFmtId="3" fontId="7" fillId="0" borderId="17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23" fillId="0" borderId="0" xfId="0" applyNumberFormat="1" applyFont="1" applyAlignment="1">
      <alignment horizontal="center"/>
    </xf>
    <xf numFmtId="4" fontId="23" fillId="0" borderId="17" xfId="0" applyNumberFormat="1" applyFont="1" applyBorder="1" applyAlignment="1">
      <alignment horizontal="center"/>
    </xf>
    <xf numFmtId="4" fontId="7" fillId="0" borderId="0" xfId="0" applyNumberFormat="1" applyFont="1" applyAlignment="1"/>
    <xf numFmtId="6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0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49" fontId="22" fillId="0" borderId="0" xfId="0" applyNumberFormat="1" applyFont="1" applyAlignment="1"/>
    <xf numFmtId="0" fontId="23" fillId="0" borderId="0" xfId="0" applyFont="1"/>
    <xf numFmtId="40" fontId="7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9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0" fontId="7" fillId="0" borderId="4" xfId="0" applyNumberFormat="1" applyFont="1" applyBorder="1" applyAlignment="1">
      <alignment horizontal="right"/>
    </xf>
    <xf numFmtId="38" fontId="7" fillId="0" borderId="2" xfId="0" applyNumberFormat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40" fontId="7" fillId="0" borderId="56" xfId="0" applyNumberFormat="1" applyFont="1" applyBorder="1" applyAlignment="1">
      <alignment horizontal="right"/>
    </xf>
    <xf numFmtId="38" fontId="7" fillId="0" borderId="57" xfId="0" applyNumberFormat="1" applyFont="1" applyBorder="1" applyAlignment="1">
      <alignment horizontal="right"/>
    </xf>
    <xf numFmtId="9" fontId="7" fillId="0" borderId="57" xfId="0" applyNumberFormat="1" applyFont="1" applyBorder="1" applyAlignment="1">
      <alignment horizontal="right"/>
    </xf>
    <xf numFmtId="40" fontId="7" fillId="0" borderId="58" xfId="0" applyNumberFormat="1" applyFont="1" applyBorder="1" applyAlignment="1">
      <alignment horizontal="right"/>
    </xf>
    <xf numFmtId="38" fontId="7" fillId="0" borderId="59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48" xfId="0" applyBorder="1"/>
    <xf numFmtId="0" fontId="0" fillId="0" borderId="0" xfId="0" applyBorder="1"/>
    <xf numFmtId="0" fontId="0" fillId="0" borderId="17" xfId="0" applyBorder="1"/>
    <xf numFmtId="0" fontId="0" fillId="0" borderId="60" xfId="0" applyBorder="1"/>
    <xf numFmtId="0" fontId="0" fillId="0" borderId="16" xfId="0" applyBorder="1"/>
    <xf numFmtId="0" fontId="0" fillId="0" borderId="28" xfId="0" applyBorder="1"/>
    <xf numFmtId="4" fontId="0" fillId="0" borderId="0" xfId="0" applyNumberFormat="1" applyBorder="1"/>
    <xf numFmtId="4" fontId="0" fillId="0" borderId="17" xfId="0" applyNumberFormat="1" applyBorder="1"/>
    <xf numFmtId="4" fontId="0" fillId="0" borderId="24" xfId="0" applyNumberFormat="1" applyBorder="1"/>
    <xf numFmtId="4" fontId="0" fillId="0" borderId="25" xfId="0" applyNumberFormat="1" applyBorder="1"/>
    <xf numFmtId="49" fontId="2" fillId="0" borderId="47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4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" fontId="2" fillId="0" borderId="3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" fontId="0" fillId="0" borderId="41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" fontId="2" fillId="0" borderId="42" xfId="0" applyNumberFormat="1" applyFont="1" applyBorder="1" applyAlignment="1">
      <alignment horizontal="center" vertical="center"/>
    </xf>
    <xf numFmtId="0" fontId="17" fillId="0" borderId="51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vertical="center"/>
    </xf>
    <xf numFmtId="4" fontId="2" fillId="0" borderId="5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F1"/>
    </sheetView>
  </sheetViews>
  <sheetFormatPr baseColWidth="10" defaultRowHeight="12.75"/>
  <cols>
    <col min="1" max="1" width="35" style="81" bestFit="1" customWidth="1"/>
    <col min="2" max="5" width="7.85546875" style="1" bestFit="1" customWidth="1"/>
    <col min="6" max="7" width="8.85546875" style="1" bestFit="1" customWidth="1"/>
    <col min="8" max="16384" width="11.42578125" style="1"/>
  </cols>
  <sheetData>
    <row r="1" spans="1:10">
      <c r="A1" s="178" t="s">
        <v>123</v>
      </c>
      <c r="B1" s="178"/>
      <c r="C1" s="178"/>
      <c r="D1" s="178"/>
      <c r="E1" s="178"/>
      <c r="F1" s="178"/>
    </row>
    <row r="2" spans="1:10" ht="13.5" thickBot="1">
      <c r="A2" s="178" t="s">
        <v>122</v>
      </c>
      <c r="B2" s="178"/>
      <c r="C2" s="178"/>
      <c r="D2" s="178"/>
      <c r="E2" s="178"/>
      <c r="F2" s="178"/>
      <c r="I2" s="179" t="s">
        <v>130</v>
      </c>
      <c r="J2" s="179"/>
    </row>
    <row r="3" spans="1:10" s="69" customFormat="1" ht="15.75" customHeight="1" thickBot="1">
      <c r="A3" s="67"/>
      <c r="B3" s="68">
        <v>518</v>
      </c>
      <c r="C3" s="68">
        <v>519</v>
      </c>
      <c r="D3" s="68">
        <v>520</v>
      </c>
      <c r="E3" s="68">
        <v>521</v>
      </c>
      <c r="F3" s="68" t="s">
        <v>121</v>
      </c>
      <c r="G3" s="68" t="s">
        <v>121</v>
      </c>
      <c r="I3" s="83">
        <v>7230</v>
      </c>
      <c r="J3" s="84">
        <v>6750</v>
      </c>
    </row>
    <row r="4" spans="1:10" ht="13.5" thickBot="1">
      <c r="A4" s="70" t="s">
        <v>131</v>
      </c>
      <c r="B4" s="71"/>
      <c r="C4" s="71"/>
      <c r="D4" s="71"/>
      <c r="E4" s="71"/>
      <c r="F4" s="71"/>
      <c r="G4" s="71"/>
      <c r="I4" s="82">
        <f>I3-J3</f>
        <v>480</v>
      </c>
    </row>
    <row r="5" spans="1:10">
      <c r="A5" s="70" t="s">
        <v>112</v>
      </c>
      <c r="B5" s="71"/>
      <c r="C5" s="71"/>
      <c r="D5" s="71"/>
      <c r="E5" s="71"/>
      <c r="F5" s="72"/>
      <c r="G5" s="71"/>
    </row>
    <row r="6" spans="1:10">
      <c r="A6" s="70" t="s">
        <v>113</v>
      </c>
      <c r="B6" s="71"/>
      <c r="C6" s="71"/>
      <c r="D6" s="71"/>
      <c r="E6" s="71"/>
      <c r="F6" s="71"/>
      <c r="G6" s="71"/>
    </row>
    <row r="7" spans="1:10">
      <c r="A7" s="73" t="s">
        <v>114</v>
      </c>
      <c r="B7" s="71"/>
      <c r="C7" s="71"/>
      <c r="D7" s="71"/>
      <c r="E7" s="71"/>
      <c r="F7" s="71"/>
      <c r="G7" s="71"/>
    </row>
    <row r="8" spans="1:10">
      <c r="A8" s="70" t="s">
        <v>132</v>
      </c>
      <c r="B8" s="85">
        <v>1200</v>
      </c>
      <c r="C8" s="85">
        <v>500</v>
      </c>
      <c r="D8" s="85">
        <v>4650</v>
      </c>
      <c r="E8" s="85">
        <v>4000</v>
      </c>
      <c r="F8" s="71">
        <f>F6-F7</f>
        <v>0</v>
      </c>
      <c r="G8" s="71">
        <f>SUM(B8:E8)</f>
        <v>10350</v>
      </c>
    </row>
    <row r="9" spans="1:10">
      <c r="A9" s="70" t="s">
        <v>115</v>
      </c>
      <c r="B9" s="85">
        <v>3600</v>
      </c>
      <c r="C9" s="85">
        <v>6200</v>
      </c>
      <c r="D9" s="85">
        <v>0</v>
      </c>
      <c r="E9" s="85">
        <v>0</v>
      </c>
      <c r="F9" s="71">
        <f>SUM(B9:E9)</f>
        <v>9800</v>
      </c>
      <c r="G9" s="71"/>
    </row>
    <row r="10" spans="1:10">
      <c r="A10" s="70" t="s">
        <v>116</v>
      </c>
      <c r="B10" s="85">
        <f>35*7</f>
        <v>245</v>
      </c>
      <c r="C10" s="85">
        <f>8*7</f>
        <v>56</v>
      </c>
      <c r="D10" s="85">
        <f>50*7</f>
        <v>350</v>
      </c>
      <c r="E10" s="85">
        <f>60*7</f>
        <v>420</v>
      </c>
      <c r="F10" s="71">
        <f>SUM(B10:E10)</f>
        <v>1071</v>
      </c>
      <c r="G10" s="71"/>
    </row>
    <row r="11" spans="1:10">
      <c r="A11" s="70" t="s">
        <v>127</v>
      </c>
      <c r="B11" s="85">
        <f>35*30</f>
        <v>1050</v>
      </c>
      <c r="C11" s="85">
        <f>8*30</f>
        <v>240</v>
      </c>
      <c r="D11" s="85">
        <f>50*30</f>
        <v>1500</v>
      </c>
      <c r="E11" s="85">
        <f>60*30</f>
        <v>1800</v>
      </c>
      <c r="F11" s="71">
        <f>SUM(B11:E11)</f>
        <v>4590</v>
      </c>
      <c r="G11" s="71"/>
    </row>
    <row r="12" spans="1:10">
      <c r="A12" s="70" t="s">
        <v>128</v>
      </c>
      <c r="B12" s="85">
        <v>0</v>
      </c>
      <c r="C12" s="85">
        <v>0</v>
      </c>
      <c r="D12" s="85">
        <v>0</v>
      </c>
      <c r="E12" s="85">
        <v>0</v>
      </c>
      <c r="F12" s="71">
        <f>SUM(B12:E12)</f>
        <v>0</v>
      </c>
      <c r="G12" s="71"/>
    </row>
    <row r="13" spans="1:10">
      <c r="A13" s="70" t="s">
        <v>117</v>
      </c>
      <c r="B13" s="85">
        <f>B8+B9+B10+B11-B12</f>
        <v>6095</v>
      </c>
      <c r="C13" s="85">
        <f>C8+C9+C10+C11-C12</f>
        <v>6996</v>
      </c>
      <c r="D13" s="85">
        <f>D8+D9+D10+D11-D12</f>
        <v>6500</v>
      </c>
      <c r="E13" s="85">
        <f>E8+E9+E10+E11-E12</f>
        <v>6220</v>
      </c>
      <c r="F13" s="71">
        <f>F8+F9+F10+F11-F12</f>
        <v>15461</v>
      </c>
      <c r="G13" s="71">
        <f>SUM(B13:E13)</f>
        <v>25811</v>
      </c>
    </row>
    <row r="14" spans="1:10">
      <c r="A14" s="70" t="s">
        <v>118</v>
      </c>
      <c r="B14" s="85">
        <v>0</v>
      </c>
      <c r="C14" s="85">
        <v>0</v>
      </c>
      <c r="D14" s="85">
        <v>0</v>
      </c>
      <c r="E14" s="85">
        <v>0</v>
      </c>
      <c r="F14" s="71">
        <f>SUM(B14:E14)</f>
        <v>0</v>
      </c>
      <c r="G14" s="71"/>
    </row>
    <row r="15" spans="1:10">
      <c r="A15" s="70" t="s">
        <v>119</v>
      </c>
      <c r="B15" s="85">
        <f t="shared" ref="B15:F15" si="0">B13+B14</f>
        <v>6095</v>
      </c>
      <c r="C15" s="85">
        <f t="shared" si="0"/>
        <v>6996</v>
      </c>
      <c r="D15" s="85">
        <f t="shared" si="0"/>
        <v>6500</v>
      </c>
      <c r="E15" s="85">
        <f t="shared" si="0"/>
        <v>6220</v>
      </c>
      <c r="F15" s="71">
        <f t="shared" si="0"/>
        <v>15461</v>
      </c>
      <c r="G15" s="71">
        <f>SUM(B15:E15)</f>
        <v>25811</v>
      </c>
    </row>
    <row r="16" spans="1:10">
      <c r="A16" s="70" t="s">
        <v>129</v>
      </c>
      <c r="B16" s="85">
        <v>0</v>
      </c>
      <c r="C16" s="85">
        <f>C15</f>
        <v>6996</v>
      </c>
      <c r="D16" s="85">
        <v>0</v>
      </c>
      <c r="E16" s="85">
        <f>E15</f>
        <v>6220</v>
      </c>
      <c r="F16" s="71">
        <f>SUM(B16:E16)</f>
        <v>13216</v>
      </c>
      <c r="G16" s="71"/>
    </row>
    <row r="17" spans="1:7">
      <c r="A17" s="70" t="s">
        <v>120</v>
      </c>
      <c r="B17" s="85">
        <f>B15-B16</f>
        <v>6095</v>
      </c>
      <c r="C17" s="85">
        <v>0</v>
      </c>
      <c r="D17" s="85">
        <f>D15-D16</f>
        <v>6500</v>
      </c>
      <c r="E17" s="85">
        <v>0</v>
      </c>
      <c r="F17" s="71">
        <f>F15-F16</f>
        <v>2245</v>
      </c>
      <c r="G17" s="71">
        <f>SUM(B17:E17)</f>
        <v>12595</v>
      </c>
    </row>
    <row r="19" spans="1:7">
      <c r="A19" s="80" t="s">
        <v>124</v>
      </c>
      <c r="B19" s="1">
        <v>35</v>
      </c>
      <c r="C19" s="1">
        <v>8</v>
      </c>
      <c r="D19" s="1">
        <v>50</v>
      </c>
      <c r="E19" s="1">
        <v>60</v>
      </c>
    </row>
    <row r="20" spans="1:7">
      <c r="A20" s="80" t="s">
        <v>125</v>
      </c>
      <c r="B20" s="1">
        <v>7</v>
      </c>
    </row>
    <row r="21" spans="1:7">
      <c r="A21" s="80" t="s">
        <v>126</v>
      </c>
      <c r="B21" s="1">
        <v>30</v>
      </c>
    </row>
  </sheetData>
  <mergeCells count="3">
    <mergeCell ref="A1:F1"/>
    <mergeCell ref="A2:F2"/>
    <mergeCell ref="I2:J2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sqref="A1:I1"/>
    </sheetView>
  </sheetViews>
  <sheetFormatPr baseColWidth="10" defaultRowHeight="15"/>
  <cols>
    <col min="1" max="1" width="8" bestFit="1" customWidth="1"/>
    <col min="2" max="2" width="6.42578125" bestFit="1" customWidth="1"/>
    <col min="3" max="3" width="7.85546875" bestFit="1" customWidth="1"/>
    <col min="4" max="4" width="8" bestFit="1" customWidth="1"/>
    <col min="5" max="5" width="10" bestFit="1" customWidth="1"/>
    <col min="6" max="6" width="7.85546875" bestFit="1" customWidth="1"/>
    <col min="7" max="7" width="8" bestFit="1" customWidth="1"/>
    <col min="8" max="8" width="10" bestFit="1" customWidth="1"/>
    <col min="9" max="9" width="7.85546875" bestFit="1" customWidth="1"/>
    <col min="11" max="11" width="3.140625" bestFit="1" customWidth="1"/>
    <col min="12" max="13" width="7.85546875" bestFit="1" customWidth="1"/>
    <col min="14" max="15" width="2.7109375" customWidth="1"/>
    <col min="16" max="16" width="7.85546875" bestFit="1" customWidth="1"/>
    <col min="17" max="17" width="7" bestFit="1" customWidth="1"/>
    <col min="18" max="19" width="2.7109375" customWidth="1"/>
    <col min="20" max="21" width="7.85546875" bestFit="1" customWidth="1"/>
    <col min="22" max="23" width="2.7109375" customWidth="1"/>
    <col min="24" max="24" width="7" bestFit="1" customWidth="1"/>
    <col min="25" max="25" width="7.85546875" customWidth="1"/>
    <col min="26" max="26" width="3.140625" bestFit="1" customWidth="1"/>
  </cols>
  <sheetData>
    <row r="1" spans="1:26" ht="15.75" thickBot="1">
      <c r="A1" s="210" t="s">
        <v>137</v>
      </c>
      <c r="B1" s="211"/>
      <c r="C1" s="211"/>
      <c r="D1" s="211"/>
      <c r="E1" s="211"/>
      <c r="F1" s="211"/>
      <c r="G1" s="211"/>
      <c r="H1" s="211"/>
      <c r="I1" s="212"/>
      <c r="K1" s="94"/>
      <c r="L1" s="231" t="s">
        <v>133</v>
      </c>
      <c r="M1" s="231"/>
      <c r="N1" s="95"/>
      <c r="O1" s="94"/>
      <c r="P1" s="231" t="s">
        <v>157</v>
      </c>
      <c r="Q1" s="231"/>
      <c r="R1" s="95"/>
      <c r="S1" s="94"/>
      <c r="T1" s="231" t="s">
        <v>158</v>
      </c>
      <c r="U1" s="231"/>
      <c r="V1" s="95"/>
      <c r="W1" s="94"/>
      <c r="X1" s="231" t="s">
        <v>159</v>
      </c>
      <c r="Y1" s="231"/>
      <c r="Z1" s="95"/>
    </row>
    <row r="2" spans="1:26" ht="15.75" thickBot="1">
      <c r="A2" s="197" t="s">
        <v>138</v>
      </c>
      <c r="B2" s="198"/>
      <c r="C2" s="199"/>
      <c r="D2" s="197" t="s">
        <v>139</v>
      </c>
      <c r="E2" s="198"/>
      <c r="F2" s="199"/>
      <c r="G2" s="197" t="s">
        <v>5</v>
      </c>
      <c r="H2" s="198"/>
      <c r="I2" s="199"/>
      <c r="K2" s="96"/>
      <c r="L2" s="108">
        <v>1600</v>
      </c>
      <c r="M2" s="102"/>
      <c r="N2" s="103"/>
      <c r="O2" s="104"/>
      <c r="P2" s="97"/>
      <c r="Q2" s="98">
        <v>800</v>
      </c>
      <c r="R2" s="103"/>
      <c r="S2" s="104"/>
      <c r="T2" s="101"/>
      <c r="U2" s="102">
        <v>16600</v>
      </c>
      <c r="V2" s="99"/>
      <c r="W2" s="104"/>
      <c r="X2" s="108">
        <v>3200</v>
      </c>
      <c r="Y2" s="102">
        <v>2000</v>
      </c>
      <c r="Z2" s="99"/>
    </row>
    <row r="3" spans="1:26" ht="15.75" thickBot="1">
      <c r="A3" s="2" t="s">
        <v>0</v>
      </c>
      <c r="B3" s="3" t="s">
        <v>1</v>
      </c>
      <c r="C3" s="4" t="s">
        <v>2</v>
      </c>
      <c r="D3" s="2" t="s">
        <v>0</v>
      </c>
      <c r="E3" s="3" t="s">
        <v>1</v>
      </c>
      <c r="F3" s="4" t="s">
        <v>2</v>
      </c>
      <c r="G3" s="2" t="s">
        <v>0</v>
      </c>
      <c r="H3" s="3" t="s">
        <v>1</v>
      </c>
      <c r="I3" s="4" t="s">
        <v>2</v>
      </c>
      <c r="K3" s="100"/>
      <c r="L3" s="108">
        <v>2000</v>
      </c>
      <c r="M3" s="107"/>
      <c r="N3" s="99"/>
      <c r="O3" s="96"/>
      <c r="P3" s="97"/>
      <c r="Q3" s="98">
        <v>800</v>
      </c>
      <c r="R3" s="99"/>
      <c r="S3" s="96"/>
      <c r="T3" s="105"/>
      <c r="U3" s="111">
        <v>21800</v>
      </c>
      <c r="V3" s="112"/>
      <c r="W3" s="96"/>
      <c r="X3" s="105"/>
      <c r="Y3" s="107">
        <v>1200</v>
      </c>
      <c r="Z3" s="99"/>
    </row>
    <row r="4" spans="1:26" ht="16.5" thickTop="1" thickBot="1">
      <c r="A4" s="93">
        <v>600</v>
      </c>
      <c r="B4" s="91">
        <v>5</v>
      </c>
      <c r="C4" s="92">
        <f>A4*B4</f>
        <v>3000</v>
      </c>
      <c r="D4" s="93"/>
      <c r="E4" s="91"/>
      <c r="F4" s="92"/>
      <c r="G4" s="90">
        <v>600</v>
      </c>
      <c r="H4" s="91">
        <v>5</v>
      </c>
      <c r="I4" s="92">
        <f>G4*H4</f>
        <v>3000</v>
      </c>
      <c r="K4" s="96"/>
      <c r="L4" s="108">
        <v>400</v>
      </c>
      <c r="M4" s="107"/>
      <c r="N4" s="99"/>
      <c r="O4" s="96"/>
      <c r="P4" s="97"/>
      <c r="Q4" s="98">
        <v>3000</v>
      </c>
      <c r="R4" s="112"/>
      <c r="S4" s="96"/>
      <c r="T4" s="109"/>
      <c r="U4" s="126">
        <f>SUM(U2:U3)</f>
        <v>38400</v>
      </c>
      <c r="V4" s="112"/>
      <c r="W4" s="96"/>
      <c r="X4" s="109">
        <v>0</v>
      </c>
      <c r="Y4" s="110">
        <v>0</v>
      </c>
      <c r="Z4" s="99"/>
    </row>
    <row r="5" spans="1:26" ht="16.5" thickTop="1" thickBot="1">
      <c r="A5" s="200">
        <v>800</v>
      </c>
      <c r="B5" s="202">
        <v>6</v>
      </c>
      <c r="C5" s="204">
        <f>A5*B5</f>
        <v>4800</v>
      </c>
      <c r="D5" s="206"/>
      <c r="E5" s="208"/>
      <c r="F5" s="204"/>
      <c r="G5" s="206">
        <f>G4+A5</f>
        <v>1400</v>
      </c>
      <c r="H5" s="86" t="s">
        <v>142</v>
      </c>
      <c r="I5" s="204">
        <f>I4+C5</f>
        <v>7800</v>
      </c>
      <c r="K5" s="96"/>
      <c r="L5" s="108">
        <v>800</v>
      </c>
      <c r="M5" s="107"/>
      <c r="N5" s="99"/>
      <c r="O5" s="96"/>
      <c r="P5" s="97"/>
      <c r="Q5" s="98">
        <v>1800</v>
      </c>
      <c r="R5" s="112"/>
      <c r="S5" s="46"/>
      <c r="T5" s="123"/>
      <c r="U5" s="115"/>
      <c r="V5" s="98"/>
      <c r="W5" s="96"/>
      <c r="X5" s="125"/>
      <c r="Y5" s="116"/>
      <c r="Z5" s="99"/>
    </row>
    <row r="6" spans="1:26" ht="16.5" thickTop="1" thickBot="1">
      <c r="A6" s="201"/>
      <c r="B6" s="203"/>
      <c r="C6" s="205"/>
      <c r="D6" s="207"/>
      <c r="E6" s="209"/>
      <c r="F6" s="205"/>
      <c r="G6" s="207"/>
      <c r="H6" s="87" t="s">
        <v>143</v>
      </c>
      <c r="I6" s="205"/>
      <c r="K6" s="96"/>
      <c r="L6" s="113">
        <f>SUM(L2:L5)</f>
        <v>4800</v>
      </c>
      <c r="M6" s="110">
        <f>L6</f>
        <v>4800</v>
      </c>
      <c r="N6" s="112"/>
      <c r="O6" s="96"/>
      <c r="P6" s="105"/>
      <c r="Q6" s="106">
        <v>2400</v>
      </c>
      <c r="R6" s="112"/>
      <c r="S6" s="46"/>
      <c r="T6" s="123"/>
      <c r="U6" s="115"/>
      <c r="V6" s="98"/>
      <c r="W6" s="96"/>
      <c r="X6" s="116"/>
      <c r="Y6" s="116"/>
      <c r="Z6" s="99"/>
    </row>
    <row r="7" spans="1:26" ht="16.5" thickTop="1" thickBot="1">
      <c r="A7" s="200"/>
      <c r="B7" s="202"/>
      <c r="C7" s="204"/>
      <c r="D7" s="206">
        <v>400</v>
      </c>
      <c r="E7" s="208">
        <v>5</v>
      </c>
      <c r="F7" s="204">
        <f>D7*E7</f>
        <v>2000</v>
      </c>
      <c r="G7" s="206">
        <f>G5-D7</f>
        <v>1000</v>
      </c>
      <c r="H7" s="86" t="s">
        <v>144</v>
      </c>
      <c r="I7" s="204">
        <f>I5-F7</f>
        <v>5800</v>
      </c>
      <c r="K7" s="96"/>
      <c r="L7" s="123"/>
      <c r="M7" s="124"/>
      <c r="N7" s="112"/>
      <c r="O7" s="96"/>
      <c r="P7" s="109"/>
      <c r="Q7" s="126">
        <f>SUM(Q2:Q6)</f>
        <v>8800</v>
      </c>
      <c r="R7" s="112"/>
      <c r="S7" s="46"/>
      <c r="T7" s="123"/>
      <c r="U7" s="115"/>
      <c r="V7" s="98"/>
      <c r="W7" s="96"/>
      <c r="X7" s="116"/>
      <c r="Y7" s="116"/>
      <c r="Z7" s="112"/>
    </row>
    <row r="8" spans="1:26" ht="15.75" thickTop="1">
      <c r="A8" s="201"/>
      <c r="B8" s="203"/>
      <c r="C8" s="205"/>
      <c r="D8" s="207"/>
      <c r="E8" s="209"/>
      <c r="F8" s="205"/>
      <c r="G8" s="207"/>
      <c r="H8" s="87" t="s">
        <v>143</v>
      </c>
      <c r="I8" s="205"/>
      <c r="K8" s="96"/>
      <c r="L8" s="123"/>
      <c r="M8" s="124"/>
      <c r="N8" s="112"/>
      <c r="O8" s="96"/>
      <c r="P8" s="115"/>
      <c r="Q8" s="124"/>
      <c r="R8" s="99"/>
      <c r="S8" s="46"/>
      <c r="T8" s="123"/>
      <c r="U8" s="115"/>
      <c r="V8" s="98"/>
      <c r="W8" s="46"/>
      <c r="X8" s="47"/>
      <c r="Y8" s="47"/>
      <c r="Z8" s="112"/>
    </row>
    <row r="9" spans="1:26" ht="15.75" thickBot="1">
      <c r="A9" s="206"/>
      <c r="B9" s="202"/>
      <c r="C9" s="232"/>
      <c r="D9" s="206">
        <v>300</v>
      </c>
      <c r="E9" s="86" t="s">
        <v>144</v>
      </c>
      <c r="F9" s="232">
        <f>200*5+100*6</f>
        <v>1600</v>
      </c>
      <c r="G9" s="206">
        <f>G7-D9</f>
        <v>700</v>
      </c>
      <c r="H9" s="202">
        <v>6</v>
      </c>
      <c r="I9" s="232">
        <f>I7-F9</f>
        <v>4200</v>
      </c>
      <c r="K9" s="96"/>
      <c r="L9" s="231" t="s">
        <v>160</v>
      </c>
      <c r="M9" s="231"/>
      <c r="N9" s="99"/>
      <c r="O9" s="104"/>
      <c r="P9" s="231" t="s">
        <v>162</v>
      </c>
      <c r="Q9" s="231"/>
      <c r="R9" s="99"/>
      <c r="S9" s="120"/>
      <c r="T9" s="231" t="s">
        <v>163</v>
      </c>
      <c r="U9" s="231"/>
      <c r="V9" s="98"/>
      <c r="W9" s="117"/>
      <c r="X9" s="231" t="s">
        <v>161</v>
      </c>
      <c r="Y9" s="231"/>
      <c r="Z9" s="118"/>
    </row>
    <row r="10" spans="1:26" ht="16.5" thickTop="1" thickBot="1">
      <c r="A10" s="216"/>
      <c r="B10" s="214"/>
      <c r="C10" s="233"/>
      <c r="D10" s="216"/>
      <c r="E10" s="88" t="s">
        <v>145</v>
      </c>
      <c r="F10" s="233"/>
      <c r="G10" s="216"/>
      <c r="H10" s="214"/>
      <c r="I10" s="233"/>
      <c r="K10" s="96"/>
      <c r="L10" s="108">
        <v>1200</v>
      </c>
      <c r="M10" s="119"/>
      <c r="N10" s="99"/>
      <c r="O10" s="96"/>
      <c r="P10" s="121">
        <v>300</v>
      </c>
      <c r="Q10" s="107"/>
      <c r="T10" s="121">
        <v>3600</v>
      </c>
      <c r="U10" s="107"/>
      <c r="V10" s="98"/>
      <c r="W10" s="117"/>
      <c r="X10" s="108">
        <v>1600</v>
      </c>
      <c r="Y10" s="102">
        <v>400</v>
      </c>
      <c r="Z10" s="118"/>
    </row>
    <row r="11" spans="1:26" ht="16.5" thickTop="1" thickBot="1">
      <c r="K11" s="96"/>
      <c r="L11" s="113">
        <f>SUM(L10:L10)</f>
        <v>1200</v>
      </c>
      <c r="M11" s="114"/>
      <c r="N11" s="122"/>
      <c r="P11" s="113">
        <f>SUM(P10:P10)</f>
        <v>300</v>
      </c>
      <c r="Q11" s="114"/>
      <c r="T11" s="113">
        <f>SUM(T10:T10)</f>
        <v>3600</v>
      </c>
      <c r="U11" s="114"/>
      <c r="V11" s="98"/>
      <c r="W11" s="117"/>
      <c r="X11" s="105"/>
      <c r="Y11" s="107">
        <v>1200</v>
      </c>
      <c r="Z11" s="118"/>
    </row>
    <row r="12" spans="1:26" ht="16.5" thickTop="1" thickBot="1">
      <c r="A12" s="210" t="s">
        <v>146</v>
      </c>
      <c r="B12" s="211"/>
      <c r="C12" s="211"/>
      <c r="D12" s="211"/>
      <c r="E12" s="211"/>
      <c r="F12" s="211"/>
      <c r="G12" s="211"/>
      <c r="H12" s="211"/>
      <c r="I12" s="212"/>
      <c r="K12" s="80"/>
      <c r="X12" s="109">
        <v>0</v>
      </c>
      <c r="Y12" s="110">
        <v>0</v>
      </c>
      <c r="Z12" s="118"/>
    </row>
    <row r="13" spans="1:26" ht="15.75" thickBot="1">
      <c r="A13" s="197" t="s">
        <v>138</v>
      </c>
      <c r="B13" s="198"/>
      <c r="C13" s="199"/>
      <c r="D13" s="197" t="s">
        <v>139</v>
      </c>
      <c r="E13" s="198"/>
      <c r="F13" s="199"/>
      <c r="G13" s="197" t="s">
        <v>5</v>
      </c>
      <c r="H13" s="198"/>
      <c r="I13" s="199"/>
      <c r="K13" s="100"/>
    </row>
    <row r="14" spans="1:26" ht="15.75" thickBot="1">
      <c r="A14" s="2" t="s">
        <v>0</v>
      </c>
      <c r="B14" s="3" t="s">
        <v>1</v>
      </c>
      <c r="C14" s="4" t="s">
        <v>2</v>
      </c>
      <c r="D14" s="2" t="s">
        <v>0</v>
      </c>
      <c r="E14" s="3" t="s">
        <v>1</v>
      </c>
      <c r="F14" s="4" t="s">
        <v>2</v>
      </c>
      <c r="G14" s="2" t="s">
        <v>0</v>
      </c>
      <c r="H14" s="3" t="s">
        <v>1</v>
      </c>
      <c r="I14" s="4" t="s">
        <v>2</v>
      </c>
      <c r="K14" s="80"/>
      <c r="L14" s="231" t="s">
        <v>134</v>
      </c>
      <c r="M14" s="231"/>
      <c r="N14" s="95"/>
      <c r="O14" s="94"/>
      <c r="P14" s="231" t="s">
        <v>135</v>
      </c>
      <c r="Q14" s="231"/>
      <c r="R14" s="95"/>
      <c r="S14" s="94"/>
      <c r="T14" s="231" t="s">
        <v>136</v>
      </c>
      <c r="U14" s="231"/>
      <c r="V14" s="95"/>
      <c r="W14" s="94"/>
      <c r="X14" s="231" t="s">
        <v>156</v>
      </c>
      <c r="Y14" s="231"/>
    </row>
    <row r="15" spans="1:26" ht="16.5" thickTop="1" thickBot="1">
      <c r="A15" s="93">
        <v>100</v>
      </c>
      <c r="B15" s="91">
        <v>20</v>
      </c>
      <c r="C15" s="92">
        <f>A15*B15</f>
        <v>2000</v>
      </c>
      <c r="D15" s="93"/>
      <c r="E15" s="91"/>
      <c r="F15" s="92"/>
      <c r="G15" s="90">
        <v>100</v>
      </c>
      <c r="H15" s="91">
        <v>20</v>
      </c>
      <c r="I15" s="92">
        <f>G15*H15</f>
        <v>2000</v>
      </c>
      <c r="L15" s="108">
        <v>1400</v>
      </c>
      <c r="M15" s="102"/>
      <c r="N15" s="103"/>
      <c r="O15" s="104"/>
      <c r="P15" s="108">
        <v>1600</v>
      </c>
      <c r="Q15" s="98"/>
      <c r="R15" s="103"/>
      <c r="S15" s="104"/>
      <c r="T15" s="108">
        <v>2580</v>
      </c>
      <c r="U15" s="98"/>
      <c r="V15" s="99"/>
      <c r="W15" s="104"/>
      <c r="X15" s="121">
        <v>7040</v>
      </c>
      <c r="Y15" s="107"/>
    </row>
    <row r="16" spans="1:26" ht="16.5" thickTop="1" thickBot="1">
      <c r="A16" s="200">
        <v>200</v>
      </c>
      <c r="B16" s="202">
        <v>22</v>
      </c>
      <c r="C16" s="204">
        <f>A16*B16</f>
        <v>4400</v>
      </c>
      <c r="D16" s="206"/>
      <c r="E16" s="208"/>
      <c r="F16" s="204"/>
      <c r="G16" s="206">
        <f>G15+A16</f>
        <v>300</v>
      </c>
      <c r="H16" s="86" t="s">
        <v>149</v>
      </c>
      <c r="I16" s="204">
        <f>I15+C16</f>
        <v>6400</v>
      </c>
      <c r="L16" s="108">
        <v>2000</v>
      </c>
      <c r="M16" s="107"/>
      <c r="N16" s="99"/>
      <c r="O16" s="96"/>
      <c r="P16" s="108">
        <v>1200</v>
      </c>
      <c r="Q16" s="98"/>
      <c r="R16" s="99"/>
      <c r="S16" s="96"/>
      <c r="T16" s="108">
        <v>1200</v>
      </c>
      <c r="U16" s="98"/>
      <c r="V16" s="112"/>
      <c r="W16" s="96"/>
      <c r="X16" s="113">
        <f>X15</f>
        <v>7040</v>
      </c>
      <c r="Y16" s="110"/>
    </row>
    <row r="17" spans="1:25" ht="16.5" thickTop="1" thickBot="1">
      <c r="A17" s="201"/>
      <c r="B17" s="203"/>
      <c r="C17" s="205"/>
      <c r="D17" s="207"/>
      <c r="E17" s="209"/>
      <c r="F17" s="205"/>
      <c r="G17" s="207"/>
      <c r="H17" s="87" t="s">
        <v>150</v>
      </c>
      <c r="I17" s="205"/>
      <c r="L17" s="108">
        <v>3000</v>
      </c>
      <c r="M17" s="107"/>
      <c r="N17" s="99"/>
      <c r="O17" s="96"/>
      <c r="P17" s="108">
        <v>1800</v>
      </c>
      <c r="Q17" s="107"/>
      <c r="R17" s="112"/>
      <c r="S17" s="96"/>
      <c r="T17" s="108">
        <v>2400</v>
      </c>
      <c r="U17" s="107"/>
      <c r="V17" s="112"/>
      <c r="W17" s="96"/>
      <c r="X17" s="125"/>
      <c r="Y17" s="116"/>
    </row>
    <row r="18" spans="1:25" ht="16.5" thickTop="1" thickBot="1">
      <c r="A18" s="200"/>
      <c r="B18" s="202"/>
      <c r="C18" s="204"/>
      <c r="D18" s="206">
        <v>70</v>
      </c>
      <c r="E18" s="208">
        <v>20</v>
      </c>
      <c r="F18" s="204">
        <f>D18*E18</f>
        <v>1400</v>
      </c>
      <c r="G18" s="206">
        <f>G16-D18</f>
        <v>230</v>
      </c>
      <c r="H18" s="86" t="s">
        <v>147</v>
      </c>
      <c r="I18" s="204">
        <f>I16-F18</f>
        <v>5000</v>
      </c>
      <c r="L18" s="113">
        <f>SUM(L15:L17)</f>
        <v>6400</v>
      </c>
      <c r="M18" s="110">
        <f>L18</f>
        <v>6400</v>
      </c>
      <c r="N18" s="99"/>
      <c r="O18" s="96"/>
      <c r="P18" s="113">
        <f>SUM(P15:P17)</f>
        <v>4600</v>
      </c>
      <c r="Q18" s="110"/>
      <c r="R18" s="112"/>
      <c r="S18" s="46"/>
      <c r="T18" s="113">
        <f>SUM(T15:T17)</f>
        <v>6180</v>
      </c>
      <c r="U18" s="110"/>
      <c r="V18" s="98"/>
      <c r="W18" s="96"/>
      <c r="X18" s="116"/>
      <c r="Y18" s="116"/>
    </row>
    <row r="19" spans="1:25" ht="15.75" thickTop="1">
      <c r="A19" s="201"/>
      <c r="B19" s="203"/>
      <c r="C19" s="205"/>
      <c r="D19" s="207"/>
      <c r="E19" s="209"/>
      <c r="F19" s="205"/>
      <c r="G19" s="207"/>
      <c r="H19" s="87" t="s">
        <v>150</v>
      </c>
      <c r="I19" s="205"/>
      <c r="L19" s="123"/>
      <c r="M19" s="124"/>
      <c r="N19" s="112"/>
      <c r="O19" s="96"/>
      <c r="R19" s="112"/>
      <c r="S19" s="46"/>
      <c r="T19" s="123"/>
      <c r="U19" s="115"/>
      <c r="V19" s="98"/>
      <c r="W19" s="96"/>
      <c r="X19" s="116"/>
      <c r="Y19" s="116"/>
    </row>
    <row r="20" spans="1:25" ht="15.75" thickBot="1">
      <c r="A20" s="206"/>
      <c r="B20" s="202"/>
      <c r="C20" s="232"/>
      <c r="D20" s="206">
        <v>120</v>
      </c>
      <c r="E20" s="86" t="s">
        <v>147</v>
      </c>
      <c r="F20" s="232">
        <f>30*20+90*22</f>
        <v>2580</v>
      </c>
      <c r="G20" s="206">
        <f>G18-D20</f>
        <v>110</v>
      </c>
      <c r="H20" s="202">
        <v>22</v>
      </c>
      <c r="I20" s="232">
        <f>I18-F20</f>
        <v>2420</v>
      </c>
      <c r="L20" s="231" t="s">
        <v>164</v>
      </c>
      <c r="M20" s="231"/>
      <c r="N20" s="95"/>
      <c r="O20" s="94"/>
      <c r="P20" s="231" t="s">
        <v>165</v>
      </c>
      <c r="Q20" s="231"/>
      <c r="R20" s="95"/>
      <c r="S20" s="94"/>
      <c r="T20" s="231" t="s">
        <v>155</v>
      </c>
      <c r="U20" s="231"/>
      <c r="V20" s="98"/>
      <c r="W20" s="96"/>
    </row>
    <row r="21" spans="1:25" ht="16.5" thickTop="1" thickBot="1">
      <c r="A21" s="216"/>
      <c r="B21" s="214"/>
      <c r="C21" s="233"/>
      <c r="D21" s="216"/>
      <c r="E21" s="88" t="s">
        <v>148</v>
      </c>
      <c r="F21" s="233"/>
      <c r="G21" s="216"/>
      <c r="H21" s="214"/>
      <c r="I21" s="233"/>
      <c r="L21" s="108"/>
      <c r="M21" s="102">
        <v>7040</v>
      </c>
      <c r="N21" s="103"/>
      <c r="O21" s="104"/>
      <c r="P21" s="108">
        <v>6400</v>
      </c>
      <c r="Q21" s="98"/>
      <c r="R21" s="103"/>
      <c r="S21" s="104"/>
      <c r="T21" s="108">
        <v>7980</v>
      </c>
      <c r="U21" s="98"/>
    </row>
    <row r="22" spans="1:25" ht="15.75" thickBot="1">
      <c r="L22" s="108"/>
      <c r="M22" s="107">
        <v>7980</v>
      </c>
      <c r="N22" s="99"/>
      <c r="O22" s="96"/>
      <c r="P22" s="108">
        <v>5700</v>
      </c>
      <c r="Q22" s="98"/>
      <c r="R22" s="99"/>
      <c r="S22" s="96"/>
      <c r="T22" s="108">
        <v>7000</v>
      </c>
      <c r="U22" s="107"/>
    </row>
    <row r="23" spans="1:25" ht="16.5" thickTop="1" thickBot="1">
      <c r="A23" s="210" t="s">
        <v>151</v>
      </c>
      <c r="B23" s="211"/>
      <c r="C23" s="211"/>
      <c r="D23" s="211"/>
      <c r="E23" s="211"/>
      <c r="F23" s="211"/>
      <c r="G23" s="211"/>
      <c r="H23" s="211"/>
      <c r="I23" s="212"/>
      <c r="L23" s="108"/>
      <c r="M23" s="107">
        <v>7000</v>
      </c>
      <c r="N23" s="99"/>
      <c r="O23" s="96"/>
      <c r="P23" s="108">
        <v>5000</v>
      </c>
      <c r="Q23" s="107"/>
      <c r="R23" s="112"/>
      <c r="S23" s="96"/>
      <c r="T23" s="113">
        <f>SUM(T21:T22)</f>
        <v>14980</v>
      </c>
      <c r="U23" s="110"/>
    </row>
    <row r="24" spans="1:25" ht="16.5" thickTop="1" thickBot="1">
      <c r="A24" s="197" t="s">
        <v>138</v>
      </c>
      <c r="B24" s="198"/>
      <c r="C24" s="199"/>
      <c r="D24" s="197" t="s">
        <v>139</v>
      </c>
      <c r="E24" s="198"/>
      <c r="F24" s="199"/>
      <c r="G24" s="197" t="s">
        <v>5</v>
      </c>
      <c r="H24" s="198"/>
      <c r="I24" s="199"/>
      <c r="M24" s="113">
        <f>SUM(M21:M23)</f>
        <v>22020</v>
      </c>
      <c r="N24" s="99"/>
      <c r="O24" s="96"/>
      <c r="P24" s="113">
        <f>SUM(P21:P23)</f>
        <v>17100</v>
      </c>
      <c r="Q24" s="110"/>
      <c r="R24" s="112"/>
      <c r="S24" s="46"/>
    </row>
    <row r="25" spans="1:25">
      <c r="A25" s="2" t="s">
        <v>0</v>
      </c>
      <c r="B25" s="3" t="s">
        <v>1</v>
      </c>
      <c r="C25" s="4" t="s">
        <v>2</v>
      </c>
      <c r="D25" s="2" t="s">
        <v>0</v>
      </c>
      <c r="E25" s="3" t="s">
        <v>1</v>
      </c>
      <c r="F25" s="4" t="s">
        <v>2</v>
      </c>
      <c r="G25" s="2" t="s">
        <v>0</v>
      </c>
      <c r="H25" s="3" t="s">
        <v>1</v>
      </c>
      <c r="I25" s="4" t="s">
        <v>2</v>
      </c>
    </row>
    <row r="26" spans="1:25">
      <c r="A26" s="93">
        <v>15</v>
      </c>
      <c r="B26" s="91">
        <v>220</v>
      </c>
      <c r="C26" s="92">
        <f>A26*B26</f>
        <v>3300</v>
      </c>
      <c r="D26" s="93"/>
      <c r="E26" s="91"/>
      <c r="F26" s="92"/>
      <c r="G26" s="90">
        <v>15</v>
      </c>
      <c r="H26" s="91">
        <v>220</v>
      </c>
      <c r="I26" s="92">
        <f>G26*H26</f>
        <v>3300</v>
      </c>
    </row>
    <row r="27" spans="1:25">
      <c r="A27" s="200">
        <v>20</v>
      </c>
      <c r="B27" s="202">
        <v>240</v>
      </c>
      <c r="C27" s="204">
        <f>A27*B27</f>
        <v>4800</v>
      </c>
      <c r="D27" s="206"/>
      <c r="E27" s="208"/>
      <c r="F27" s="204"/>
      <c r="G27" s="206">
        <f>G26+A27</f>
        <v>35</v>
      </c>
      <c r="H27" s="86" t="s">
        <v>149</v>
      </c>
      <c r="I27" s="204">
        <f>I26+C27</f>
        <v>8100</v>
      </c>
    </row>
    <row r="28" spans="1:25">
      <c r="A28" s="201"/>
      <c r="B28" s="203"/>
      <c r="C28" s="205"/>
      <c r="D28" s="207"/>
      <c r="E28" s="209"/>
      <c r="F28" s="205"/>
      <c r="G28" s="207"/>
      <c r="H28" s="87" t="s">
        <v>150</v>
      </c>
      <c r="I28" s="205"/>
    </row>
    <row r="29" spans="1:25">
      <c r="A29" s="206"/>
      <c r="B29" s="202"/>
      <c r="C29" s="232"/>
      <c r="D29" s="206">
        <v>25</v>
      </c>
      <c r="E29" s="86" t="s">
        <v>152</v>
      </c>
      <c r="F29" s="232">
        <f>15*220+10*240</f>
        <v>5700</v>
      </c>
      <c r="G29" s="206">
        <f>G27-D29</f>
        <v>10</v>
      </c>
      <c r="H29" s="202">
        <v>240</v>
      </c>
      <c r="I29" s="232">
        <f>I27-F29</f>
        <v>2400</v>
      </c>
    </row>
    <row r="30" spans="1:25" ht="15.75" thickBot="1">
      <c r="A30" s="216"/>
      <c r="B30" s="214"/>
      <c r="C30" s="233"/>
      <c r="D30" s="216"/>
      <c r="E30" s="88" t="s">
        <v>153</v>
      </c>
      <c r="F30" s="233"/>
      <c r="G30" s="216"/>
      <c r="H30" s="214"/>
      <c r="I30" s="233"/>
    </row>
    <row r="31" spans="1:25" ht="15.75" thickBot="1"/>
    <row r="32" spans="1:25" ht="15.75" thickBot="1">
      <c r="A32" s="210" t="s">
        <v>154</v>
      </c>
      <c r="B32" s="211"/>
      <c r="C32" s="211"/>
      <c r="D32" s="211"/>
      <c r="E32" s="211"/>
      <c r="F32" s="211"/>
      <c r="G32" s="211"/>
      <c r="H32" s="211"/>
      <c r="I32" s="212"/>
    </row>
    <row r="33" spans="1:9" ht="15.75" thickBot="1">
      <c r="A33" s="197" t="s">
        <v>138</v>
      </c>
      <c r="B33" s="198"/>
      <c r="C33" s="199"/>
      <c r="D33" s="197" t="s">
        <v>139</v>
      </c>
      <c r="E33" s="198"/>
      <c r="F33" s="199"/>
      <c r="G33" s="197" t="s">
        <v>5</v>
      </c>
      <c r="H33" s="198"/>
      <c r="I33" s="199"/>
    </row>
    <row r="34" spans="1:9">
      <c r="A34" s="2" t="s">
        <v>0</v>
      </c>
      <c r="B34" s="3" t="s">
        <v>1</v>
      </c>
      <c r="C34" s="4" t="s">
        <v>2</v>
      </c>
      <c r="D34" s="2" t="s">
        <v>0</v>
      </c>
      <c r="E34" s="3" t="s">
        <v>1</v>
      </c>
      <c r="F34" s="4" t="s">
        <v>2</v>
      </c>
      <c r="G34" s="2" t="s">
        <v>0</v>
      </c>
      <c r="H34" s="3" t="s">
        <v>1</v>
      </c>
      <c r="I34" s="4" t="s">
        <v>2</v>
      </c>
    </row>
    <row r="35" spans="1:9">
      <c r="A35" s="93">
        <v>15</v>
      </c>
      <c r="B35" s="91">
        <v>500</v>
      </c>
      <c r="C35" s="92">
        <f>A35*B35</f>
        <v>7500</v>
      </c>
      <c r="D35" s="93"/>
      <c r="E35" s="91"/>
      <c r="F35" s="92"/>
      <c r="G35" s="90">
        <v>15</v>
      </c>
      <c r="H35" s="91">
        <v>500</v>
      </c>
      <c r="I35" s="92">
        <f>G35*H35</f>
        <v>7500</v>
      </c>
    </row>
    <row r="36" spans="1:9">
      <c r="A36" s="206"/>
      <c r="B36" s="202"/>
      <c r="C36" s="232"/>
      <c r="D36" s="206">
        <v>10</v>
      </c>
      <c r="E36" s="202">
        <v>500</v>
      </c>
      <c r="F36" s="232">
        <f>D36*E36</f>
        <v>5000</v>
      </c>
      <c r="G36" s="206">
        <f>G35-D36</f>
        <v>5</v>
      </c>
      <c r="H36" s="202">
        <v>500</v>
      </c>
      <c r="I36" s="232">
        <f>I35-F36</f>
        <v>2500</v>
      </c>
    </row>
    <row r="37" spans="1:9" ht="15.75" thickBot="1">
      <c r="A37" s="216"/>
      <c r="B37" s="214"/>
      <c r="C37" s="233"/>
      <c r="D37" s="216"/>
      <c r="E37" s="214"/>
      <c r="F37" s="233"/>
      <c r="G37" s="216"/>
      <c r="H37" s="214"/>
      <c r="I37" s="233"/>
    </row>
  </sheetData>
  <mergeCells count="104">
    <mergeCell ref="A1:I1"/>
    <mergeCell ref="A2:C2"/>
    <mergeCell ref="D2:F2"/>
    <mergeCell ref="G2:I2"/>
    <mergeCell ref="A5:A6"/>
    <mergeCell ref="B5:B6"/>
    <mergeCell ref="C5:C6"/>
    <mergeCell ref="D5:D6"/>
    <mergeCell ref="E5:E6"/>
    <mergeCell ref="F5:F6"/>
    <mergeCell ref="G5:G6"/>
    <mergeCell ref="I5:I6"/>
    <mergeCell ref="A7:A8"/>
    <mergeCell ref="B7:B8"/>
    <mergeCell ref="C7:C8"/>
    <mergeCell ref="D7:D8"/>
    <mergeCell ref="E7:E8"/>
    <mergeCell ref="F7:F8"/>
    <mergeCell ref="G7:G8"/>
    <mergeCell ref="I7:I8"/>
    <mergeCell ref="I16:I17"/>
    <mergeCell ref="H9:H10"/>
    <mergeCell ref="A12:I12"/>
    <mergeCell ref="A13:C13"/>
    <mergeCell ref="D13:F13"/>
    <mergeCell ref="G13:I13"/>
    <mergeCell ref="A16:A17"/>
    <mergeCell ref="B16:B17"/>
    <mergeCell ref="C16:C17"/>
    <mergeCell ref="D16:D17"/>
    <mergeCell ref="E16:E17"/>
    <mergeCell ref="F16:F17"/>
    <mergeCell ref="G16:G17"/>
    <mergeCell ref="G9:G10"/>
    <mergeCell ref="I9:I10"/>
    <mergeCell ref="A9:A10"/>
    <mergeCell ref="B9:B10"/>
    <mergeCell ref="C9:C10"/>
    <mergeCell ref="D9:D10"/>
    <mergeCell ref="F9:F10"/>
    <mergeCell ref="G18:G19"/>
    <mergeCell ref="I18:I19"/>
    <mergeCell ref="A20:A21"/>
    <mergeCell ref="B20:B21"/>
    <mergeCell ref="C20:C21"/>
    <mergeCell ref="D20:D21"/>
    <mergeCell ref="F20:F21"/>
    <mergeCell ref="G20:G21"/>
    <mergeCell ref="H20:H21"/>
    <mergeCell ref="I20:I21"/>
    <mergeCell ref="A18:A19"/>
    <mergeCell ref="B18:B19"/>
    <mergeCell ref="C18:C19"/>
    <mergeCell ref="D18:D19"/>
    <mergeCell ref="E18:E19"/>
    <mergeCell ref="F18:F19"/>
    <mergeCell ref="G27:G28"/>
    <mergeCell ref="I27:I28"/>
    <mergeCell ref="A23:I23"/>
    <mergeCell ref="A24:C24"/>
    <mergeCell ref="D24:F24"/>
    <mergeCell ref="G24:I24"/>
    <mergeCell ref="A27:A28"/>
    <mergeCell ref="B27:B28"/>
    <mergeCell ref="C27:C28"/>
    <mergeCell ref="D27:D28"/>
    <mergeCell ref="E27:E28"/>
    <mergeCell ref="F27:F28"/>
    <mergeCell ref="H29:H30"/>
    <mergeCell ref="I29:I30"/>
    <mergeCell ref="A32:I32"/>
    <mergeCell ref="A33:C33"/>
    <mergeCell ref="D33:F33"/>
    <mergeCell ref="G33:I33"/>
    <mergeCell ref="A29:A30"/>
    <mergeCell ref="B29:B30"/>
    <mergeCell ref="C29:C30"/>
    <mergeCell ref="D29:D30"/>
    <mergeCell ref="F29:F30"/>
    <mergeCell ref="G29:G30"/>
    <mergeCell ref="A36:A37"/>
    <mergeCell ref="B36:B37"/>
    <mergeCell ref="C36:C37"/>
    <mergeCell ref="D36:D37"/>
    <mergeCell ref="F36:F37"/>
    <mergeCell ref="G36:G37"/>
    <mergeCell ref="H36:H37"/>
    <mergeCell ref="I36:I37"/>
    <mergeCell ref="E36:E37"/>
    <mergeCell ref="P14:Q14"/>
    <mergeCell ref="T14:U14"/>
    <mergeCell ref="X14:Y14"/>
    <mergeCell ref="L20:M20"/>
    <mergeCell ref="P20:Q20"/>
    <mergeCell ref="T20:U20"/>
    <mergeCell ref="L1:M1"/>
    <mergeCell ref="P1:Q1"/>
    <mergeCell ref="T1:U1"/>
    <mergeCell ref="X1:Y1"/>
    <mergeCell ref="L9:M9"/>
    <mergeCell ref="P9:Q9"/>
    <mergeCell ref="T9:U9"/>
    <mergeCell ref="X9:Y9"/>
    <mergeCell ref="L14:M14"/>
  </mergeCells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/>
  </sheetViews>
  <sheetFormatPr baseColWidth="10" defaultRowHeight="15"/>
  <cols>
    <col min="1" max="1" width="38.140625" customWidth="1"/>
    <col min="2" max="7" width="11.42578125" customWidth="1"/>
  </cols>
  <sheetData>
    <row r="1" spans="1:8" ht="15.75" thickBot="1">
      <c r="A1" s="167"/>
      <c r="B1" s="182" t="s">
        <v>199</v>
      </c>
      <c r="C1" s="183"/>
      <c r="D1" s="182" t="s">
        <v>198</v>
      </c>
      <c r="E1" s="183"/>
      <c r="F1" s="182" t="s">
        <v>121</v>
      </c>
      <c r="G1" s="183"/>
      <c r="H1" s="1"/>
    </row>
    <row r="2" spans="1:8">
      <c r="A2" s="158" t="s">
        <v>197</v>
      </c>
      <c r="B2" s="166">
        <v>37000</v>
      </c>
      <c r="C2" s="165">
        <v>836000</v>
      </c>
      <c r="D2" s="166">
        <v>31200</v>
      </c>
      <c r="E2" s="165">
        <v>987000</v>
      </c>
      <c r="F2" s="166">
        <f>B2+D2</f>
        <v>68200</v>
      </c>
      <c r="G2" s="165">
        <f>C2+E2</f>
        <v>1823000</v>
      </c>
      <c r="H2" s="1"/>
    </row>
    <row r="3" spans="1:8">
      <c r="A3" s="158" t="s">
        <v>196</v>
      </c>
      <c r="B3" s="163">
        <v>8500</v>
      </c>
      <c r="C3" s="162">
        <v>310000</v>
      </c>
      <c r="D3" s="163">
        <f>C20</f>
        <v>6800</v>
      </c>
      <c r="E3" s="162">
        <v>397000</v>
      </c>
      <c r="F3" s="163">
        <f>B3+D3</f>
        <v>15300</v>
      </c>
      <c r="G3" s="162">
        <f>C3+E3</f>
        <v>707000</v>
      </c>
      <c r="H3" s="1"/>
    </row>
    <row r="4" spans="1:8">
      <c r="A4" s="158" t="s">
        <v>195</v>
      </c>
      <c r="B4" s="164">
        <v>1</v>
      </c>
      <c r="C4" s="162"/>
      <c r="D4" s="164">
        <v>0.8</v>
      </c>
      <c r="E4" s="162"/>
      <c r="F4" s="163"/>
      <c r="G4" s="162"/>
      <c r="H4" s="1"/>
    </row>
    <row r="5" spans="1:8">
      <c r="A5" s="158" t="s">
        <v>55</v>
      </c>
      <c r="B5" s="163">
        <v>12500</v>
      </c>
      <c r="C5" s="162">
        <f>C36</f>
        <v>282432.43243243243</v>
      </c>
      <c r="D5" s="163">
        <f>C18</f>
        <v>5000</v>
      </c>
      <c r="E5" s="162">
        <f>E36</f>
        <v>158173.07692307691</v>
      </c>
      <c r="F5" s="163">
        <f>B5+D5</f>
        <v>17500</v>
      </c>
      <c r="G5" s="162">
        <f>C5+E5</f>
        <v>440605.5093555093</v>
      </c>
      <c r="H5" s="1"/>
    </row>
    <row r="6" spans="1:8" ht="15.75" thickBot="1">
      <c r="A6" s="158" t="s">
        <v>194</v>
      </c>
      <c r="B6" s="161">
        <v>1</v>
      </c>
      <c r="C6" s="159"/>
      <c r="D6" s="161">
        <v>0.4</v>
      </c>
      <c r="E6" s="159"/>
      <c r="F6" s="160"/>
      <c r="G6" s="159"/>
      <c r="H6" s="1"/>
    </row>
    <row r="7" spans="1:8">
      <c r="A7" s="158"/>
      <c r="B7" s="157"/>
      <c r="C7" s="155"/>
      <c r="D7" s="157"/>
      <c r="E7" s="155"/>
      <c r="F7" s="156"/>
      <c r="G7" s="155"/>
      <c r="H7" s="1"/>
    </row>
    <row r="8" spans="1:8">
      <c r="A8" s="154" t="s">
        <v>193</v>
      </c>
      <c r="B8" s="152"/>
      <c r="C8" s="151"/>
      <c r="D8" s="152"/>
      <c r="E8" s="151"/>
      <c r="F8" s="152"/>
      <c r="G8" s="151"/>
      <c r="H8" s="1"/>
    </row>
    <row r="9" spans="1:8">
      <c r="A9" s="129" t="s">
        <v>192</v>
      </c>
      <c r="B9" s="145">
        <f>B2</f>
        <v>37000</v>
      </c>
      <c r="C9" s="150"/>
      <c r="D9" s="150"/>
      <c r="E9" s="150"/>
      <c r="F9" s="152"/>
      <c r="G9" s="151"/>
      <c r="H9" s="1"/>
    </row>
    <row r="10" spans="1:8" ht="15.75" thickBot="1">
      <c r="A10" s="137" t="s">
        <v>191</v>
      </c>
      <c r="B10" s="143">
        <f>B3</f>
        <v>8500</v>
      </c>
      <c r="C10" s="150"/>
      <c r="D10" s="150"/>
      <c r="E10" s="150"/>
      <c r="F10" s="152"/>
      <c r="G10" s="151"/>
      <c r="H10" s="1"/>
    </row>
    <row r="11" spans="1:8">
      <c r="A11" s="153" t="s">
        <v>190</v>
      </c>
      <c r="B11" s="145">
        <f>B9+B10</f>
        <v>45500</v>
      </c>
      <c r="C11" s="150"/>
      <c r="D11" s="150"/>
      <c r="E11" s="150"/>
      <c r="F11" s="152"/>
      <c r="G11" s="151"/>
      <c r="H11" s="1"/>
    </row>
    <row r="12" spans="1:8" ht="15.75" thickBot="1">
      <c r="A12" s="132" t="s">
        <v>189</v>
      </c>
      <c r="B12" s="143">
        <f>B5</f>
        <v>12500</v>
      </c>
      <c r="C12" s="150"/>
      <c r="D12" s="150"/>
      <c r="E12" s="150"/>
      <c r="F12" s="152"/>
      <c r="G12" s="151"/>
      <c r="H12" s="1"/>
    </row>
    <row r="13" spans="1:8">
      <c r="A13" s="129" t="s">
        <v>188</v>
      </c>
      <c r="B13" s="145">
        <f>B11-B12</f>
        <v>33000</v>
      </c>
      <c r="C13" s="150"/>
      <c r="D13" s="150"/>
      <c r="E13" s="150"/>
      <c r="F13" s="152"/>
      <c r="G13" s="151"/>
      <c r="H13" s="1"/>
    </row>
    <row r="14" spans="1:8">
      <c r="A14" s="129"/>
      <c r="B14" s="148"/>
      <c r="C14" s="150"/>
      <c r="D14" s="150"/>
      <c r="E14" s="150"/>
      <c r="F14" s="152"/>
      <c r="G14" s="151"/>
      <c r="H14" s="1"/>
    </row>
    <row r="15" spans="1:8">
      <c r="A15" s="139" t="s">
        <v>187</v>
      </c>
      <c r="B15" s="148"/>
      <c r="C15" s="150"/>
      <c r="D15" s="150"/>
      <c r="E15" s="150"/>
      <c r="F15" s="152"/>
      <c r="G15" s="151"/>
      <c r="H15" s="1"/>
    </row>
    <row r="16" spans="1:8">
      <c r="A16" s="139" t="s">
        <v>186</v>
      </c>
      <c r="B16" s="147" t="s">
        <v>172</v>
      </c>
      <c r="C16" s="146" t="s">
        <v>171</v>
      </c>
      <c r="D16" s="150"/>
      <c r="E16" s="150"/>
      <c r="F16" s="149"/>
      <c r="G16" s="151"/>
      <c r="H16" s="1"/>
    </row>
    <row r="17" spans="1:8">
      <c r="A17" s="129" t="s">
        <v>185</v>
      </c>
      <c r="B17" s="142">
        <f>B13</f>
        <v>33000</v>
      </c>
      <c r="C17" s="145">
        <f>B13</f>
        <v>33000</v>
      </c>
      <c r="D17" s="150"/>
      <c r="E17" s="150"/>
      <c r="F17" s="149"/>
      <c r="G17" s="151"/>
      <c r="H17" s="1"/>
    </row>
    <row r="18" spans="1:8" ht="15.75" thickBot="1">
      <c r="A18" s="137" t="s">
        <v>184</v>
      </c>
      <c r="B18" s="144">
        <f>B5*B6</f>
        <v>12500</v>
      </c>
      <c r="C18" s="143">
        <f>B5*D6</f>
        <v>5000</v>
      </c>
      <c r="D18" s="150"/>
      <c r="E18" s="150"/>
      <c r="F18" s="149"/>
      <c r="G18" s="151"/>
      <c r="H18" s="1"/>
    </row>
    <row r="19" spans="1:8">
      <c r="A19" s="129" t="s">
        <v>168</v>
      </c>
      <c r="B19" s="142">
        <f>B17+B18</f>
        <v>45500</v>
      </c>
      <c r="C19" s="145">
        <f>C17+C18</f>
        <v>38000</v>
      </c>
      <c r="D19" s="150"/>
      <c r="E19" s="150"/>
      <c r="F19" s="149"/>
      <c r="G19" s="149"/>
      <c r="H19" s="1"/>
    </row>
    <row r="20" spans="1:8" ht="15.75" thickBot="1">
      <c r="A20" s="132" t="s">
        <v>183</v>
      </c>
      <c r="B20" s="144">
        <f>B3*B4</f>
        <v>8500</v>
      </c>
      <c r="C20" s="143">
        <f>B3*D4</f>
        <v>6800</v>
      </c>
      <c r="D20" s="150"/>
      <c r="E20" s="150"/>
      <c r="F20" s="149"/>
      <c r="G20" s="149"/>
      <c r="H20" s="1"/>
    </row>
    <row r="21" spans="1:8">
      <c r="A21" s="129" t="s">
        <v>182</v>
      </c>
      <c r="B21" s="142">
        <f>B19-B20</f>
        <v>37000</v>
      </c>
      <c r="C21" s="84">
        <f>C19-C20</f>
        <v>31200</v>
      </c>
      <c r="D21" s="140"/>
      <c r="E21" s="140"/>
      <c r="F21" s="1"/>
      <c r="G21" s="1"/>
      <c r="H21" s="1"/>
    </row>
    <row r="22" spans="1:8">
      <c r="A22" s="129"/>
      <c r="B22" s="148"/>
      <c r="C22" s="140"/>
      <c r="D22" s="140"/>
      <c r="E22" s="140"/>
      <c r="F22" s="1"/>
      <c r="G22" s="1"/>
      <c r="H22" s="1"/>
    </row>
    <row r="23" spans="1:8">
      <c r="A23" s="139" t="s">
        <v>181</v>
      </c>
      <c r="B23" s="147" t="s">
        <v>172</v>
      </c>
      <c r="C23" s="146" t="s">
        <v>171</v>
      </c>
      <c r="D23" s="140"/>
      <c r="E23" s="140"/>
      <c r="F23" s="1"/>
      <c r="G23" s="1"/>
      <c r="H23" s="1"/>
    </row>
    <row r="24" spans="1:8">
      <c r="A24" s="129" t="s">
        <v>180</v>
      </c>
      <c r="B24" s="142">
        <f>B2-B5</f>
        <v>24500</v>
      </c>
      <c r="C24" s="145">
        <f>B2-B5</f>
        <v>24500</v>
      </c>
      <c r="D24" s="140"/>
      <c r="E24" s="140"/>
      <c r="F24" s="1"/>
      <c r="G24" s="1"/>
      <c r="H24" s="1"/>
    </row>
    <row r="25" spans="1:8">
      <c r="A25" s="129" t="s">
        <v>179</v>
      </c>
      <c r="B25" s="142">
        <f>B3*(1-B4)</f>
        <v>0</v>
      </c>
      <c r="C25" s="145">
        <f>B3*(1-D4)</f>
        <v>1699.9999999999995</v>
      </c>
      <c r="D25" s="140"/>
      <c r="E25" s="140"/>
      <c r="F25" s="1"/>
      <c r="G25" s="1"/>
      <c r="H25" s="1"/>
    </row>
    <row r="26" spans="1:8" ht="15.75" thickBot="1">
      <c r="A26" s="137" t="s">
        <v>178</v>
      </c>
      <c r="B26" s="144">
        <f>B5*B6</f>
        <v>12500</v>
      </c>
      <c r="C26" s="143">
        <f>B5*D6</f>
        <v>5000</v>
      </c>
      <c r="D26" s="140"/>
      <c r="E26" s="140"/>
      <c r="F26" s="1"/>
      <c r="G26" s="1"/>
      <c r="H26" s="1"/>
    </row>
    <row r="27" spans="1:8">
      <c r="A27" s="129" t="s">
        <v>177</v>
      </c>
      <c r="B27" s="142">
        <f>SUM(B24:B26)</f>
        <v>37000</v>
      </c>
      <c r="C27" s="84">
        <f>SUM(C24:C26)</f>
        <v>31200</v>
      </c>
      <c r="D27" s="140"/>
      <c r="E27" s="140"/>
      <c r="F27" s="1"/>
      <c r="G27" s="1"/>
      <c r="H27" s="1"/>
    </row>
    <row r="28" spans="1:8">
      <c r="A28" s="129"/>
      <c r="B28" s="140"/>
      <c r="C28" s="140"/>
      <c r="D28" s="140"/>
      <c r="E28" s="140"/>
      <c r="F28" s="1"/>
      <c r="G28" s="1"/>
      <c r="H28" s="1"/>
    </row>
    <row r="29" spans="1:8">
      <c r="A29" s="139" t="s">
        <v>176</v>
      </c>
      <c r="B29" s="140"/>
      <c r="C29" s="140"/>
      <c r="D29" s="140"/>
      <c r="E29" s="140"/>
      <c r="F29" s="1"/>
      <c r="G29" s="1"/>
      <c r="H29" s="1"/>
    </row>
    <row r="30" spans="1:8" ht="27" thickBot="1">
      <c r="A30" s="141" t="s">
        <v>175</v>
      </c>
      <c r="B30" s="140"/>
      <c r="C30" s="140"/>
      <c r="D30" s="140"/>
      <c r="E30" s="140"/>
      <c r="F30" s="1"/>
      <c r="G30" s="1"/>
      <c r="H30" s="1"/>
    </row>
    <row r="31" spans="1:8" ht="15.75" thickBot="1">
      <c r="B31" s="180" t="s">
        <v>172</v>
      </c>
      <c r="C31" s="181"/>
      <c r="D31" s="180" t="s">
        <v>171</v>
      </c>
      <c r="E31" s="181"/>
      <c r="F31" s="1"/>
      <c r="G31" s="1"/>
      <c r="H31" s="1"/>
    </row>
    <row r="32" spans="1:8">
      <c r="A32" s="139"/>
      <c r="B32" s="138" t="s">
        <v>140</v>
      </c>
      <c r="C32" s="4" t="s">
        <v>141</v>
      </c>
      <c r="D32" s="138" t="s">
        <v>140</v>
      </c>
      <c r="E32" s="4" t="s">
        <v>141</v>
      </c>
      <c r="F32" s="1"/>
      <c r="G32" s="1"/>
      <c r="H32" s="1"/>
    </row>
    <row r="33" spans="1:8">
      <c r="A33" s="129" t="s">
        <v>170</v>
      </c>
      <c r="B33" s="134">
        <f>B27</f>
        <v>37000</v>
      </c>
      <c r="C33" s="133">
        <f>C2</f>
        <v>836000</v>
      </c>
      <c r="D33" s="134">
        <f>C27</f>
        <v>31200</v>
      </c>
      <c r="E33" s="133">
        <f>E2</f>
        <v>987000</v>
      </c>
      <c r="F33" s="1"/>
      <c r="G33" s="1"/>
      <c r="H33" s="1"/>
    </row>
    <row r="34" spans="1:8" ht="15.75" thickBot="1">
      <c r="A34" s="137" t="s">
        <v>169</v>
      </c>
      <c r="B34" s="136">
        <f>B20</f>
        <v>8500</v>
      </c>
      <c r="C34" s="135">
        <f>C3</f>
        <v>310000</v>
      </c>
      <c r="D34" s="136">
        <f>C20</f>
        <v>6800</v>
      </c>
      <c r="E34" s="135">
        <f>E3</f>
        <v>397000</v>
      </c>
      <c r="F34" s="1"/>
      <c r="G34" s="1"/>
      <c r="H34" s="1"/>
    </row>
    <row r="35" spans="1:8">
      <c r="A35" s="129" t="s">
        <v>168</v>
      </c>
      <c r="B35" s="134">
        <f>B33+B34</f>
        <v>45500</v>
      </c>
      <c r="C35" s="133">
        <f>C33+C34</f>
        <v>1146000</v>
      </c>
      <c r="D35" s="134">
        <f>D33+D34</f>
        <v>38000</v>
      </c>
      <c r="E35" s="133">
        <f>E33+E34</f>
        <v>1384000</v>
      </c>
      <c r="F35" s="1"/>
      <c r="G35" s="1"/>
      <c r="H35" s="1"/>
    </row>
    <row r="36" spans="1:8" ht="15.75" thickBot="1">
      <c r="A36" s="132" t="s">
        <v>167</v>
      </c>
      <c r="B36" s="131">
        <f>B18</f>
        <v>12500</v>
      </c>
      <c r="C36" s="130">
        <f>(C33/B33)*B36</f>
        <v>282432.43243243243</v>
      </c>
      <c r="D36" s="131">
        <f>C18</f>
        <v>5000</v>
      </c>
      <c r="E36" s="130">
        <f>(E33/D33)*D36</f>
        <v>158173.07692307691</v>
      </c>
    </row>
    <row r="37" spans="1:8" ht="15.75" thickBot="1">
      <c r="A37" s="129" t="s">
        <v>166</v>
      </c>
      <c r="B37" s="128">
        <f>B35-B36</f>
        <v>33000</v>
      </c>
      <c r="C37" s="127">
        <f>C35-C36</f>
        <v>863567.56756756757</v>
      </c>
      <c r="D37" s="128">
        <f>D35-D36</f>
        <v>33000</v>
      </c>
      <c r="E37" s="127">
        <f>E35-E36</f>
        <v>1225826.923076923</v>
      </c>
    </row>
    <row r="38" spans="1:8">
      <c r="A38" s="129"/>
      <c r="B38" s="89"/>
      <c r="C38" s="89"/>
      <c r="D38" s="89"/>
      <c r="E38" s="89"/>
    </row>
    <row r="39" spans="1:8" ht="15.75" customHeight="1" thickBot="1">
      <c r="A39" s="141" t="s">
        <v>174</v>
      </c>
      <c r="B39" s="140"/>
      <c r="C39" s="140"/>
      <c r="D39" s="140"/>
      <c r="E39" s="140"/>
    </row>
    <row r="40" spans="1:8" ht="15.75" thickBot="1">
      <c r="B40" s="180" t="s">
        <v>172</v>
      </c>
      <c r="C40" s="181"/>
      <c r="D40" s="180" t="s">
        <v>171</v>
      </c>
      <c r="E40" s="181"/>
    </row>
    <row r="41" spans="1:8">
      <c r="A41" s="139"/>
      <c r="B41" s="138" t="s">
        <v>140</v>
      </c>
      <c r="C41" s="4" t="s">
        <v>141</v>
      </c>
      <c r="D41" s="138" t="s">
        <v>140</v>
      </c>
      <c r="E41" s="4" t="s">
        <v>141</v>
      </c>
    </row>
    <row r="42" spans="1:8">
      <c r="A42" s="129" t="s">
        <v>170</v>
      </c>
      <c r="B42" s="134">
        <f t="shared" ref="B42:E43" si="0">B33</f>
        <v>37000</v>
      </c>
      <c r="C42" s="133">
        <f t="shared" si="0"/>
        <v>836000</v>
      </c>
      <c r="D42" s="134">
        <f t="shared" si="0"/>
        <v>31200</v>
      </c>
      <c r="E42" s="133">
        <f t="shared" si="0"/>
        <v>987000</v>
      </c>
    </row>
    <row r="43" spans="1:8" ht="15.75" thickBot="1">
      <c r="A43" s="137" t="s">
        <v>169</v>
      </c>
      <c r="B43" s="136">
        <f t="shared" si="0"/>
        <v>8500</v>
      </c>
      <c r="C43" s="135">
        <f t="shared" si="0"/>
        <v>310000</v>
      </c>
      <c r="D43" s="136">
        <f t="shared" si="0"/>
        <v>6800</v>
      </c>
      <c r="E43" s="135">
        <f t="shared" si="0"/>
        <v>397000</v>
      </c>
    </row>
    <row r="44" spans="1:8">
      <c r="A44" s="129" t="s">
        <v>168</v>
      </c>
      <c r="B44" s="134">
        <f>B42+B43</f>
        <v>45500</v>
      </c>
      <c r="C44" s="133">
        <f>C42+C43</f>
        <v>1146000</v>
      </c>
      <c r="D44" s="134">
        <f>D42+D43</f>
        <v>38000</v>
      </c>
      <c r="E44" s="133">
        <f>E42+E43</f>
        <v>1384000</v>
      </c>
    </row>
    <row r="45" spans="1:8" ht="15.75" thickBot="1">
      <c r="A45" s="132" t="s">
        <v>167</v>
      </c>
      <c r="B45" s="131">
        <f>B36</f>
        <v>12500</v>
      </c>
      <c r="C45" s="130">
        <f>(C42/B42)*B46</f>
        <v>745621.62162162154</v>
      </c>
      <c r="D45" s="131">
        <f>D36</f>
        <v>5000</v>
      </c>
      <c r="E45" s="130">
        <f>(E42/D42)*D46</f>
        <v>1043942.3076923076</v>
      </c>
    </row>
    <row r="46" spans="1:8" ht="15.75" thickBot="1">
      <c r="A46" s="129" t="s">
        <v>166</v>
      </c>
      <c r="B46" s="128">
        <f>B44-B45</f>
        <v>33000</v>
      </c>
      <c r="C46" s="127">
        <f>C44-C45</f>
        <v>400378.37837837846</v>
      </c>
      <c r="D46" s="128">
        <f>D44-D45</f>
        <v>33000</v>
      </c>
      <c r="E46" s="127">
        <f>E44-E45</f>
        <v>340057.69230769237</v>
      </c>
    </row>
    <row r="47" spans="1:8">
      <c r="A47" s="129"/>
      <c r="B47" s="89"/>
      <c r="C47" s="89"/>
      <c r="D47" s="89"/>
      <c r="E47" s="89"/>
    </row>
    <row r="48" spans="1:8" ht="15.75" thickBot="1">
      <c r="A48" s="141" t="s">
        <v>173</v>
      </c>
      <c r="B48" s="140"/>
      <c r="C48" s="140"/>
      <c r="D48" s="140"/>
      <c r="E48" s="140"/>
    </row>
    <row r="49" spans="1:5" ht="15.75" thickBot="1">
      <c r="B49" s="180" t="s">
        <v>172</v>
      </c>
      <c r="C49" s="181"/>
      <c r="D49" s="180" t="s">
        <v>171</v>
      </c>
      <c r="E49" s="181"/>
    </row>
    <row r="50" spans="1:5">
      <c r="A50" s="139"/>
      <c r="B50" s="138" t="s">
        <v>140</v>
      </c>
      <c r="C50" s="4" t="s">
        <v>141</v>
      </c>
      <c r="D50" s="138" t="s">
        <v>140</v>
      </c>
      <c r="E50" s="4" t="s">
        <v>141</v>
      </c>
    </row>
    <row r="51" spans="1:5">
      <c r="A51" s="129" t="s">
        <v>170</v>
      </c>
      <c r="B51" s="134">
        <f t="shared" ref="B51:E52" si="1">B42</f>
        <v>37000</v>
      </c>
      <c r="C51" s="133">
        <f t="shared" si="1"/>
        <v>836000</v>
      </c>
      <c r="D51" s="134">
        <f t="shared" si="1"/>
        <v>31200</v>
      </c>
      <c r="E51" s="133">
        <f t="shared" si="1"/>
        <v>987000</v>
      </c>
    </row>
    <row r="52" spans="1:5" ht="15.75" thickBot="1">
      <c r="A52" s="137" t="s">
        <v>169</v>
      </c>
      <c r="B52" s="136">
        <f t="shared" si="1"/>
        <v>8500</v>
      </c>
      <c r="C52" s="135">
        <f t="shared" si="1"/>
        <v>310000</v>
      </c>
      <c r="D52" s="136">
        <f t="shared" si="1"/>
        <v>6800</v>
      </c>
      <c r="E52" s="135">
        <f t="shared" si="1"/>
        <v>397000</v>
      </c>
    </row>
    <row r="53" spans="1:5">
      <c r="A53" s="129" t="s">
        <v>168</v>
      </c>
      <c r="B53" s="134">
        <f>B51+B52</f>
        <v>45500</v>
      </c>
      <c r="C53" s="133">
        <f>C51+C52</f>
        <v>1146000</v>
      </c>
      <c r="D53" s="134">
        <f>D51+D52</f>
        <v>38000</v>
      </c>
      <c r="E53" s="133">
        <f>E51+E52</f>
        <v>1384000</v>
      </c>
    </row>
    <row r="54" spans="1:5" ht="15.75" thickBot="1">
      <c r="A54" s="132" t="s">
        <v>167</v>
      </c>
      <c r="B54" s="131">
        <f>B45</f>
        <v>12500</v>
      </c>
      <c r="C54" s="130">
        <f>(C53/B53)*B54</f>
        <v>314835.16483516485</v>
      </c>
      <c r="D54" s="131">
        <f>D45</f>
        <v>5000</v>
      </c>
      <c r="E54" s="130">
        <f>(E53/D53)*D54</f>
        <v>182105.26315789472</v>
      </c>
    </row>
    <row r="55" spans="1:5" ht="15.75" thickBot="1">
      <c r="A55" s="129" t="s">
        <v>166</v>
      </c>
      <c r="B55" s="128">
        <f>B53-B54</f>
        <v>33000</v>
      </c>
      <c r="C55" s="127">
        <f>C53-C54</f>
        <v>831164.83516483521</v>
      </c>
      <c r="D55" s="128">
        <f>D53-D54</f>
        <v>33000</v>
      </c>
      <c r="E55" s="127">
        <f>E53-E54</f>
        <v>1201894.7368421052</v>
      </c>
    </row>
  </sheetData>
  <mergeCells count="9">
    <mergeCell ref="F1:G1"/>
    <mergeCell ref="D31:E31"/>
    <mergeCell ref="B40:C40"/>
    <mergeCell ref="D40:E40"/>
    <mergeCell ref="B49:C49"/>
    <mergeCell ref="D49:E49"/>
    <mergeCell ref="B31:C31"/>
    <mergeCell ref="B1:C1"/>
    <mergeCell ref="D1:E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sqref="A1:G1"/>
    </sheetView>
  </sheetViews>
  <sheetFormatPr baseColWidth="10" defaultRowHeight="12.75"/>
  <cols>
    <col min="1" max="1" width="35" style="81" bestFit="1" customWidth="1"/>
    <col min="2" max="6" width="7.85546875" style="1" bestFit="1" customWidth="1"/>
    <col min="7" max="8" width="8.85546875" style="1" bestFit="1" customWidth="1"/>
    <col min="9" max="16384" width="11.42578125" style="1"/>
  </cols>
  <sheetData>
    <row r="1" spans="1:11">
      <c r="A1" s="178" t="s">
        <v>123</v>
      </c>
      <c r="B1" s="178"/>
      <c r="C1" s="178"/>
      <c r="D1" s="178"/>
      <c r="E1" s="178"/>
      <c r="F1" s="178"/>
      <c r="G1" s="178"/>
    </row>
    <row r="2" spans="1:11" ht="13.5" thickBot="1">
      <c r="A2" s="178" t="s">
        <v>122</v>
      </c>
      <c r="B2" s="178"/>
      <c r="C2" s="178"/>
      <c r="D2" s="178"/>
      <c r="E2" s="178"/>
      <c r="F2" s="178"/>
      <c r="G2" s="178"/>
      <c r="J2" s="179" t="s">
        <v>130</v>
      </c>
      <c r="K2" s="179"/>
    </row>
    <row r="3" spans="1:11" s="69" customFormat="1" ht="15.75" customHeight="1" thickBot="1">
      <c r="A3" s="67"/>
      <c r="B3" s="68">
        <v>1</v>
      </c>
      <c r="C3" s="68">
        <v>2</v>
      </c>
      <c r="D3" s="68">
        <v>3</v>
      </c>
      <c r="E3" s="68">
        <v>4</v>
      </c>
      <c r="F3" s="68">
        <v>5</v>
      </c>
      <c r="G3" s="68" t="s">
        <v>121</v>
      </c>
      <c r="H3" s="68" t="s">
        <v>121</v>
      </c>
      <c r="J3" s="83">
        <v>7230</v>
      </c>
      <c r="K3" s="84">
        <v>6750</v>
      </c>
    </row>
    <row r="4" spans="1:11" ht="13.5" thickBot="1">
      <c r="A4" s="70" t="s">
        <v>131</v>
      </c>
      <c r="B4" s="71"/>
      <c r="C4" s="71"/>
      <c r="D4" s="71"/>
      <c r="E4" s="71"/>
      <c r="F4" s="71"/>
      <c r="G4" s="71">
        <f>SUM(B4:F4)</f>
        <v>0</v>
      </c>
      <c r="H4" s="71"/>
      <c r="J4" s="82">
        <f>J3-K3</f>
        <v>480</v>
      </c>
    </row>
    <row r="5" spans="1:11">
      <c r="A5" s="70" t="s">
        <v>112</v>
      </c>
      <c r="B5" s="71"/>
      <c r="C5" s="71"/>
      <c r="D5" s="71"/>
      <c r="E5" s="71"/>
      <c r="F5" s="71"/>
      <c r="G5" s="72">
        <f>13600-250</f>
        <v>13350</v>
      </c>
      <c r="H5" s="71">
        <f>SUM(B5:F5)</f>
        <v>0</v>
      </c>
    </row>
    <row r="6" spans="1:11">
      <c r="A6" s="70" t="s">
        <v>113</v>
      </c>
      <c r="B6" s="71"/>
      <c r="C6" s="71"/>
      <c r="D6" s="71"/>
      <c r="E6" s="71"/>
      <c r="F6" s="71"/>
      <c r="G6" s="71">
        <f>G4+G5</f>
        <v>13350</v>
      </c>
      <c r="H6" s="71">
        <f>SUM(B6:F6)</f>
        <v>0</v>
      </c>
    </row>
    <row r="7" spans="1:11">
      <c r="A7" s="73" t="s">
        <v>114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f>SUM(B7:F7)</f>
        <v>0</v>
      </c>
      <c r="H7" s="71"/>
    </row>
    <row r="8" spans="1:11">
      <c r="A8" s="70" t="e">
        <f>Materia Prima Utilizada</f>
        <v>#NAME?</v>
      </c>
      <c r="B8" s="74">
        <v>1200</v>
      </c>
      <c r="C8" s="74">
        <v>500</v>
      </c>
      <c r="D8" s="75">
        <v>4650</v>
      </c>
      <c r="E8" s="75">
        <v>4000</v>
      </c>
      <c r="F8" s="75">
        <v>3000</v>
      </c>
      <c r="G8" s="71">
        <f>G6-G7</f>
        <v>13350</v>
      </c>
      <c r="H8" s="71">
        <f>SUM(B8:F8)</f>
        <v>13350</v>
      </c>
    </row>
    <row r="9" spans="1:11">
      <c r="A9" s="70" t="s">
        <v>115</v>
      </c>
      <c r="B9" s="76">
        <v>3600</v>
      </c>
      <c r="C9" s="76">
        <v>6200</v>
      </c>
      <c r="D9" s="76">
        <v>0</v>
      </c>
      <c r="E9" s="76">
        <v>0</v>
      </c>
      <c r="F9" s="76">
        <v>0</v>
      </c>
      <c r="G9" s="71">
        <f>SUM(B9:F9)</f>
        <v>9800</v>
      </c>
      <c r="H9" s="71"/>
    </row>
    <row r="10" spans="1:11">
      <c r="A10" s="70" t="s">
        <v>116</v>
      </c>
      <c r="B10" s="77">
        <f>35*7</f>
        <v>245</v>
      </c>
      <c r="C10" s="77">
        <f>8*7</f>
        <v>56</v>
      </c>
      <c r="D10" s="77">
        <f>50*7</f>
        <v>350</v>
      </c>
      <c r="E10" s="77">
        <f>60*7</f>
        <v>420</v>
      </c>
      <c r="F10" s="77">
        <f>72*7</f>
        <v>504</v>
      </c>
      <c r="G10" s="71">
        <f>SUM(B10:F10)</f>
        <v>1575</v>
      </c>
      <c r="H10" s="71"/>
    </row>
    <row r="11" spans="1:11">
      <c r="A11" s="70" t="s">
        <v>127</v>
      </c>
      <c r="B11" s="77">
        <f>35*30</f>
        <v>1050</v>
      </c>
      <c r="C11" s="77">
        <f>8*30</f>
        <v>240</v>
      </c>
      <c r="D11" s="77">
        <f>50*30</f>
        <v>1500</v>
      </c>
      <c r="E11" s="77">
        <f>60*30</f>
        <v>1800</v>
      </c>
      <c r="F11" s="77">
        <f>72*30</f>
        <v>2160</v>
      </c>
      <c r="G11" s="71">
        <f>SUM(B11:F11)</f>
        <v>6750</v>
      </c>
      <c r="H11" s="71"/>
    </row>
    <row r="12" spans="1:11">
      <c r="A12" s="70" t="s">
        <v>128</v>
      </c>
      <c r="B12" s="78">
        <v>0</v>
      </c>
      <c r="C12" s="78">
        <v>0</v>
      </c>
      <c r="D12" s="78">
        <v>0</v>
      </c>
      <c r="E12" s="78">
        <v>0</v>
      </c>
      <c r="F12" s="78">
        <f>SUM(F8:F11)</f>
        <v>5664</v>
      </c>
      <c r="G12" s="71">
        <f>SUM(B12:F12)</f>
        <v>5664</v>
      </c>
      <c r="H12" s="71"/>
    </row>
    <row r="13" spans="1:11">
      <c r="A13" s="70" t="s">
        <v>117</v>
      </c>
      <c r="B13" s="71">
        <f>B8+B9+B10+B11-B12</f>
        <v>6095</v>
      </c>
      <c r="C13" s="71">
        <f>C8+C9+C10+C11-C12</f>
        <v>6996</v>
      </c>
      <c r="D13" s="71">
        <f>D8+D9+D10+D11-D12</f>
        <v>6500</v>
      </c>
      <c r="E13" s="71">
        <f>E8+E9+E10+E11-E12</f>
        <v>6220</v>
      </c>
      <c r="F13" s="71">
        <v>0</v>
      </c>
      <c r="G13" s="71">
        <f>G8+G9+G10+G11-G12</f>
        <v>25811</v>
      </c>
      <c r="H13" s="71">
        <f>SUM(B13:F13)</f>
        <v>25811</v>
      </c>
    </row>
    <row r="14" spans="1:11">
      <c r="A14" s="70" t="s">
        <v>118</v>
      </c>
      <c r="B14" s="78">
        <v>0</v>
      </c>
      <c r="C14" s="78">
        <v>0</v>
      </c>
      <c r="D14" s="78">
        <v>0</v>
      </c>
      <c r="E14" s="78">
        <v>0</v>
      </c>
      <c r="F14" s="78">
        <v>0</v>
      </c>
      <c r="G14" s="71">
        <f>SUM(B14:F14)</f>
        <v>0</v>
      </c>
      <c r="H14" s="71"/>
    </row>
    <row r="15" spans="1:11">
      <c r="A15" s="70" t="s">
        <v>119</v>
      </c>
      <c r="B15" s="71">
        <f t="shared" ref="B15:G15" si="0">B13+B14</f>
        <v>6095</v>
      </c>
      <c r="C15" s="71">
        <f t="shared" si="0"/>
        <v>6996</v>
      </c>
      <c r="D15" s="71">
        <f t="shared" si="0"/>
        <v>6500</v>
      </c>
      <c r="E15" s="71">
        <f t="shared" si="0"/>
        <v>6220</v>
      </c>
      <c r="F15" s="71">
        <f t="shared" si="0"/>
        <v>0</v>
      </c>
      <c r="G15" s="71">
        <f t="shared" si="0"/>
        <v>25811</v>
      </c>
      <c r="H15" s="71">
        <f>SUM(B15:F15)</f>
        <v>25811</v>
      </c>
    </row>
    <row r="16" spans="1:11">
      <c r="A16" s="70" t="s">
        <v>129</v>
      </c>
      <c r="B16" s="78">
        <v>0</v>
      </c>
      <c r="C16" s="79">
        <f>C15</f>
        <v>6996</v>
      </c>
      <c r="D16" s="78">
        <v>0</v>
      </c>
      <c r="E16" s="79">
        <f>E15</f>
        <v>6220</v>
      </c>
      <c r="F16" s="78">
        <v>0</v>
      </c>
      <c r="G16" s="71">
        <f>SUM(B16:F16)</f>
        <v>13216</v>
      </c>
      <c r="H16" s="71"/>
    </row>
    <row r="17" spans="1:8">
      <c r="A17" s="70" t="s">
        <v>120</v>
      </c>
      <c r="B17" s="79">
        <f>B15-B16</f>
        <v>6095</v>
      </c>
      <c r="C17" s="79">
        <v>0</v>
      </c>
      <c r="D17" s="79">
        <f>D15-D16</f>
        <v>6500</v>
      </c>
      <c r="E17" s="79">
        <v>0</v>
      </c>
      <c r="F17" s="79">
        <f>F15-F16</f>
        <v>0</v>
      </c>
      <c r="G17" s="71">
        <f>G15-G16</f>
        <v>12595</v>
      </c>
      <c r="H17" s="71">
        <f>SUM(B17:F17)</f>
        <v>12595</v>
      </c>
    </row>
    <row r="19" spans="1:8">
      <c r="A19" s="80" t="s">
        <v>124</v>
      </c>
      <c r="B19" s="1">
        <v>35</v>
      </c>
      <c r="C19" s="1">
        <v>8</v>
      </c>
      <c r="D19" s="1">
        <v>50</v>
      </c>
      <c r="E19" s="1">
        <v>60</v>
      </c>
      <c r="F19" s="1">
        <v>72</v>
      </c>
    </row>
    <row r="20" spans="1:8">
      <c r="A20" s="80" t="s">
        <v>125</v>
      </c>
      <c r="B20" s="1">
        <v>7</v>
      </c>
    </row>
    <row r="21" spans="1:8">
      <c r="A21" s="80" t="s">
        <v>126</v>
      </c>
      <c r="B21" s="1">
        <v>30</v>
      </c>
    </row>
  </sheetData>
  <mergeCells count="3">
    <mergeCell ref="A2:G2"/>
    <mergeCell ref="A1:G1"/>
    <mergeCell ref="J2:K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sqref="A1:G1"/>
    </sheetView>
  </sheetViews>
  <sheetFormatPr baseColWidth="10" defaultRowHeight="12.75"/>
  <cols>
    <col min="1" max="1" width="35" style="81" bestFit="1" customWidth="1"/>
    <col min="2" max="4" width="7.85546875" style="1" bestFit="1" customWidth="1"/>
    <col min="5" max="5" width="7.85546875" style="1" customWidth="1"/>
    <col min="6" max="6" width="7.85546875" style="1" bestFit="1" customWidth="1"/>
    <col min="7" max="8" width="8.85546875" style="1" bestFit="1" customWidth="1"/>
    <col min="9" max="16384" width="11.42578125" style="1"/>
  </cols>
  <sheetData>
    <row r="1" spans="1:11">
      <c r="A1" s="178" t="s">
        <v>123</v>
      </c>
      <c r="B1" s="178"/>
      <c r="C1" s="178"/>
      <c r="D1" s="178"/>
      <c r="E1" s="178"/>
      <c r="F1" s="178"/>
      <c r="G1" s="178"/>
    </row>
    <row r="2" spans="1:11" ht="13.5" thickBot="1">
      <c r="A2" s="178" t="s">
        <v>122</v>
      </c>
      <c r="B2" s="178"/>
      <c r="C2" s="178"/>
      <c r="D2" s="178"/>
      <c r="E2" s="178"/>
      <c r="F2" s="178"/>
      <c r="G2" s="178"/>
      <c r="J2" s="179" t="s">
        <v>130</v>
      </c>
      <c r="K2" s="179"/>
    </row>
    <row r="3" spans="1:11" s="69" customFormat="1" ht="15.75" customHeight="1" thickBot="1">
      <c r="A3" s="67"/>
      <c r="B3" s="68">
        <v>1019</v>
      </c>
      <c r="C3" s="68">
        <v>1020</v>
      </c>
      <c r="D3" s="68">
        <v>1021</v>
      </c>
      <c r="E3" s="68">
        <v>1022</v>
      </c>
      <c r="F3" s="68">
        <v>1023</v>
      </c>
      <c r="G3" s="68" t="s">
        <v>121</v>
      </c>
      <c r="H3" s="68" t="s">
        <v>121</v>
      </c>
      <c r="J3" s="83">
        <v>3800</v>
      </c>
      <c r="K3" s="84">
        <f>G11</f>
        <v>3315</v>
      </c>
    </row>
    <row r="4" spans="1:11" ht="13.5" thickBot="1">
      <c r="A4" s="70" t="s">
        <v>131</v>
      </c>
      <c r="B4" s="71"/>
      <c r="C4" s="71"/>
      <c r="D4" s="71"/>
      <c r="E4" s="71"/>
      <c r="F4" s="71"/>
      <c r="G4" s="71"/>
      <c r="H4" s="71"/>
      <c r="J4" s="82">
        <f>J3-K3</f>
        <v>485</v>
      </c>
    </row>
    <row r="5" spans="1:11">
      <c r="A5" s="70" t="s">
        <v>112</v>
      </c>
      <c r="B5" s="71"/>
      <c r="C5" s="71"/>
      <c r="D5" s="71"/>
      <c r="E5" s="71"/>
      <c r="F5" s="71"/>
      <c r="G5" s="72"/>
      <c r="H5" s="71"/>
    </row>
    <row r="6" spans="1:11">
      <c r="A6" s="70" t="s">
        <v>113</v>
      </c>
      <c r="B6" s="71"/>
      <c r="C6" s="71"/>
      <c r="D6" s="71"/>
      <c r="E6" s="71"/>
      <c r="F6" s="71"/>
      <c r="G6" s="71"/>
      <c r="H6" s="71"/>
    </row>
    <row r="7" spans="1:11">
      <c r="A7" s="73" t="s">
        <v>114</v>
      </c>
      <c r="B7" s="71"/>
      <c r="C7" s="71"/>
      <c r="D7" s="71"/>
      <c r="E7" s="71"/>
      <c r="F7" s="71"/>
      <c r="G7" s="71"/>
      <c r="H7" s="71"/>
    </row>
    <row r="8" spans="1:11">
      <c r="A8" s="70" t="s">
        <v>132</v>
      </c>
      <c r="B8" s="85">
        <v>260</v>
      </c>
      <c r="C8" s="85">
        <v>320</v>
      </c>
      <c r="D8" s="85">
        <v>830</v>
      </c>
      <c r="E8" s="85">
        <v>690</v>
      </c>
      <c r="F8" s="85">
        <v>970</v>
      </c>
      <c r="G8" s="71">
        <f>SUM(B8:F8)</f>
        <v>3070</v>
      </c>
      <c r="H8" s="71">
        <f>SUM(H4:H6)-H7</f>
        <v>0</v>
      </c>
    </row>
    <row r="9" spans="1:11">
      <c r="A9" s="70" t="s">
        <v>115</v>
      </c>
      <c r="B9" s="85">
        <v>719</v>
      </c>
      <c r="C9" s="85">
        <v>1204</v>
      </c>
      <c r="D9" s="85">
        <v>0</v>
      </c>
      <c r="E9" s="85">
        <v>0</v>
      </c>
      <c r="F9" s="85">
        <v>0</v>
      </c>
      <c r="G9" s="71">
        <f>SUM(B9:F9)</f>
        <v>1923</v>
      </c>
      <c r="H9" s="71"/>
    </row>
    <row r="10" spans="1:11">
      <c r="A10" s="70" t="s">
        <v>116</v>
      </c>
      <c r="B10" s="85">
        <v>300</v>
      </c>
      <c r="C10" s="85">
        <v>130</v>
      </c>
      <c r="D10" s="85">
        <v>600</v>
      </c>
      <c r="E10" s="85">
        <v>720</v>
      </c>
      <c r="F10" s="85">
        <v>800</v>
      </c>
      <c r="G10" s="71">
        <f>SUM(B10:F10)</f>
        <v>2550</v>
      </c>
      <c r="H10" s="71"/>
    </row>
    <row r="11" spans="1:11">
      <c r="A11" s="70" t="s">
        <v>127</v>
      </c>
      <c r="B11" s="85">
        <v>390</v>
      </c>
      <c r="C11" s="85">
        <v>169</v>
      </c>
      <c r="D11" s="85">
        <v>780</v>
      </c>
      <c r="E11" s="85">
        <v>936</v>
      </c>
      <c r="F11" s="85">
        <v>1040</v>
      </c>
      <c r="G11" s="71">
        <f>SUM(B11:F11)</f>
        <v>3315</v>
      </c>
      <c r="H11" s="71"/>
    </row>
    <row r="12" spans="1:11">
      <c r="A12" s="70" t="s">
        <v>128</v>
      </c>
      <c r="B12" s="85">
        <v>0</v>
      </c>
      <c r="C12" s="85">
        <v>0</v>
      </c>
      <c r="D12" s="85">
        <f>D8+D9+D10+D11</f>
        <v>2210</v>
      </c>
      <c r="E12" s="85">
        <v>0</v>
      </c>
      <c r="F12" s="85">
        <v>1000</v>
      </c>
      <c r="G12" s="71">
        <f>SUM(B12:F12)</f>
        <v>3210</v>
      </c>
      <c r="H12" s="71"/>
    </row>
    <row r="13" spans="1:11">
      <c r="A13" s="70" t="s">
        <v>117</v>
      </c>
      <c r="B13" s="85">
        <f t="shared" ref="B13:G13" si="0">SUM(B8:B11)-B12</f>
        <v>1669</v>
      </c>
      <c r="C13" s="85">
        <f t="shared" si="0"/>
        <v>1823</v>
      </c>
      <c r="D13" s="85">
        <f t="shared" si="0"/>
        <v>0</v>
      </c>
      <c r="E13" s="85">
        <f t="shared" si="0"/>
        <v>2346</v>
      </c>
      <c r="F13" s="85">
        <f t="shared" si="0"/>
        <v>1810</v>
      </c>
      <c r="G13" s="85">
        <f t="shared" si="0"/>
        <v>7648</v>
      </c>
      <c r="H13" s="71">
        <f>SUM(B13:F13)</f>
        <v>7648</v>
      </c>
    </row>
    <row r="14" spans="1:11">
      <c r="A14" s="70" t="s">
        <v>118</v>
      </c>
      <c r="B14" s="85">
        <v>1000</v>
      </c>
      <c r="C14" s="85">
        <v>0</v>
      </c>
      <c r="D14" s="85">
        <v>0</v>
      </c>
      <c r="E14" s="85">
        <v>0</v>
      </c>
      <c r="F14" s="85">
        <v>0</v>
      </c>
      <c r="G14" s="71">
        <f>SUM(B14:F14)</f>
        <v>1000</v>
      </c>
      <c r="H14" s="71"/>
    </row>
    <row r="15" spans="1:11">
      <c r="A15" s="70" t="s">
        <v>119</v>
      </c>
      <c r="B15" s="85">
        <f t="shared" ref="B15:G15" si="1">B13+B14</f>
        <v>2669</v>
      </c>
      <c r="C15" s="85">
        <f t="shared" si="1"/>
        <v>1823</v>
      </c>
      <c r="D15" s="85">
        <f t="shared" si="1"/>
        <v>0</v>
      </c>
      <c r="E15" s="85">
        <f t="shared" si="1"/>
        <v>2346</v>
      </c>
      <c r="F15" s="85">
        <f t="shared" si="1"/>
        <v>1810</v>
      </c>
      <c r="G15" s="85">
        <f t="shared" si="1"/>
        <v>8648</v>
      </c>
      <c r="H15" s="71">
        <f>SUM(B15:F15)</f>
        <v>8648</v>
      </c>
    </row>
    <row r="16" spans="1:11">
      <c r="A16" s="70" t="s">
        <v>129</v>
      </c>
      <c r="B16" s="85">
        <v>0</v>
      </c>
      <c r="C16" s="85">
        <f>C15</f>
        <v>1823</v>
      </c>
      <c r="D16" s="85">
        <v>0</v>
      </c>
      <c r="E16" s="85">
        <v>0</v>
      </c>
      <c r="F16" s="85">
        <v>0</v>
      </c>
      <c r="G16" s="71">
        <f>SUM(B16:F16)</f>
        <v>1823</v>
      </c>
      <c r="H16" s="71"/>
    </row>
    <row r="17" spans="1:8">
      <c r="A17" s="70" t="s">
        <v>120</v>
      </c>
      <c r="B17" s="85">
        <f t="shared" ref="B17:G17" si="2">B15-B16</f>
        <v>2669</v>
      </c>
      <c r="C17" s="85">
        <f t="shared" si="2"/>
        <v>0</v>
      </c>
      <c r="D17" s="85">
        <f t="shared" si="2"/>
        <v>0</v>
      </c>
      <c r="E17" s="85">
        <f t="shared" si="2"/>
        <v>2346</v>
      </c>
      <c r="F17" s="85">
        <f t="shared" si="2"/>
        <v>1810</v>
      </c>
      <c r="G17" s="85">
        <f t="shared" si="2"/>
        <v>6825</v>
      </c>
      <c r="H17" s="71">
        <f>SUM(B17:F17)</f>
        <v>6825</v>
      </c>
    </row>
    <row r="19" spans="1:8">
      <c r="A19" s="80" t="s">
        <v>124</v>
      </c>
      <c r="B19" s="1">
        <v>35</v>
      </c>
      <c r="C19" s="1">
        <v>8</v>
      </c>
      <c r="D19" s="1">
        <v>50</v>
      </c>
      <c r="F19" s="1">
        <v>60</v>
      </c>
    </row>
    <row r="20" spans="1:8">
      <c r="A20" s="80" t="s">
        <v>125</v>
      </c>
      <c r="B20" s="1">
        <v>7</v>
      </c>
    </row>
    <row r="21" spans="1:8">
      <c r="A21" s="80" t="s">
        <v>126</v>
      </c>
      <c r="B21" s="1">
        <v>30</v>
      </c>
    </row>
  </sheetData>
  <mergeCells count="3">
    <mergeCell ref="A1:G1"/>
    <mergeCell ref="A2:G2"/>
    <mergeCell ref="J2:K2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5"/>
  <sheetViews>
    <sheetView workbookViewId="0"/>
  </sheetViews>
  <sheetFormatPr baseColWidth="10" defaultRowHeight="15"/>
  <cols>
    <col min="1" max="1" width="38.140625" customWidth="1"/>
    <col min="2" max="7" width="11.42578125" customWidth="1"/>
  </cols>
  <sheetData>
    <row r="1" spans="1:8" ht="15.75" thickBot="1">
      <c r="A1" s="167"/>
      <c r="B1" s="182" t="s">
        <v>199</v>
      </c>
      <c r="C1" s="183"/>
      <c r="D1" s="182" t="s">
        <v>198</v>
      </c>
      <c r="E1" s="183"/>
      <c r="F1" s="182" t="s">
        <v>121</v>
      </c>
      <c r="G1" s="183"/>
      <c r="H1" s="1"/>
    </row>
    <row r="2" spans="1:8">
      <c r="A2" s="158" t="s">
        <v>197</v>
      </c>
      <c r="B2" s="166">
        <v>1530</v>
      </c>
      <c r="C2" s="165">
        <v>4500</v>
      </c>
      <c r="D2" s="166">
        <f>C21</f>
        <v>1485</v>
      </c>
      <c r="E2" s="165">
        <v>62000</v>
      </c>
      <c r="F2" s="166">
        <f>B2+D2</f>
        <v>3015</v>
      </c>
      <c r="G2" s="165">
        <f>C2+E2</f>
        <v>66500</v>
      </c>
      <c r="H2" s="1"/>
    </row>
    <row r="3" spans="1:8">
      <c r="A3" s="158" t="s">
        <v>196</v>
      </c>
      <c r="B3" s="163">
        <v>90</v>
      </c>
      <c r="C3" s="162">
        <v>300</v>
      </c>
      <c r="D3" s="163">
        <f>C20</f>
        <v>62.999999999999993</v>
      </c>
      <c r="E3" s="162">
        <v>2500</v>
      </c>
      <c r="F3" s="163">
        <f>B3+D3</f>
        <v>153</v>
      </c>
      <c r="G3" s="162">
        <f>C3+E3</f>
        <v>2800</v>
      </c>
      <c r="H3" s="1"/>
    </row>
    <row r="4" spans="1:8">
      <c r="A4" s="158" t="s">
        <v>195</v>
      </c>
      <c r="B4" s="164">
        <v>1</v>
      </c>
      <c r="C4" s="162"/>
      <c r="D4" s="164">
        <v>0.7</v>
      </c>
      <c r="E4" s="162"/>
      <c r="F4" s="163"/>
      <c r="G4" s="162"/>
      <c r="H4" s="1"/>
    </row>
    <row r="5" spans="1:8">
      <c r="A5" s="158" t="s">
        <v>55</v>
      </c>
      <c r="B5" s="163">
        <v>120</v>
      </c>
      <c r="C5" s="162">
        <f>C36</f>
        <v>352.94117647058829</v>
      </c>
      <c r="D5" s="163">
        <f>C18</f>
        <v>48</v>
      </c>
      <c r="E5" s="162">
        <f>E36</f>
        <v>2004.0404040404042</v>
      </c>
      <c r="F5" s="163">
        <f>B5+D5</f>
        <v>168</v>
      </c>
      <c r="G5" s="162">
        <f>C5+E5</f>
        <v>2356.9815805109924</v>
      </c>
      <c r="H5" s="1"/>
    </row>
    <row r="6" spans="1:8" ht="15.75" thickBot="1">
      <c r="A6" s="158" t="s">
        <v>194</v>
      </c>
      <c r="B6" s="161">
        <v>1</v>
      </c>
      <c r="C6" s="159"/>
      <c r="D6" s="161">
        <v>0.4</v>
      </c>
      <c r="E6" s="159"/>
      <c r="F6" s="160"/>
      <c r="G6" s="159"/>
      <c r="H6" s="1"/>
    </row>
    <row r="7" spans="1:8">
      <c r="A7" s="158"/>
      <c r="B7" s="157"/>
      <c r="C7" s="155"/>
      <c r="D7" s="157"/>
      <c r="E7" s="155"/>
      <c r="F7" s="156"/>
      <c r="G7" s="155"/>
      <c r="H7" s="1"/>
    </row>
    <row r="8" spans="1:8">
      <c r="A8" s="154" t="s">
        <v>193</v>
      </c>
      <c r="B8" s="152"/>
      <c r="C8" s="151"/>
      <c r="D8" s="152"/>
      <c r="E8" s="151"/>
      <c r="F8" s="152"/>
      <c r="G8" s="151"/>
      <c r="H8" s="1"/>
    </row>
    <row r="9" spans="1:8">
      <c r="A9" s="129" t="s">
        <v>192</v>
      </c>
      <c r="B9" s="145">
        <f>B2</f>
        <v>1530</v>
      </c>
      <c r="C9" s="150"/>
      <c r="D9" s="150"/>
      <c r="E9" s="150"/>
      <c r="F9" s="152"/>
      <c r="G9" s="151"/>
      <c r="H9" s="1"/>
    </row>
    <row r="10" spans="1:8" ht="15.75" thickBot="1">
      <c r="A10" s="137" t="s">
        <v>191</v>
      </c>
      <c r="B10" s="143">
        <f>B3</f>
        <v>90</v>
      </c>
      <c r="C10" s="150"/>
      <c r="D10" s="150"/>
      <c r="E10" s="150"/>
      <c r="F10" s="152"/>
      <c r="G10" s="151"/>
      <c r="H10" s="1"/>
    </row>
    <row r="11" spans="1:8">
      <c r="A11" s="153" t="s">
        <v>190</v>
      </c>
      <c r="B11" s="145">
        <f>B9+B10</f>
        <v>1620</v>
      </c>
      <c r="C11" s="150"/>
      <c r="D11" s="150"/>
      <c r="E11" s="150"/>
      <c r="F11" s="152"/>
      <c r="G11" s="151"/>
      <c r="H11" s="1"/>
    </row>
    <row r="12" spans="1:8" ht="15.75" thickBot="1">
      <c r="A12" s="132" t="s">
        <v>189</v>
      </c>
      <c r="B12" s="143">
        <f>B5</f>
        <v>120</v>
      </c>
      <c r="C12" s="150"/>
      <c r="D12" s="150"/>
      <c r="E12" s="150"/>
      <c r="F12" s="152"/>
      <c r="G12" s="151"/>
      <c r="H12" s="1"/>
    </row>
    <row r="13" spans="1:8">
      <c r="A13" s="129" t="s">
        <v>188</v>
      </c>
      <c r="B13" s="145">
        <f>B11-B12</f>
        <v>1500</v>
      </c>
      <c r="C13" s="150"/>
      <c r="D13" s="150"/>
      <c r="E13" s="150"/>
      <c r="F13" s="152"/>
      <c r="G13" s="151"/>
      <c r="H13" s="1"/>
    </row>
    <row r="14" spans="1:8">
      <c r="A14" s="129"/>
      <c r="B14" s="148"/>
      <c r="C14" s="150"/>
      <c r="D14" s="150"/>
      <c r="E14" s="150"/>
      <c r="F14" s="152"/>
      <c r="G14" s="151"/>
      <c r="H14" s="1"/>
    </row>
    <row r="15" spans="1:8">
      <c r="A15" s="139" t="s">
        <v>187</v>
      </c>
      <c r="B15" s="148"/>
      <c r="C15" s="150"/>
      <c r="D15" s="150"/>
      <c r="E15" s="150"/>
      <c r="F15" s="152"/>
      <c r="G15" s="151"/>
      <c r="H15" s="1"/>
    </row>
    <row r="16" spans="1:8">
      <c r="A16" s="139" t="s">
        <v>186</v>
      </c>
      <c r="B16" s="147" t="s">
        <v>172</v>
      </c>
      <c r="C16" s="146" t="s">
        <v>171</v>
      </c>
      <c r="D16" s="150"/>
      <c r="E16" s="150"/>
      <c r="F16" s="149"/>
      <c r="G16" s="151"/>
      <c r="H16" s="1"/>
    </row>
    <row r="17" spans="1:8">
      <c r="A17" s="129" t="s">
        <v>185</v>
      </c>
      <c r="B17" s="142">
        <f>B13</f>
        <v>1500</v>
      </c>
      <c r="C17" s="145">
        <f>B13</f>
        <v>1500</v>
      </c>
      <c r="D17" s="150"/>
      <c r="E17" s="150"/>
      <c r="F17" s="149"/>
      <c r="G17" s="151"/>
      <c r="H17" s="1"/>
    </row>
    <row r="18" spans="1:8" ht="15.75" thickBot="1">
      <c r="A18" s="137" t="s">
        <v>184</v>
      </c>
      <c r="B18" s="144">
        <f>B5*B6</f>
        <v>120</v>
      </c>
      <c r="C18" s="143">
        <f>B5*D6</f>
        <v>48</v>
      </c>
      <c r="D18" s="150"/>
      <c r="E18" s="150"/>
      <c r="F18" s="149"/>
      <c r="G18" s="151"/>
      <c r="H18" s="1"/>
    </row>
    <row r="19" spans="1:8">
      <c r="A19" s="129" t="s">
        <v>168</v>
      </c>
      <c r="B19" s="142">
        <f>B17+B18</f>
        <v>1620</v>
      </c>
      <c r="C19" s="145">
        <f>C17+C18</f>
        <v>1548</v>
      </c>
      <c r="D19" s="150"/>
      <c r="E19" s="150"/>
      <c r="F19" s="149"/>
      <c r="G19" s="149"/>
      <c r="H19" s="1"/>
    </row>
    <row r="20" spans="1:8" ht="15.75" thickBot="1">
      <c r="A20" s="132" t="s">
        <v>183</v>
      </c>
      <c r="B20" s="144">
        <f>B3*B4</f>
        <v>90</v>
      </c>
      <c r="C20" s="143">
        <f>B3*D4</f>
        <v>62.999999999999993</v>
      </c>
      <c r="D20" s="150"/>
      <c r="E20" s="150"/>
      <c r="F20" s="149"/>
      <c r="G20" s="149"/>
      <c r="H20" s="1"/>
    </row>
    <row r="21" spans="1:8">
      <c r="A21" s="129" t="s">
        <v>182</v>
      </c>
      <c r="B21" s="142">
        <f>B19-B20</f>
        <v>1530</v>
      </c>
      <c r="C21" s="84">
        <f>C19-C20</f>
        <v>1485</v>
      </c>
      <c r="D21" s="140"/>
      <c r="E21" s="140"/>
      <c r="F21" s="1"/>
      <c r="G21" s="1"/>
      <c r="H21" s="1"/>
    </row>
    <row r="22" spans="1:8">
      <c r="A22" s="129"/>
      <c r="B22" s="148"/>
      <c r="C22" s="140"/>
      <c r="D22" s="140"/>
      <c r="E22" s="140"/>
      <c r="F22" s="1"/>
      <c r="G22" s="1"/>
      <c r="H22" s="1"/>
    </row>
    <row r="23" spans="1:8">
      <c r="A23" s="139" t="s">
        <v>181</v>
      </c>
      <c r="B23" s="147" t="s">
        <v>172</v>
      </c>
      <c r="C23" s="146" t="s">
        <v>171</v>
      </c>
      <c r="D23" s="140"/>
      <c r="E23" s="140"/>
      <c r="F23" s="1"/>
      <c r="G23" s="1"/>
      <c r="H23" s="1"/>
    </row>
    <row r="24" spans="1:8">
      <c r="A24" s="129" t="s">
        <v>180</v>
      </c>
      <c r="B24" s="142">
        <f>B2-B5</f>
        <v>1410</v>
      </c>
      <c r="C24" s="145">
        <f>B2-B5</f>
        <v>1410</v>
      </c>
      <c r="D24" s="140"/>
      <c r="E24" s="140"/>
      <c r="F24" s="1"/>
      <c r="G24" s="1"/>
      <c r="H24" s="1"/>
    </row>
    <row r="25" spans="1:8">
      <c r="A25" s="129" t="s">
        <v>179</v>
      </c>
      <c r="B25" s="142">
        <f>B3*(1-B4)</f>
        <v>0</v>
      </c>
      <c r="C25" s="145">
        <f>B3*(1-D4)</f>
        <v>27.000000000000004</v>
      </c>
      <c r="D25" s="140"/>
      <c r="E25" s="140"/>
      <c r="F25" s="1"/>
      <c r="G25" s="1"/>
      <c r="H25" s="1"/>
    </row>
    <row r="26" spans="1:8" ht="15.75" thickBot="1">
      <c r="A26" s="137" t="s">
        <v>178</v>
      </c>
      <c r="B26" s="144">
        <f>B5*B6</f>
        <v>120</v>
      </c>
      <c r="C26" s="143">
        <f>B5*D6</f>
        <v>48</v>
      </c>
      <c r="D26" s="140"/>
      <c r="E26" s="140"/>
      <c r="F26" s="1"/>
      <c r="G26" s="1"/>
      <c r="H26" s="1"/>
    </row>
    <row r="27" spans="1:8">
      <c r="A27" s="129" t="s">
        <v>177</v>
      </c>
      <c r="B27" s="142">
        <f>SUM(B24:B26)</f>
        <v>1530</v>
      </c>
      <c r="C27" s="84">
        <f>SUM(C24:C26)</f>
        <v>1485</v>
      </c>
      <c r="D27" s="140"/>
      <c r="E27" s="140"/>
      <c r="F27" s="1"/>
      <c r="G27" s="1"/>
      <c r="H27" s="1"/>
    </row>
    <row r="28" spans="1:8">
      <c r="A28" s="129"/>
      <c r="B28" s="140"/>
      <c r="C28" s="140"/>
      <c r="D28" s="140"/>
      <c r="E28" s="140"/>
      <c r="F28" s="1"/>
      <c r="G28" s="1"/>
      <c r="H28" s="1"/>
    </row>
    <row r="29" spans="1:8">
      <c r="A29" s="139" t="s">
        <v>176</v>
      </c>
      <c r="B29" s="140"/>
      <c r="C29" s="140"/>
      <c r="D29" s="140"/>
      <c r="E29" s="140"/>
      <c r="F29" s="1"/>
      <c r="G29" s="1"/>
      <c r="H29" s="1"/>
    </row>
    <row r="30" spans="1:8" ht="27" thickBot="1">
      <c r="A30" s="141" t="s">
        <v>175</v>
      </c>
      <c r="B30" s="140"/>
      <c r="C30" s="140"/>
      <c r="D30" s="140"/>
      <c r="E30" s="140"/>
      <c r="F30" s="1"/>
      <c r="G30" s="1"/>
      <c r="H30" s="1"/>
    </row>
    <row r="31" spans="1:8" ht="15.75" thickBot="1">
      <c r="B31" s="180" t="s">
        <v>172</v>
      </c>
      <c r="C31" s="181"/>
      <c r="D31" s="180" t="s">
        <v>171</v>
      </c>
      <c r="E31" s="181"/>
      <c r="F31" s="1"/>
      <c r="G31" s="1"/>
      <c r="H31" s="1"/>
    </row>
    <row r="32" spans="1:8">
      <c r="A32" s="139"/>
      <c r="B32" s="138" t="s">
        <v>140</v>
      </c>
      <c r="C32" s="4" t="s">
        <v>141</v>
      </c>
      <c r="D32" s="138" t="s">
        <v>140</v>
      </c>
      <c r="E32" s="4" t="s">
        <v>141</v>
      </c>
      <c r="F32" s="1"/>
      <c r="G32" s="1"/>
      <c r="H32" s="1"/>
    </row>
    <row r="33" spans="1:8">
      <c r="A33" s="129" t="s">
        <v>170</v>
      </c>
      <c r="B33" s="134">
        <f>B27</f>
        <v>1530</v>
      </c>
      <c r="C33" s="133">
        <f>C2</f>
        <v>4500</v>
      </c>
      <c r="D33" s="134">
        <f>C27</f>
        <v>1485</v>
      </c>
      <c r="E33" s="133">
        <f>E2</f>
        <v>62000</v>
      </c>
      <c r="F33" s="1"/>
      <c r="G33" s="1"/>
      <c r="H33" s="1"/>
    </row>
    <row r="34" spans="1:8" ht="15.75" thickBot="1">
      <c r="A34" s="137" t="s">
        <v>169</v>
      </c>
      <c r="B34" s="136">
        <f>B20</f>
        <v>90</v>
      </c>
      <c r="C34" s="135">
        <f>C3</f>
        <v>300</v>
      </c>
      <c r="D34" s="136">
        <f>C20</f>
        <v>62.999999999999993</v>
      </c>
      <c r="E34" s="135">
        <f>E3</f>
        <v>2500</v>
      </c>
      <c r="F34" s="1"/>
      <c r="G34" s="1"/>
      <c r="H34" s="1"/>
    </row>
    <row r="35" spans="1:8">
      <c r="A35" s="129" t="s">
        <v>168</v>
      </c>
      <c r="B35" s="134">
        <f>B33+B34</f>
        <v>1620</v>
      </c>
      <c r="C35" s="133">
        <f>C33+C34</f>
        <v>4800</v>
      </c>
      <c r="D35" s="134">
        <f>D33+D34</f>
        <v>1548</v>
      </c>
      <c r="E35" s="133">
        <f>E33+E34</f>
        <v>64500</v>
      </c>
      <c r="F35" s="1"/>
      <c r="G35" s="1"/>
      <c r="H35" s="1"/>
    </row>
    <row r="36" spans="1:8" ht="15.75" thickBot="1">
      <c r="A36" s="132" t="s">
        <v>167</v>
      </c>
      <c r="B36" s="131">
        <f>B18</f>
        <v>120</v>
      </c>
      <c r="C36" s="130">
        <f>(C33/B33)*B36</f>
        <v>352.94117647058829</v>
      </c>
      <c r="D36" s="131">
        <f>C18</f>
        <v>48</v>
      </c>
      <c r="E36" s="130">
        <f>(E33/D33)*D36</f>
        <v>2004.0404040404042</v>
      </c>
    </row>
    <row r="37" spans="1:8" ht="15.75" thickBot="1">
      <c r="A37" s="129" t="s">
        <v>166</v>
      </c>
      <c r="B37" s="128">
        <f>B35-B36</f>
        <v>1500</v>
      </c>
      <c r="C37" s="127">
        <f>C35-C36</f>
        <v>4447.0588235294117</v>
      </c>
      <c r="D37" s="128">
        <f>D35-D36</f>
        <v>1500</v>
      </c>
      <c r="E37" s="127">
        <f>E35-E36</f>
        <v>62495.959595959597</v>
      </c>
    </row>
    <row r="38" spans="1:8">
      <c r="A38" s="129"/>
      <c r="B38" s="89"/>
      <c r="C38" s="89"/>
      <c r="D38" s="89"/>
      <c r="E38" s="89"/>
    </row>
    <row r="39" spans="1:8" ht="15.75" customHeight="1" thickBot="1">
      <c r="A39" s="141" t="s">
        <v>174</v>
      </c>
      <c r="B39" s="140"/>
      <c r="C39" s="140"/>
      <c r="D39" s="140"/>
      <c r="E39" s="140"/>
    </row>
    <row r="40" spans="1:8" ht="15.75" thickBot="1">
      <c r="B40" s="180" t="s">
        <v>172</v>
      </c>
      <c r="C40" s="181"/>
      <c r="D40" s="180" t="s">
        <v>171</v>
      </c>
      <c r="E40" s="181"/>
    </row>
    <row r="41" spans="1:8">
      <c r="A41" s="139"/>
      <c r="B41" s="138" t="s">
        <v>140</v>
      </c>
      <c r="C41" s="4" t="s">
        <v>141</v>
      </c>
      <c r="D41" s="138" t="s">
        <v>140</v>
      </c>
      <c r="E41" s="4" t="s">
        <v>141</v>
      </c>
    </row>
    <row r="42" spans="1:8">
      <c r="A42" s="129" t="s">
        <v>170</v>
      </c>
      <c r="B42" s="134">
        <f t="shared" ref="B42:E43" si="0">B33</f>
        <v>1530</v>
      </c>
      <c r="C42" s="133">
        <f t="shared" si="0"/>
        <v>4500</v>
      </c>
      <c r="D42" s="134">
        <f t="shared" si="0"/>
        <v>1485</v>
      </c>
      <c r="E42" s="133">
        <f t="shared" si="0"/>
        <v>62000</v>
      </c>
    </row>
    <row r="43" spans="1:8" ht="15.75" thickBot="1">
      <c r="A43" s="137" t="s">
        <v>169</v>
      </c>
      <c r="B43" s="136">
        <f t="shared" si="0"/>
        <v>90</v>
      </c>
      <c r="C43" s="135">
        <f t="shared" si="0"/>
        <v>300</v>
      </c>
      <c r="D43" s="136">
        <f t="shared" si="0"/>
        <v>62.999999999999993</v>
      </c>
      <c r="E43" s="135">
        <f t="shared" si="0"/>
        <v>2500</v>
      </c>
    </row>
    <row r="44" spans="1:8">
      <c r="A44" s="129" t="s">
        <v>168</v>
      </c>
      <c r="B44" s="134">
        <f>B42+B43</f>
        <v>1620</v>
      </c>
      <c r="C44" s="133">
        <f>C42+C43</f>
        <v>4800</v>
      </c>
      <c r="D44" s="134">
        <f>D42+D43</f>
        <v>1548</v>
      </c>
      <c r="E44" s="133">
        <f>E42+E43</f>
        <v>64500</v>
      </c>
    </row>
    <row r="45" spans="1:8" ht="15.75" thickBot="1">
      <c r="A45" s="132" t="s">
        <v>167</v>
      </c>
      <c r="B45" s="131">
        <f>B36</f>
        <v>120</v>
      </c>
      <c r="C45" s="130">
        <f>(C42/B42)*B46</f>
        <v>4411.7647058823532</v>
      </c>
      <c r="D45" s="131">
        <f>D36</f>
        <v>48</v>
      </c>
      <c r="E45" s="130">
        <f>(E42/D42)*D46</f>
        <v>62626.262626262629</v>
      </c>
    </row>
    <row r="46" spans="1:8" ht="15.75" thickBot="1">
      <c r="A46" s="129" t="s">
        <v>166</v>
      </c>
      <c r="B46" s="128">
        <f>B44-B45</f>
        <v>1500</v>
      </c>
      <c r="C46" s="127">
        <f>C44-C45</f>
        <v>388.23529411764684</v>
      </c>
      <c r="D46" s="128">
        <f>D44-D45</f>
        <v>1500</v>
      </c>
      <c r="E46" s="127">
        <f>E44-E45</f>
        <v>1873.7373737373709</v>
      </c>
    </row>
    <row r="47" spans="1:8">
      <c r="A47" s="129"/>
      <c r="B47" s="89"/>
      <c r="C47" s="89"/>
      <c r="D47" s="89"/>
      <c r="E47" s="89"/>
    </row>
    <row r="48" spans="1:8" ht="15.75" thickBot="1">
      <c r="A48" s="141" t="s">
        <v>173</v>
      </c>
      <c r="B48" s="140"/>
      <c r="C48" s="140"/>
      <c r="D48" s="140"/>
      <c r="E48" s="140"/>
    </row>
    <row r="49" spans="1:5" ht="15.75" thickBot="1">
      <c r="B49" s="180" t="s">
        <v>172</v>
      </c>
      <c r="C49" s="181"/>
      <c r="D49" s="180" t="s">
        <v>171</v>
      </c>
      <c r="E49" s="181"/>
    </row>
    <row r="50" spans="1:5">
      <c r="A50" s="139"/>
      <c r="B50" s="138" t="s">
        <v>140</v>
      </c>
      <c r="C50" s="4" t="s">
        <v>141</v>
      </c>
      <c r="D50" s="138" t="s">
        <v>140</v>
      </c>
      <c r="E50" s="4" t="s">
        <v>141</v>
      </c>
    </row>
    <row r="51" spans="1:5">
      <c r="A51" s="129" t="s">
        <v>170</v>
      </c>
      <c r="B51" s="134">
        <f t="shared" ref="B51:E52" si="1">B42</f>
        <v>1530</v>
      </c>
      <c r="C51" s="133">
        <f t="shared" si="1"/>
        <v>4500</v>
      </c>
      <c r="D51" s="134">
        <f t="shared" si="1"/>
        <v>1485</v>
      </c>
      <c r="E51" s="133">
        <f t="shared" si="1"/>
        <v>62000</v>
      </c>
    </row>
    <row r="52" spans="1:5" ht="15.75" thickBot="1">
      <c r="A52" s="137" t="s">
        <v>169</v>
      </c>
      <c r="B52" s="136">
        <f t="shared" si="1"/>
        <v>90</v>
      </c>
      <c r="C52" s="135">
        <f t="shared" si="1"/>
        <v>300</v>
      </c>
      <c r="D52" s="136">
        <f t="shared" si="1"/>
        <v>62.999999999999993</v>
      </c>
      <c r="E52" s="135">
        <f t="shared" si="1"/>
        <v>2500</v>
      </c>
    </row>
    <row r="53" spans="1:5">
      <c r="A53" s="129" t="s">
        <v>168</v>
      </c>
      <c r="B53" s="134">
        <f>B51+B52</f>
        <v>1620</v>
      </c>
      <c r="C53" s="133">
        <f>C51+C52</f>
        <v>4800</v>
      </c>
      <c r="D53" s="134">
        <f>D51+D52</f>
        <v>1548</v>
      </c>
      <c r="E53" s="133">
        <f>E51+E52</f>
        <v>64500</v>
      </c>
    </row>
    <row r="54" spans="1:5" ht="15.75" thickBot="1">
      <c r="A54" s="132" t="s">
        <v>167</v>
      </c>
      <c r="B54" s="131">
        <f>B45</f>
        <v>120</v>
      </c>
      <c r="C54" s="130">
        <f>(C53/B53)*B54</f>
        <v>355.55555555555554</v>
      </c>
      <c r="D54" s="131">
        <f>D45</f>
        <v>48</v>
      </c>
      <c r="E54" s="130">
        <f>(E53/D53)*D54</f>
        <v>2000</v>
      </c>
    </row>
    <row r="55" spans="1:5" ht="15.75" thickBot="1">
      <c r="A55" s="129" t="s">
        <v>166</v>
      </c>
      <c r="B55" s="128">
        <f>B53-B54</f>
        <v>1500</v>
      </c>
      <c r="C55" s="127">
        <f>C53-C54</f>
        <v>4444.4444444444443</v>
      </c>
      <c r="D55" s="128">
        <f>D53-D54</f>
        <v>1500</v>
      </c>
      <c r="E55" s="127">
        <f>E53-E54</f>
        <v>62500</v>
      </c>
    </row>
  </sheetData>
  <mergeCells count="9">
    <mergeCell ref="B49:C49"/>
    <mergeCell ref="D49:E49"/>
    <mergeCell ref="B1:C1"/>
    <mergeCell ref="D1:E1"/>
    <mergeCell ref="F1:G1"/>
    <mergeCell ref="B31:C31"/>
    <mergeCell ref="D31:E31"/>
    <mergeCell ref="B40:C40"/>
    <mergeCell ref="D40:E40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baseColWidth="10" defaultRowHeight="15"/>
  <cols>
    <col min="1" max="1" width="13.42578125" bestFit="1" customWidth="1"/>
    <col min="2" max="2" width="21.5703125" bestFit="1" customWidth="1"/>
    <col min="3" max="3" width="20.28515625" bestFit="1" customWidth="1"/>
    <col min="4" max="4" width="14.85546875" bestFit="1" customWidth="1"/>
    <col min="5" max="5" width="14.5703125" bestFit="1" customWidth="1"/>
  </cols>
  <sheetData>
    <row r="1" spans="1:8">
      <c r="G1" s="42" t="s">
        <v>200</v>
      </c>
      <c r="H1" s="42" t="s">
        <v>201</v>
      </c>
    </row>
    <row r="2" spans="1:8">
      <c r="F2" t="s">
        <v>202</v>
      </c>
      <c r="G2" s="89">
        <v>4</v>
      </c>
      <c r="H2" s="89">
        <v>4.2</v>
      </c>
    </row>
    <row r="3" spans="1:8">
      <c r="F3" t="s">
        <v>203</v>
      </c>
      <c r="G3" s="89">
        <v>14400</v>
      </c>
      <c r="H3" s="89">
        <v>18000</v>
      </c>
    </row>
    <row r="4" spans="1:8">
      <c r="F4" t="s">
        <v>204</v>
      </c>
      <c r="G4" s="89">
        <v>5400</v>
      </c>
      <c r="H4" s="89">
        <v>5420</v>
      </c>
    </row>
    <row r="5" spans="1:8">
      <c r="F5" t="s">
        <v>205</v>
      </c>
      <c r="G5" s="89">
        <v>3</v>
      </c>
      <c r="H5" s="89">
        <v>2.95</v>
      </c>
    </row>
    <row r="6" spans="1:8" ht="15.75" thickBot="1"/>
    <row r="7" spans="1:8">
      <c r="A7" s="188" t="s">
        <v>209</v>
      </c>
      <c r="B7" s="171" t="s">
        <v>217</v>
      </c>
      <c r="C7" s="19" t="s">
        <v>218</v>
      </c>
      <c r="D7" s="19" t="s">
        <v>206</v>
      </c>
      <c r="E7" s="168" t="s">
        <v>207</v>
      </c>
    </row>
    <row r="8" spans="1:8">
      <c r="A8" s="189"/>
      <c r="B8" s="172" t="s">
        <v>217</v>
      </c>
      <c r="C8" s="174">
        <f>G2</f>
        <v>4</v>
      </c>
      <c r="D8" s="174">
        <f>H2</f>
        <v>4.2</v>
      </c>
      <c r="E8" s="175">
        <f>H3</f>
        <v>18000</v>
      </c>
    </row>
    <row r="9" spans="1:8">
      <c r="A9" s="189"/>
      <c r="B9" s="172" t="s">
        <v>217</v>
      </c>
      <c r="C9" s="174">
        <f>(C8-D8)*E8</f>
        <v>-3600.0000000000032</v>
      </c>
      <c r="D9" s="174"/>
      <c r="E9" s="175"/>
    </row>
    <row r="10" spans="1:8">
      <c r="A10" s="189"/>
      <c r="B10" s="172"/>
      <c r="C10" s="169"/>
      <c r="D10" s="169"/>
      <c r="E10" s="170"/>
    </row>
    <row r="11" spans="1:8">
      <c r="A11" s="189"/>
      <c r="B11" s="172" t="s">
        <v>219</v>
      </c>
      <c r="C11" s="169" t="s">
        <v>220</v>
      </c>
      <c r="D11" s="169" t="s">
        <v>208</v>
      </c>
      <c r="E11" s="170" t="s">
        <v>221</v>
      </c>
    </row>
    <row r="12" spans="1:8">
      <c r="A12" s="189"/>
      <c r="B12" s="172" t="s">
        <v>219</v>
      </c>
      <c r="C12" s="174">
        <f>G3</f>
        <v>14400</v>
      </c>
      <c r="D12" s="174">
        <f>H3</f>
        <v>18000</v>
      </c>
      <c r="E12" s="175">
        <f>G2</f>
        <v>4</v>
      </c>
    </row>
    <row r="13" spans="1:8" ht="15.75" thickBot="1">
      <c r="A13" s="190"/>
      <c r="B13" s="173" t="s">
        <v>219</v>
      </c>
      <c r="C13" s="174">
        <f>(C12-D12)*E12</f>
        <v>-14400</v>
      </c>
      <c r="D13" s="176"/>
      <c r="E13" s="177"/>
    </row>
    <row r="14" spans="1:8">
      <c r="A14" s="188" t="s">
        <v>210</v>
      </c>
      <c r="B14" s="171" t="s">
        <v>222</v>
      </c>
      <c r="C14" s="19" t="s">
        <v>223</v>
      </c>
      <c r="D14" s="19" t="s">
        <v>211</v>
      </c>
      <c r="E14" s="168" t="s">
        <v>212</v>
      </c>
    </row>
    <row r="15" spans="1:8">
      <c r="A15" s="189"/>
      <c r="B15" s="172" t="s">
        <v>222</v>
      </c>
      <c r="C15" s="174">
        <f>G5</f>
        <v>3</v>
      </c>
      <c r="D15" s="174">
        <f>H5</f>
        <v>2.95</v>
      </c>
      <c r="E15" s="175">
        <f>H4</f>
        <v>5420</v>
      </c>
    </row>
    <row r="16" spans="1:8">
      <c r="A16" s="189"/>
      <c r="B16" s="172" t="s">
        <v>222</v>
      </c>
      <c r="C16" s="174">
        <f>(C15-D15)*E15</f>
        <v>270.99999999999903</v>
      </c>
      <c r="D16" s="174"/>
      <c r="E16" s="175"/>
    </row>
    <row r="17" spans="1:5">
      <c r="A17" s="189"/>
      <c r="B17" s="172"/>
      <c r="C17" s="169"/>
      <c r="D17" s="169"/>
      <c r="E17" s="170"/>
    </row>
    <row r="18" spans="1:5">
      <c r="A18" s="189"/>
      <c r="B18" s="172" t="s">
        <v>224</v>
      </c>
      <c r="C18" s="169" t="s">
        <v>225</v>
      </c>
      <c r="D18" s="169" t="s">
        <v>213</v>
      </c>
      <c r="E18" s="170" t="s">
        <v>226</v>
      </c>
    </row>
    <row r="19" spans="1:5">
      <c r="A19" s="189"/>
      <c r="B19" s="172" t="s">
        <v>224</v>
      </c>
      <c r="C19" s="174">
        <f>G4</f>
        <v>5400</v>
      </c>
      <c r="D19" s="174">
        <f>H4</f>
        <v>5420</v>
      </c>
      <c r="E19" s="175">
        <f>G5</f>
        <v>3</v>
      </c>
    </row>
    <row r="20" spans="1:5" ht="15.75" thickBot="1">
      <c r="A20" s="190"/>
      <c r="B20" s="173" t="s">
        <v>224</v>
      </c>
      <c r="C20" s="176">
        <f>(C19-D19)*E19</f>
        <v>-60</v>
      </c>
      <c r="D20" s="176"/>
      <c r="E20" s="177"/>
    </row>
    <row r="21" spans="1:5">
      <c r="A21" s="185" t="s">
        <v>228</v>
      </c>
      <c r="B21" s="191" t="s">
        <v>214</v>
      </c>
      <c r="C21" s="191"/>
      <c r="D21" s="191"/>
      <c r="E21" s="192"/>
    </row>
    <row r="22" spans="1:5">
      <c r="A22" s="186"/>
      <c r="B22" s="193" t="s">
        <v>227</v>
      </c>
      <c r="C22" s="193"/>
      <c r="D22" s="193"/>
      <c r="E22" s="194"/>
    </row>
    <row r="23" spans="1:5">
      <c r="A23" s="186"/>
      <c r="B23" s="193" t="s">
        <v>215</v>
      </c>
      <c r="C23" s="193"/>
      <c r="D23" s="193"/>
      <c r="E23" s="194"/>
    </row>
    <row r="24" spans="1:5" ht="15.75" thickBot="1">
      <c r="A24" s="187"/>
      <c r="B24" s="195" t="s">
        <v>216</v>
      </c>
      <c r="C24" s="195"/>
      <c r="D24" s="195"/>
      <c r="E24" s="196"/>
    </row>
    <row r="25" spans="1:5">
      <c r="B25" s="184"/>
      <c r="C25" s="184"/>
      <c r="D25" s="184"/>
      <c r="E25" s="184"/>
    </row>
    <row r="26" spans="1:5">
      <c r="B26" s="184"/>
      <c r="C26" s="184"/>
      <c r="D26" s="184"/>
      <c r="E26" s="184"/>
    </row>
    <row r="27" spans="1:5">
      <c r="B27" s="184"/>
      <c r="C27" s="184"/>
      <c r="D27" s="184"/>
      <c r="E27" s="184"/>
    </row>
    <row r="28" spans="1:5">
      <c r="B28" s="184"/>
      <c r="C28" s="184"/>
      <c r="D28" s="184"/>
      <c r="E28" s="184"/>
    </row>
    <row r="29" spans="1:5">
      <c r="B29" s="184"/>
      <c r="C29" s="184"/>
      <c r="D29" s="184"/>
      <c r="E29" s="184"/>
    </row>
    <row r="30" spans="1:5">
      <c r="B30" s="184"/>
      <c r="C30" s="184"/>
      <c r="D30" s="184"/>
      <c r="E30" s="184"/>
    </row>
  </sheetData>
  <mergeCells count="13">
    <mergeCell ref="B30:E30"/>
    <mergeCell ref="A21:A24"/>
    <mergeCell ref="A7:A13"/>
    <mergeCell ref="A14:A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"/>
  <dimension ref="A1:I45"/>
  <sheetViews>
    <sheetView workbookViewId="0">
      <selection sqref="A1:I1"/>
    </sheetView>
  </sheetViews>
  <sheetFormatPr baseColWidth="10" defaultRowHeight="12.75"/>
  <cols>
    <col min="1" max="4" width="8.7109375" style="1" customWidth="1"/>
    <col min="5" max="5" width="10" style="1" bestFit="1" customWidth="1"/>
    <col min="6" max="7" width="8.7109375" style="1" customWidth="1"/>
    <col min="8" max="8" width="10" style="1" bestFit="1" customWidth="1"/>
    <col min="9" max="9" width="8.7109375" style="1" customWidth="1"/>
    <col min="10" max="16384" width="11.42578125" style="1"/>
  </cols>
  <sheetData>
    <row r="1" spans="1:9" ht="13.5" thickBot="1">
      <c r="A1" s="210" t="s">
        <v>17</v>
      </c>
      <c r="B1" s="211"/>
      <c r="C1" s="211"/>
      <c r="D1" s="211"/>
      <c r="E1" s="211"/>
      <c r="F1" s="211"/>
      <c r="G1" s="211"/>
      <c r="H1" s="211"/>
      <c r="I1" s="212"/>
    </row>
    <row r="2" spans="1:9" ht="13.5" thickBot="1">
      <c r="A2" s="197" t="s">
        <v>3</v>
      </c>
      <c r="B2" s="198"/>
      <c r="C2" s="199"/>
      <c r="D2" s="197" t="s">
        <v>4</v>
      </c>
      <c r="E2" s="198"/>
      <c r="F2" s="199"/>
      <c r="G2" s="197" t="s">
        <v>5</v>
      </c>
      <c r="H2" s="198"/>
      <c r="I2" s="199"/>
    </row>
    <row r="3" spans="1:9">
      <c r="A3" s="2" t="s">
        <v>0</v>
      </c>
      <c r="B3" s="3" t="s">
        <v>1</v>
      </c>
      <c r="C3" s="4" t="s">
        <v>2</v>
      </c>
      <c r="D3" s="2" t="s">
        <v>0</v>
      </c>
      <c r="E3" s="3" t="s">
        <v>1</v>
      </c>
      <c r="F3" s="4" t="s">
        <v>2</v>
      </c>
      <c r="G3" s="2" t="s">
        <v>0</v>
      </c>
      <c r="H3" s="3" t="s">
        <v>1</v>
      </c>
      <c r="I3" s="4" t="s">
        <v>2</v>
      </c>
    </row>
    <row r="4" spans="1:9">
      <c r="A4" s="5"/>
      <c r="B4" s="6"/>
      <c r="C4" s="7"/>
      <c r="D4" s="5"/>
      <c r="E4" s="6"/>
      <c r="F4" s="7"/>
      <c r="G4" s="5">
        <v>100</v>
      </c>
      <c r="H4" s="6">
        <v>1.5</v>
      </c>
      <c r="I4" s="7">
        <f>G4*H4</f>
        <v>150</v>
      </c>
    </row>
    <row r="5" spans="1:9">
      <c r="A5" s="200">
        <v>300</v>
      </c>
      <c r="B5" s="202">
        <v>1.56</v>
      </c>
      <c r="C5" s="204">
        <f>A5*B5</f>
        <v>468</v>
      </c>
      <c r="D5" s="206"/>
      <c r="E5" s="208"/>
      <c r="F5" s="204"/>
      <c r="G5" s="206">
        <f>G4+A5</f>
        <v>400</v>
      </c>
      <c r="H5" s="6" t="s">
        <v>6</v>
      </c>
      <c r="I5" s="204">
        <f>I4+C5</f>
        <v>618</v>
      </c>
    </row>
    <row r="6" spans="1:9">
      <c r="A6" s="201"/>
      <c r="B6" s="203"/>
      <c r="C6" s="205"/>
      <c r="D6" s="207"/>
      <c r="E6" s="209"/>
      <c r="F6" s="205"/>
      <c r="G6" s="207"/>
      <c r="H6" s="8" t="s">
        <v>7</v>
      </c>
      <c r="I6" s="205"/>
    </row>
    <row r="7" spans="1:9">
      <c r="A7" s="200"/>
      <c r="B7" s="202"/>
      <c r="C7" s="204"/>
      <c r="D7" s="206">
        <v>80</v>
      </c>
      <c r="E7" s="208">
        <v>1.5</v>
      </c>
      <c r="F7" s="204">
        <f>D7*E7</f>
        <v>120</v>
      </c>
      <c r="G7" s="206">
        <f>G5-D7</f>
        <v>320</v>
      </c>
      <c r="H7" s="6" t="s">
        <v>8</v>
      </c>
      <c r="I7" s="204">
        <f>I5-F7</f>
        <v>498</v>
      </c>
    </row>
    <row r="8" spans="1:9">
      <c r="A8" s="201"/>
      <c r="B8" s="203"/>
      <c r="C8" s="205"/>
      <c r="D8" s="207"/>
      <c r="E8" s="209"/>
      <c r="F8" s="205"/>
      <c r="G8" s="207"/>
      <c r="H8" s="8" t="s">
        <v>7</v>
      </c>
      <c r="I8" s="205"/>
    </row>
    <row r="9" spans="1:9">
      <c r="A9" s="200"/>
      <c r="B9" s="202"/>
      <c r="C9" s="204"/>
      <c r="D9" s="206">
        <v>140</v>
      </c>
      <c r="E9" s="6" t="s">
        <v>8</v>
      </c>
      <c r="F9" s="204">
        <v>217.2</v>
      </c>
      <c r="G9" s="206">
        <f>G7-D9</f>
        <v>180</v>
      </c>
      <c r="H9" s="202">
        <v>1.56</v>
      </c>
      <c r="I9" s="204">
        <f>I7-F9</f>
        <v>280.8</v>
      </c>
    </row>
    <row r="10" spans="1:9">
      <c r="A10" s="201"/>
      <c r="B10" s="203"/>
      <c r="C10" s="205"/>
      <c r="D10" s="207"/>
      <c r="E10" s="8" t="s">
        <v>9</v>
      </c>
      <c r="F10" s="205"/>
      <c r="G10" s="207"/>
      <c r="H10" s="203"/>
      <c r="I10" s="205"/>
    </row>
    <row r="11" spans="1:9">
      <c r="A11" s="200">
        <v>150</v>
      </c>
      <c r="B11" s="202">
        <v>1.6</v>
      </c>
      <c r="C11" s="204">
        <v>240</v>
      </c>
      <c r="D11" s="206"/>
      <c r="E11" s="208"/>
      <c r="F11" s="204"/>
      <c r="G11" s="206">
        <v>330</v>
      </c>
      <c r="H11" s="6" t="s">
        <v>10</v>
      </c>
      <c r="I11" s="204">
        <v>520.79999999999995</v>
      </c>
    </row>
    <row r="12" spans="1:9">
      <c r="A12" s="201"/>
      <c r="B12" s="203"/>
      <c r="C12" s="205"/>
      <c r="D12" s="207"/>
      <c r="E12" s="209"/>
      <c r="F12" s="205"/>
      <c r="G12" s="207"/>
      <c r="H12" s="8" t="s">
        <v>11</v>
      </c>
      <c r="I12" s="205"/>
    </row>
    <row r="13" spans="1:9">
      <c r="A13" s="200"/>
      <c r="B13" s="202"/>
      <c r="C13" s="204"/>
      <c r="D13" s="206">
        <v>130</v>
      </c>
      <c r="E13" s="208">
        <v>1.56</v>
      </c>
      <c r="F13" s="204">
        <f>D13*E13</f>
        <v>202.8</v>
      </c>
      <c r="G13" s="206">
        <f>G11-D13</f>
        <v>200</v>
      </c>
      <c r="H13" s="6" t="s">
        <v>12</v>
      </c>
      <c r="I13" s="204">
        <f>I11-F13</f>
        <v>317.99999999999994</v>
      </c>
    </row>
    <row r="14" spans="1:9">
      <c r="A14" s="201"/>
      <c r="B14" s="203"/>
      <c r="C14" s="205"/>
      <c r="D14" s="207"/>
      <c r="E14" s="209"/>
      <c r="F14" s="205"/>
      <c r="G14" s="207"/>
      <c r="H14" s="8" t="s">
        <v>11</v>
      </c>
      <c r="I14" s="205"/>
    </row>
    <row r="15" spans="1:9">
      <c r="A15" s="200"/>
      <c r="B15" s="202"/>
      <c r="C15" s="204"/>
      <c r="D15" s="206">
        <v>110</v>
      </c>
      <c r="E15" s="6" t="s">
        <v>12</v>
      </c>
      <c r="F15" s="204">
        <v>174</v>
      </c>
      <c r="G15" s="206">
        <f>G13-D15</f>
        <v>90</v>
      </c>
      <c r="H15" s="202">
        <v>1.6</v>
      </c>
      <c r="I15" s="204">
        <f>I13-F15</f>
        <v>143.99999999999994</v>
      </c>
    </row>
    <row r="16" spans="1:9">
      <c r="A16" s="201"/>
      <c r="B16" s="203"/>
      <c r="C16" s="205"/>
      <c r="D16" s="207"/>
      <c r="E16" s="8" t="s">
        <v>13</v>
      </c>
      <c r="F16" s="205"/>
      <c r="G16" s="207"/>
      <c r="H16" s="203"/>
      <c r="I16" s="205"/>
    </row>
    <row r="17" spans="1:9">
      <c r="A17" s="200">
        <v>150</v>
      </c>
      <c r="B17" s="202">
        <v>1.7</v>
      </c>
      <c r="C17" s="204">
        <v>255</v>
      </c>
      <c r="D17" s="206"/>
      <c r="E17" s="208"/>
      <c r="F17" s="204"/>
      <c r="G17" s="206">
        <v>240</v>
      </c>
      <c r="H17" s="6" t="s">
        <v>14</v>
      </c>
      <c r="I17" s="204">
        <v>399</v>
      </c>
    </row>
    <row r="18" spans="1:9">
      <c r="A18" s="201"/>
      <c r="B18" s="203"/>
      <c r="C18" s="205"/>
      <c r="D18" s="207"/>
      <c r="E18" s="209"/>
      <c r="F18" s="205"/>
      <c r="G18" s="207"/>
      <c r="H18" s="8" t="s">
        <v>15</v>
      </c>
      <c r="I18" s="205"/>
    </row>
    <row r="19" spans="1:9">
      <c r="A19" s="200"/>
      <c r="B19" s="202"/>
      <c r="C19" s="204"/>
      <c r="D19" s="206">
        <v>140</v>
      </c>
      <c r="E19" s="6" t="s">
        <v>14</v>
      </c>
      <c r="F19" s="204">
        <v>229</v>
      </c>
      <c r="G19" s="206">
        <f>G17-D19</f>
        <v>100</v>
      </c>
      <c r="H19" s="202">
        <v>1.7</v>
      </c>
      <c r="I19" s="204">
        <f>I17-F19</f>
        <v>170</v>
      </c>
    </row>
    <row r="20" spans="1:9" ht="13.5" thickBot="1">
      <c r="A20" s="213"/>
      <c r="B20" s="214"/>
      <c r="C20" s="215"/>
      <c r="D20" s="216"/>
      <c r="E20" s="12" t="s">
        <v>16</v>
      </c>
      <c r="F20" s="215"/>
      <c r="G20" s="216"/>
      <c r="H20" s="214"/>
      <c r="I20" s="215"/>
    </row>
    <row r="21" spans="1:9" ht="13.5" thickBot="1"/>
    <row r="22" spans="1:9" ht="13.5" thickBot="1">
      <c r="A22" s="210" t="s">
        <v>18</v>
      </c>
      <c r="B22" s="211"/>
      <c r="C22" s="211"/>
      <c r="D22" s="211"/>
      <c r="E22" s="211"/>
      <c r="F22" s="211"/>
      <c r="G22" s="211"/>
      <c r="H22" s="211"/>
      <c r="I22" s="212"/>
    </row>
    <row r="23" spans="1:9" ht="13.5" thickBot="1">
      <c r="A23" s="197" t="s">
        <v>3</v>
      </c>
      <c r="B23" s="198"/>
      <c r="C23" s="199"/>
      <c r="D23" s="197" t="s">
        <v>4</v>
      </c>
      <c r="E23" s="198"/>
      <c r="F23" s="199"/>
      <c r="G23" s="197" t="s">
        <v>5</v>
      </c>
      <c r="H23" s="198"/>
      <c r="I23" s="199"/>
    </row>
    <row r="24" spans="1:9">
      <c r="A24" s="2" t="s">
        <v>0</v>
      </c>
      <c r="B24" s="3" t="s">
        <v>1</v>
      </c>
      <c r="C24" s="4" t="s">
        <v>2</v>
      </c>
      <c r="D24" s="2" t="s">
        <v>0</v>
      </c>
      <c r="E24" s="3" t="s">
        <v>1</v>
      </c>
      <c r="F24" s="4" t="s">
        <v>2</v>
      </c>
      <c r="G24" s="2" t="s">
        <v>0</v>
      </c>
      <c r="H24" s="3" t="s">
        <v>1</v>
      </c>
      <c r="I24" s="4" t="s">
        <v>2</v>
      </c>
    </row>
    <row r="25" spans="1:9">
      <c r="A25" s="5"/>
      <c r="B25" s="6"/>
      <c r="C25" s="7"/>
      <c r="D25" s="5"/>
      <c r="E25" s="6"/>
      <c r="F25" s="7"/>
      <c r="G25" s="5">
        <v>100</v>
      </c>
      <c r="H25" s="6">
        <v>1.5</v>
      </c>
      <c r="I25" s="7">
        <f>G25*H25</f>
        <v>150</v>
      </c>
    </row>
    <row r="26" spans="1:9">
      <c r="A26" s="200">
        <v>300</v>
      </c>
      <c r="B26" s="202">
        <v>1.56</v>
      </c>
      <c r="C26" s="204">
        <f>A26*B26</f>
        <v>468</v>
      </c>
      <c r="D26" s="206"/>
      <c r="E26" s="208"/>
      <c r="F26" s="204"/>
      <c r="G26" s="206">
        <f>G25+A26</f>
        <v>400</v>
      </c>
      <c r="H26" s="6" t="s">
        <v>6</v>
      </c>
      <c r="I26" s="204">
        <f>I25+C26</f>
        <v>618</v>
      </c>
    </row>
    <row r="27" spans="1:9">
      <c r="A27" s="201"/>
      <c r="B27" s="203"/>
      <c r="C27" s="205"/>
      <c r="D27" s="207"/>
      <c r="E27" s="209"/>
      <c r="F27" s="205"/>
      <c r="G27" s="207"/>
      <c r="H27" s="8" t="s">
        <v>7</v>
      </c>
      <c r="I27" s="205"/>
    </row>
    <row r="28" spans="1:9">
      <c r="A28" s="200"/>
      <c r="B28" s="202"/>
      <c r="C28" s="204"/>
      <c r="D28" s="206">
        <v>80</v>
      </c>
      <c r="E28" s="208">
        <v>1.56</v>
      </c>
      <c r="F28" s="204">
        <v>124.8</v>
      </c>
      <c r="G28" s="206">
        <f>G26-D28</f>
        <v>320</v>
      </c>
      <c r="H28" s="6" t="s">
        <v>6</v>
      </c>
      <c r="I28" s="204">
        <f>I26-F28</f>
        <v>493.2</v>
      </c>
    </row>
    <row r="29" spans="1:9">
      <c r="A29" s="201"/>
      <c r="B29" s="203"/>
      <c r="C29" s="205"/>
      <c r="D29" s="207"/>
      <c r="E29" s="209"/>
      <c r="F29" s="205"/>
      <c r="G29" s="207"/>
      <c r="H29" s="8" t="s">
        <v>19</v>
      </c>
      <c r="I29" s="205"/>
    </row>
    <row r="30" spans="1:9">
      <c r="A30" s="200"/>
      <c r="B30" s="202"/>
      <c r="C30" s="204"/>
      <c r="D30" s="206">
        <v>140</v>
      </c>
      <c r="E30" s="208">
        <v>1.56</v>
      </c>
      <c r="F30" s="204">
        <v>218.4</v>
      </c>
      <c r="G30" s="206">
        <f>G28-D30</f>
        <v>180</v>
      </c>
      <c r="H30" s="6" t="s">
        <v>6</v>
      </c>
      <c r="I30" s="204">
        <f>I28-F30</f>
        <v>274.79999999999995</v>
      </c>
    </row>
    <row r="31" spans="1:9">
      <c r="A31" s="201"/>
      <c r="B31" s="203"/>
      <c r="C31" s="205"/>
      <c r="D31" s="207"/>
      <c r="E31" s="209"/>
      <c r="F31" s="205"/>
      <c r="G31" s="207"/>
      <c r="H31" s="8" t="s">
        <v>20</v>
      </c>
      <c r="I31" s="205"/>
    </row>
    <row r="32" spans="1:9">
      <c r="A32" s="200">
        <v>150</v>
      </c>
      <c r="B32" s="202">
        <v>1.6</v>
      </c>
      <c r="C32" s="204">
        <v>240</v>
      </c>
      <c r="D32" s="206"/>
      <c r="E32" s="208"/>
      <c r="F32" s="204"/>
      <c r="G32" s="206">
        <v>330</v>
      </c>
      <c r="H32" s="6" t="s">
        <v>6</v>
      </c>
      <c r="I32" s="204">
        <f>I30+C32</f>
        <v>514.79999999999995</v>
      </c>
    </row>
    <row r="33" spans="1:9">
      <c r="A33" s="217"/>
      <c r="B33" s="218"/>
      <c r="C33" s="219"/>
      <c r="D33" s="220"/>
      <c r="E33" s="221"/>
      <c r="F33" s="219"/>
      <c r="G33" s="220"/>
      <c r="H33" s="13" t="s">
        <v>20</v>
      </c>
      <c r="I33" s="219"/>
    </row>
    <row r="34" spans="1:9">
      <c r="A34" s="201"/>
      <c r="B34" s="203"/>
      <c r="C34" s="205"/>
      <c r="D34" s="207"/>
      <c r="E34" s="209"/>
      <c r="F34" s="205"/>
      <c r="G34" s="207"/>
      <c r="H34" s="8" t="s">
        <v>11</v>
      </c>
      <c r="I34" s="205"/>
    </row>
    <row r="35" spans="1:9">
      <c r="A35" s="200"/>
      <c r="B35" s="202"/>
      <c r="C35" s="204"/>
      <c r="D35" s="206">
        <v>130</v>
      </c>
      <c r="E35" s="208">
        <v>1.6</v>
      </c>
      <c r="F35" s="204">
        <v>208</v>
      </c>
      <c r="G35" s="206">
        <f>G32-D35</f>
        <v>200</v>
      </c>
      <c r="H35" s="6" t="s">
        <v>6</v>
      </c>
      <c r="I35" s="204">
        <f>I32-F35</f>
        <v>306.79999999999995</v>
      </c>
    </row>
    <row r="36" spans="1:9">
      <c r="A36" s="217"/>
      <c r="B36" s="218"/>
      <c r="C36" s="219"/>
      <c r="D36" s="220"/>
      <c r="E36" s="221"/>
      <c r="F36" s="219"/>
      <c r="G36" s="220"/>
      <c r="H36" s="13" t="s">
        <v>20</v>
      </c>
      <c r="I36" s="219"/>
    </row>
    <row r="37" spans="1:9">
      <c r="A37" s="201"/>
      <c r="B37" s="203"/>
      <c r="C37" s="205"/>
      <c r="D37" s="207"/>
      <c r="E37" s="209"/>
      <c r="F37" s="205"/>
      <c r="G37" s="207"/>
      <c r="H37" s="8" t="s">
        <v>21</v>
      </c>
      <c r="I37" s="205"/>
    </row>
    <row r="38" spans="1:9">
      <c r="A38" s="200"/>
      <c r="B38" s="202"/>
      <c r="C38" s="204"/>
      <c r="D38" s="206">
        <v>110</v>
      </c>
      <c r="E38" s="6" t="s">
        <v>22</v>
      </c>
      <c r="F38" s="204">
        <v>171.8</v>
      </c>
      <c r="G38" s="206">
        <f>G35-D38</f>
        <v>90</v>
      </c>
      <c r="H38" s="202">
        <v>1.5</v>
      </c>
      <c r="I38" s="204">
        <f>I35-F38</f>
        <v>134.99999999999994</v>
      </c>
    </row>
    <row r="39" spans="1:9">
      <c r="A39" s="217"/>
      <c r="B39" s="218"/>
      <c r="C39" s="219"/>
      <c r="D39" s="220"/>
      <c r="E39" s="13" t="s">
        <v>20</v>
      </c>
      <c r="F39" s="219"/>
      <c r="G39" s="220"/>
      <c r="H39" s="218"/>
      <c r="I39" s="219"/>
    </row>
    <row r="40" spans="1:9">
      <c r="A40" s="201"/>
      <c r="B40" s="203"/>
      <c r="C40" s="205"/>
      <c r="D40" s="207"/>
      <c r="E40" s="8" t="s">
        <v>23</v>
      </c>
      <c r="F40" s="205"/>
      <c r="G40" s="207"/>
      <c r="H40" s="203"/>
      <c r="I40" s="205"/>
    </row>
    <row r="41" spans="1:9">
      <c r="A41" s="200">
        <v>150</v>
      </c>
      <c r="B41" s="202">
        <v>1.7</v>
      </c>
      <c r="C41" s="204">
        <v>255</v>
      </c>
      <c r="D41" s="206"/>
      <c r="E41" s="208"/>
      <c r="F41" s="204"/>
      <c r="G41" s="206">
        <v>240</v>
      </c>
      <c r="H41" s="6" t="s">
        <v>24</v>
      </c>
      <c r="I41" s="204">
        <f>I38+C41</f>
        <v>389.99999999999994</v>
      </c>
    </row>
    <row r="42" spans="1:9">
      <c r="A42" s="201"/>
      <c r="B42" s="203"/>
      <c r="C42" s="205"/>
      <c r="D42" s="207"/>
      <c r="E42" s="209"/>
      <c r="F42" s="205"/>
      <c r="G42" s="207"/>
      <c r="H42" s="8" t="s">
        <v>15</v>
      </c>
      <c r="I42" s="205"/>
    </row>
    <row r="43" spans="1:9">
      <c r="A43" s="200"/>
      <c r="B43" s="202"/>
      <c r="C43" s="204"/>
      <c r="D43" s="206">
        <v>140</v>
      </c>
      <c r="E43" s="208">
        <v>1.7</v>
      </c>
      <c r="F43" s="204">
        <v>238</v>
      </c>
      <c r="G43" s="206">
        <f>G41-D43</f>
        <v>100</v>
      </c>
      <c r="H43" s="6" t="s">
        <v>24</v>
      </c>
      <c r="I43" s="204">
        <f>I41-F43</f>
        <v>151.99999999999994</v>
      </c>
    </row>
    <row r="44" spans="1:9" ht="13.5" thickBot="1">
      <c r="A44" s="213"/>
      <c r="B44" s="214"/>
      <c r="C44" s="215"/>
      <c r="D44" s="216"/>
      <c r="E44" s="221"/>
      <c r="F44" s="215"/>
      <c r="G44" s="216"/>
      <c r="H44" s="13" t="s">
        <v>25</v>
      </c>
      <c r="I44" s="215"/>
    </row>
    <row r="45" spans="1:9">
      <c r="E45" s="14"/>
      <c r="H45" s="14"/>
    </row>
  </sheetData>
  <mergeCells count="136">
    <mergeCell ref="E43:E44"/>
    <mergeCell ref="G41:G42"/>
    <mergeCell ref="I41:I42"/>
    <mergeCell ref="A43:A44"/>
    <mergeCell ref="B43:B44"/>
    <mergeCell ref="C43:C44"/>
    <mergeCell ref="D43:D44"/>
    <mergeCell ref="F43:F44"/>
    <mergeCell ref="G43:G44"/>
    <mergeCell ref="I43:I44"/>
    <mergeCell ref="A41:A42"/>
    <mergeCell ref="B41:B42"/>
    <mergeCell ref="C41:C42"/>
    <mergeCell ref="D41:D42"/>
    <mergeCell ref="E41:E42"/>
    <mergeCell ref="F41:F42"/>
    <mergeCell ref="G35:G37"/>
    <mergeCell ref="I35:I37"/>
    <mergeCell ref="A38:A40"/>
    <mergeCell ref="B38:B40"/>
    <mergeCell ref="C38:C40"/>
    <mergeCell ref="D38:D40"/>
    <mergeCell ref="F38:F40"/>
    <mergeCell ref="G38:G40"/>
    <mergeCell ref="H38:H40"/>
    <mergeCell ref="I38:I40"/>
    <mergeCell ref="A35:A37"/>
    <mergeCell ref="B35:B37"/>
    <mergeCell ref="C35:C37"/>
    <mergeCell ref="D35:D37"/>
    <mergeCell ref="E35:E37"/>
    <mergeCell ref="F35:F37"/>
    <mergeCell ref="I30:I31"/>
    <mergeCell ref="A32:A34"/>
    <mergeCell ref="B32:B34"/>
    <mergeCell ref="C32:C34"/>
    <mergeCell ref="D32:D34"/>
    <mergeCell ref="E32:E34"/>
    <mergeCell ref="F32:F34"/>
    <mergeCell ref="G32:G34"/>
    <mergeCell ref="I32:I34"/>
    <mergeCell ref="A30:A31"/>
    <mergeCell ref="B30:B31"/>
    <mergeCell ref="C30:C31"/>
    <mergeCell ref="D30:D31"/>
    <mergeCell ref="F30:F31"/>
    <mergeCell ref="G30:G31"/>
    <mergeCell ref="E30:E31"/>
    <mergeCell ref="G26:G27"/>
    <mergeCell ref="I26:I27"/>
    <mergeCell ref="A28:A29"/>
    <mergeCell ref="B28:B29"/>
    <mergeCell ref="C28:C29"/>
    <mergeCell ref="D28:D29"/>
    <mergeCell ref="E28:E29"/>
    <mergeCell ref="F28:F29"/>
    <mergeCell ref="G28:G29"/>
    <mergeCell ref="I28:I29"/>
    <mergeCell ref="A26:A27"/>
    <mergeCell ref="B26:B27"/>
    <mergeCell ref="C26:C27"/>
    <mergeCell ref="D26:D27"/>
    <mergeCell ref="E26:E27"/>
    <mergeCell ref="F26:F27"/>
    <mergeCell ref="A1:I1"/>
    <mergeCell ref="A22:I22"/>
    <mergeCell ref="A23:C23"/>
    <mergeCell ref="D23:F23"/>
    <mergeCell ref="G23:I23"/>
    <mergeCell ref="I17:I18"/>
    <mergeCell ref="A19:A20"/>
    <mergeCell ref="B19:B20"/>
    <mergeCell ref="C19:C20"/>
    <mergeCell ref="D19:D20"/>
    <mergeCell ref="F19:F20"/>
    <mergeCell ref="G19:G20"/>
    <mergeCell ref="H19:H20"/>
    <mergeCell ref="I19:I20"/>
    <mergeCell ref="G15:G16"/>
    <mergeCell ref="I15:I16"/>
    <mergeCell ref="H15:H16"/>
    <mergeCell ref="A17:A18"/>
    <mergeCell ref="B17:B18"/>
    <mergeCell ref="C17:C18"/>
    <mergeCell ref="D17:D18"/>
    <mergeCell ref="E17:E18"/>
    <mergeCell ref="F17:F18"/>
    <mergeCell ref="G17:G18"/>
    <mergeCell ref="A15:A16"/>
    <mergeCell ref="B15:B16"/>
    <mergeCell ref="C15:C16"/>
    <mergeCell ref="D15:D16"/>
    <mergeCell ref="F15:F16"/>
    <mergeCell ref="D13:D14"/>
    <mergeCell ref="E13:E14"/>
    <mergeCell ref="F13:F14"/>
    <mergeCell ref="G13:G14"/>
    <mergeCell ref="I13:I14"/>
    <mergeCell ref="A13:A14"/>
    <mergeCell ref="B13:B14"/>
    <mergeCell ref="C13:C14"/>
    <mergeCell ref="G11:G12"/>
    <mergeCell ref="I11:I12"/>
    <mergeCell ref="A11:A12"/>
    <mergeCell ref="B11:B12"/>
    <mergeCell ref="C11:C12"/>
    <mergeCell ref="D11:D12"/>
    <mergeCell ref="E11:E12"/>
    <mergeCell ref="F11:F12"/>
    <mergeCell ref="G9:G10"/>
    <mergeCell ref="I9:I10"/>
    <mergeCell ref="H9:H10"/>
    <mergeCell ref="A9:A10"/>
    <mergeCell ref="B9:B10"/>
    <mergeCell ref="C9:C10"/>
    <mergeCell ref="D9:D10"/>
    <mergeCell ref="F9:F10"/>
    <mergeCell ref="G5:G6"/>
    <mergeCell ref="I5:I6"/>
    <mergeCell ref="A7:A8"/>
    <mergeCell ref="B7:B8"/>
    <mergeCell ref="C7:C8"/>
    <mergeCell ref="D7:D8"/>
    <mergeCell ref="E7:E8"/>
    <mergeCell ref="F7:F8"/>
    <mergeCell ref="G7:G8"/>
    <mergeCell ref="I7:I8"/>
    <mergeCell ref="A2:C2"/>
    <mergeCell ref="D2:F2"/>
    <mergeCell ref="G2:I2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2"/>
  <dimension ref="A1:O60"/>
  <sheetViews>
    <sheetView workbookViewId="0"/>
  </sheetViews>
  <sheetFormatPr baseColWidth="10" defaultRowHeight="15"/>
  <cols>
    <col min="1" max="1" width="7.140625" bestFit="1" customWidth="1"/>
    <col min="2" max="2" width="8" bestFit="1" customWidth="1"/>
    <col min="3" max="3" width="4.42578125" bestFit="1" customWidth="1"/>
    <col min="4" max="4" width="7.28515625" bestFit="1" customWidth="1"/>
    <col min="5" max="5" width="8" bestFit="1" customWidth="1"/>
    <col min="6" max="6" width="10" bestFit="1" customWidth="1"/>
    <col min="7" max="7" width="7.28515625" bestFit="1" customWidth="1"/>
    <col min="8" max="8" width="8" bestFit="1" customWidth="1"/>
    <col min="9" max="9" width="10" bestFit="1" customWidth="1"/>
    <col min="10" max="10" width="7.85546875" bestFit="1" customWidth="1"/>
    <col min="12" max="12" width="30" bestFit="1" customWidth="1"/>
  </cols>
  <sheetData>
    <row r="1" spans="1:15" ht="15.75" customHeight="1" thickBot="1">
      <c r="B1" s="210" t="s">
        <v>17</v>
      </c>
      <c r="C1" s="211"/>
      <c r="D1" s="211"/>
      <c r="E1" s="211"/>
      <c r="F1" s="211"/>
      <c r="G1" s="211"/>
      <c r="H1" s="211"/>
      <c r="I1" s="211"/>
      <c r="J1" s="212"/>
    </row>
    <row r="2" spans="1:15" ht="15.75" thickBot="1">
      <c r="B2" s="197" t="s">
        <v>3</v>
      </c>
      <c r="C2" s="198"/>
      <c r="D2" s="199"/>
      <c r="E2" s="197" t="s">
        <v>4</v>
      </c>
      <c r="F2" s="198"/>
      <c r="G2" s="199"/>
      <c r="H2" s="197" t="s">
        <v>5</v>
      </c>
      <c r="I2" s="198"/>
      <c r="J2" s="199"/>
      <c r="L2" s="26"/>
      <c r="M2" s="20" t="s">
        <v>17</v>
      </c>
      <c r="N2" s="20" t="s">
        <v>53</v>
      </c>
      <c r="O2" s="20" t="s">
        <v>49</v>
      </c>
    </row>
    <row r="3" spans="1:15" ht="15.75" thickBot="1">
      <c r="A3" s="16" t="s">
        <v>26</v>
      </c>
      <c r="B3" s="2" t="s">
        <v>0</v>
      </c>
      <c r="C3" s="3" t="s">
        <v>1</v>
      </c>
      <c r="D3" s="4" t="s">
        <v>2</v>
      </c>
      <c r="E3" s="2" t="s">
        <v>0</v>
      </c>
      <c r="F3" s="3" t="s">
        <v>1</v>
      </c>
      <c r="G3" s="4" t="s">
        <v>2</v>
      </c>
      <c r="H3" s="2" t="s">
        <v>0</v>
      </c>
      <c r="I3" s="3" t="s">
        <v>1</v>
      </c>
      <c r="J3" s="4" t="s">
        <v>2</v>
      </c>
      <c r="L3" s="21" t="s">
        <v>50</v>
      </c>
      <c r="M3" s="22">
        <f>J18</f>
        <v>525</v>
      </c>
      <c r="N3" s="22">
        <f>J43</f>
        <v>510</v>
      </c>
      <c r="O3" s="22">
        <f>J58</f>
        <v>515.54347826086951</v>
      </c>
    </row>
    <row r="4" spans="1:15" ht="15.75" thickBot="1">
      <c r="A4" s="17">
        <v>36892</v>
      </c>
      <c r="B4" s="15"/>
      <c r="C4" s="6"/>
      <c r="D4" s="7"/>
      <c r="E4" s="5"/>
      <c r="F4" s="6"/>
      <c r="G4" s="7"/>
      <c r="H4" s="5">
        <v>200</v>
      </c>
      <c r="I4" s="6">
        <v>1.5</v>
      </c>
      <c r="J4" s="7">
        <f>H4*I4</f>
        <v>300</v>
      </c>
      <c r="L4" s="21" t="s">
        <v>51</v>
      </c>
      <c r="M4" s="22">
        <f>J21</f>
        <v>303</v>
      </c>
      <c r="N4" s="22">
        <f>J45</f>
        <v>272</v>
      </c>
      <c r="O4" s="22">
        <f>J59</f>
        <v>289.99320652173913</v>
      </c>
    </row>
    <row r="5" spans="1:15" ht="15.75" thickBot="1">
      <c r="A5" s="225">
        <v>44197</v>
      </c>
      <c r="B5" s="222">
        <v>300</v>
      </c>
      <c r="C5" s="202">
        <v>1.5</v>
      </c>
      <c r="D5" s="204">
        <f>B5*C5</f>
        <v>450</v>
      </c>
      <c r="E5" s="206"/>
      <c r="F5" s="208"/>
      <c r="G5" s="204"/>
      <c r="H5" s="206">
        <f>H4+B5</f>
        <v>500</v>
      </c>
      <c r="I5" s="6" t="s">
        <v>28</v>
      </c>
      <c r="J5" s="204">
        <f>J4+D5</f>
        <v>750</v>
      </c>
      <c r="L5" s="23" t="s">
        <v>52</v>
      </c>
      <c r="M5" s="22">
        <f>M3-M4</f>
        <v>222</v>
      </c>
      <c r="N5" s="22">
        <f>N3-N4</f>
        <v>238</v>
      </c>
      <c r="O5" s="22">
        <f>O3-O4</f>
        <v>225.55027173913038</v>
      </c>
    </row>
    <row r="6" spans="1:15" ht="15.75" thickBot="1">
      <c r="A6" s="226"/>
      <c r="B6" s="223"/>
      <c r="C6" s="203"/>
      <c r="D6" s="205"/>
      <c r="E6" s="207"/>
      <c r="F6" s="209"/>
      <c r="G6" s="205"/>
      <c r="H6" s="207"/>
      <c r="I6" s="8" t="s">
        <v>29</v>
      </c>
      <c r="J6" s="205"/>
      <c r="L6" s="24"/>
      <c r="M6" s="25"/>
      <c r="N6" s="25"/>
      <c r="O6" s="25"/>
    </row>
    <row r="7" spans="1:15" ht="15.75" thickBot="1">
      <c r="A7" s="225">
        <v>39479</v>
      </c>
      <c r="B7" s="222"/>
      <c r="C7" s="202"/>
      <c r="D7" s="204"/>
      <c r="E7" s="206">
        <v>80</v>
      </c>
      <c r="F7" s="208">
        <v>1.5</v>
      </c>
      <c r="G7" s="204">
        <f>E7*F7</f>
        <v>120</v>
      </c>
      <c r="H7" s="206">
        <f>H5-E7</f>
        <v>420</v>
      </c>
      <c r="I7" s="6" t="s">
        <v>31</v>
      </c>
      <c r="J7" s="204">
        <f>J5-G7</f>
        <v>630</v>
      </c>
      <c r="M7" s="20" t="s">
        <v>17</v>
      </c>
      <c r="N7" s="20" t="s">
        <v>53</v>
      </c>
      <c r="O7" s="20" t="s">
        <v>49</v>
      </c>
    </row>
    <row r="8" spans="1:15" ht="15.75" thickBot="1">
      <c r="A8" s="226"/>
      <c r="B8" s="223"/>
      <c r="C8" s="203"/>
      <c r="D8" s="205"/>
      <c r="E8" s="207"/>
      <c r="F8" s="209"/>
      <c r="G8" s="205"/>
      <c r="H8" s="207"/>
      <c r="I8" s="8" t="s">
        <v>29</v>
      </c>
      <c r="J8" s="205"/>
      <c r="L8" s="21" t="s">
        <v>54</v>
      </c>
      <c r="M8" s="22">
        <f>G21</f>
        <v>222</v>
      </c>
      <c r="N8" s="22">
        <f>G45</f>
        <v>238</v>
      </c>
      <c r="O8" s="22">
        <f>G59</f>
        <v>225.55027173913041</v>
      </c>
    </row>
    <row r="9" spans="1:15" ht="15.75" thickBot="1">
      <c r="A9" s="225">
        <v>42430</v>
      </c>
      <c r="B9" s="222"/>
      <c r="C9" s="202"/>
      <c r="D9" s="204"/>
      <c r="E9" s="206">
        <v>110</v>
      </c>
      <c r="F9" s="6" t="s">
        <v>27</v>
      </c>
      <c r="G9" s="204">
        <f>E9*1.5</f>
        <v>165</v>
      </c>
      <c r="H9" s="206">
        <f>H7-E9</f>
        <v>310</v>
      </c>
      <c r="I9" s="6" t="s">
        <v>32</v>
      </c>
      <c r="J9" s="204">
        <f>J7-G9</f>
        <v>465</v>
      </c>
      <c r="L9" s="21" t="s">
        <v>55</v>
      </c>
      <c r="M9" s="22">
        <f>J21</f>
        <v>303</v>
      </c>
      <c r="N9" s="22">
        <f>J45</f>
        <v>272</v>
      </c>
      <c r="O9" s="22">
        <f>J59</f>
        <v>289.99320652173913</v>
      </c>
    </row>
    <row r="10" spans="1:15">
      <c r="A10" s="226"/>
      <c r="B10" s="223"/>
      <c r="C10" s="203"/>
      <c r="D10" s="205"/>
      <c r="E10" s="207"/>
      <c r="F10" s="8" t="s">
        <v>30</v>
      </c>
      <c r="G10" s="205"/>
      <c r="H10" s="207"/>
      <c r="I10" s="8" t="s">
        <v>29</v>
      </c>
      <c r="J10" s="205"/>
    </row>
    <row r="11" spans="1:15">
      <c r="A11" s="225">
        <v>40695</v>
      </c>
      <c r="B11" s="222">
        <v>150</v>
      </c>
      <c r="C11" s="202">
        <v>1.6</v>
      </c>
      <c r="D11" s="204">
        <f>B11*C11</f>
        <v>240</v>
      </c>
      <c r="E11" s="206"/>
      <c r="F11" s="208"/>
      <c r="G11" s="204"/>
      <c r="H11" s="206">
        <f>H9+B11</f>
        <v>460</v>
      </c>
      <c r="I11" s="6" t="s">
        <v>32</v>
      </c>
      <c r="J11" s="204">
        <f>J9+D11</f>
        <v>705</v>
      </c>
    </row>
    <row r="12" spans="1:15">
      <c r="A12" s="186"/>
      <c r="B12" s="224"/>
      <c r="C12" s="218"/>
      <c r="D12" s="219"/>
      <c r="E12" s="220"/>
      <c r="F12" s="221"/>
      <c r="G12" s="219"/>
      <c r="H12" s="220"/>
      <c r="I12" s="13" t="s">
        <v>29</v>
      </c>
      <c r="J12" s="219"/>
    </row>
    <row r="13" spans="1:15">
      <c r="A13" s="226"/>
      <c r="B13" s="223"/>
      <c r="C13" s="203"/>
      <c r="D13" s="205"/>
      <c r="E13" s="207"/>
      <c r="F13" s="209"/>
      <c r="G13" s="205"/>
      <c r="H13" s="207"/>
      <c r="I13" s="8" t="s">
        <v>34</v>
      </c>
      <c r="J13" s="205"/>
    </row>
    <row r="14" spans="1:15">
      <c r="A14" s="225">
        <v>43313</v>
      </c>
      <c r="B14" s="222"/>
      <c r="C14" s="202"/>
      <c r="D14" s="204"/>
      <c r="E14" s="206">
        <v>130</v>
      </c>
      <c r="F14" s="6" t="s">
        <v>32</v>
      </c>
      <c r="G14" s="204">
        <f>E14*1.5</f>
        <v>195</v>
      </c>
      <c r="H14" s="206">
        <f>H11-E14</f>
        <v>330</v>
      </c>
      <c r="I14" s="6" t="s">
        <v>35</v>
      </c>
      <c r="J14" s="204">
        <f>J11-G14</f>
        <v>510</v>
      </c>
    </row>
    <row r="15" spans="1:15">
      <c r="A15" s="226"/>
      <c r="B15" s="223"/>
      <c r="C15" s="203"/>
      <c r="D15" s="205"/>
      <c r="E15" s="207"/>
      <c r="F15" s="8" t="s">
        <v>33</v>
      </c>
      <c r="G15" s="205"/>
      <c r="H15" s="207"/>
      <c r="I15" s="8" t="s">
        <v>34</v>
      </c>
      <c r="J15" s="205"/>
    </row>
    <row r="16" spans="1:15">
      <c r="A16" s="225">
        <v>38961</v>
      </c>
      <c r="B16" s="222"/>
      <c r="C16" s="202"/>
      <c r="D16" s="204"/>
      <c r="E16" s="206">
        <v>160</v>
      </c>
      <c r="F16" s="208">
        <v>1.5</v>
      </c>
      <c r="G16" s="204">
        <f>E16*F16</f>
        <v>240</v>
      </c>
      <c r="H16" s="206">
        <f>H14-E16</f>
        <v>170</v>
      </c>
      <c r="I16" s="6" t="s">
        <v>8</v>
      </c>
      <c r="J16" s="204">
        <f>J14-G16</f>
        <v>270</v>
      </c>
    </row>
    <row r="17" spans="1:10">
      <c r="A17" s="226"/>
      <c r="B17" s="223"/>
      <c r="C17" s="203"/>
      <c r="D17" s="205"/>
      <c r="E17" s="207"/>
      <c r="F17" s="209"/>
      <c r="G17" s="205"/>
      <c r="H17" s="207"/>
      <c r="I17" s="8" t="s">
        <v>34</v>
      </c>
      <c r="J17" s="205"/>
    </row>
    <row r="18" spans="1:10">
      <c r="A18" s="225">
        <v>40817</v>
      </c>
      <c r="B18" s="222">
        <v>150</v>
      </c>
      <c r="C18" s="202">
        <v>1.7</v>
      </c>
      <c r="D18" s="204">
        <f>B18*C18</f>
        <v>255</v>
      </c>
      <c r="E18" s="206"/>
      <c r="F18" s="208"/>
      <c r="G18" s="204"/>
      <c r="H18" s="206">
        <f>H16+B18</f>
        <v>320</v>
      </c>
      <c r="I18" s="6" t="s">
        <v>8</v>
      </c>
      <c r="J18" s="204">
        <f>J16+D18</f>
        <v>525</v>
      </c>
    </row>
    <row r="19" spans="1:10">
      <c r="A19" s="228"/>
      <c r="B19" s="224"/>
      <c r="C19" s="218"/>
      <c r="D19" s="219"/>
      <c r="E19" s="220"/>
      <c r="F19" s="221"/>
      <c r="G19" s="219"/>
      <c r="H19" s="220"/>
      <c r="I19" s="13" t="s">
        <v>34</v>
      </c>
      <c r="J19" s="219"/>
    </row>
    <row r="20" spans="1:10">
      <c r="A20" s="226"/>
      <c r="B20" s="223"/>
      <c r="C20" s="203"/>
      <c r="D20" s="205"/>
      <c r="E20" s="207"/>
      <c r="F20" s="209"/>
      <c r="G20" s="205"/>
      <c r="H20" s="207"/>
      <c r="I20" s="8" t="s">
        <v>37</v>
      </c>
      <c r="J20" s="205"/>
    </row>
    <row r="21" spans="1:10">
      <c r="A21" s="225">
        <v>37956</v>
      </c>
      <c r="B21" s="222"/>
      <c r="C21" s="202"/>
      <c r="D21" s="204"/>
      <c r="E21" s="206">
        <v>140</v>
      </c>
      <c r="F21" s="6" t="s">
        <v>36</v>
      </c>
      <c r="G21" s="204">
        <f>20*1.5+120*1.6</f>
        <v>222</v>
      </c>
      <c r="H21" s="206">
        <f>H18-E21</f>
        <v>180</v>
      </c>
      <c r="I21" s="6" t="s">
        <v>39</v>
      </c>
      <c r="J21" s="204">
        <f>J18-G21</f>
        <v>303</v>
      </c>
    </row>
    <row r="22" spans="1:10" ht="15.75" thickBot="1">
      <c r="A22" s="187"/>
      <c r="B22" s="227"/>
      <c r="C22" s="214"/>
      <c r="D22" s="215"/>
      <c r="E22" s="216"/>
      <c r="F22" s="12" t="s">
        <v>38</v>
      </c>
      <c r="G22" s="215"/>
      <c r="H22" s="216"/>
      <c r="I22" s="12" t="s">
        <v>37</v>
      </c>
      <c r="J22" s="215"/>
    </row>
    <row r="23" spans="1:10" ht="15.75" thickBot="1">
      <c r="B23" s="1"/>
      <c r="C23" s="1"/>
      <c r="D23" s="1"/>
      <c r="E23" s="1"/>
      <c r="F23" s="1"/>
      <c r="G23" s="1"/>
      <c r="H23" s="1"/>
      <c r="I23" s="1"/>
      <c r="J23" s="1"/>
    </row>
    <row r="24" spans="1:10" ht="15.75" thickBot="1">
      <c r="B24" s="210" t="s">
        <v>17</v>
      </c>
      <c r="C24" s="211"/>
      <c r="D24" s="211"/>
      <c r="E24" s="211"/>
      <c r="F24" s="211"/>
      <c r="G24" s="211"/>
      <c r="H24" s="211"/>
      <c r="I24" s="211"/>
      <c r="J24" s="212"/>
    </row>
    <row r="25" spans="1:10" ht="15.75" thickBot="1">
      <c r="B25" s="197" t="s">
        <v>3</v>
      </c>
      <c r="C25" s="198"/>
      <c r="D25" s="199"/>
      <c r="E25" s="197" t="s">
        <v>4</v>
      </c>
      <c r="F25" s="198"/>
      <c r="G25" s="199"/>
      <c r="H25" s="197" t="s">
        <v>5</v>
      </c>
      <c r="I25" s="198"/>
      <c r="J25" s="199"/>
    </row>
    <row r="26" spans="1:10" ht="15.75" thickBot="1">
      <c r="A26" s="16" t="s">
        <v>26</v>
      </c>
      <c r="B26" s="2" t="s">
        <v>0</v>
      </c>
      <c r="C26" s="3" t="s">
        <v>1</v>
      </c>
      <c r="D26" s="4" t="s">
        <v>2</v>
      </c>
      <c r="E26" s="2" t="s">
        <v>0</v>
      </c>
      <c r="F26" s="3" t="s">
        <v>1</v>
      </c>
      <c r="G26" s="4" t="s">
        <v>2</v>
      </c>
      <c r="H26" s="2" t="s">
        <v>0</v>
      </c>
      <c r="I26" s="3" t="s">
        <v>1</v>
      </c>
      <c r="J26" s="4" t="s">
        <v>2</v>
      </c>
    </row>
    <row r="27" spans="1:10">
      <c r="A27" s="17">
        <v>36892</v>
      </c>
      <c r="B27" s="15"/>
      <c r="C27" s="6"/>
      <c r="D27" s="7"/>
      <c r="E27" s="5"/>
      <c r="F27" s="6"/>
      <c r="G27" s="7"/>
      <c r="H27" s="5">
        <v>200</v>
      </c>
      <c r="I27" s="6">
        <v>1.5</v>
      </c>
      <c r="J27" s="7">
        <f>H27*I27</f>
        <v>300</v>
      </c>
    </row>
    <row r="28" spans="1:10">
      <c r="A28" s="225">
        <v>44197</v>
      </c>
      <c r="B28" s="222">
        <v>300</v>
      </c>
      <c r="C28" s="202">
        <v>1.5</v>
      </c>
      <c r="D28" s="204">
        <f>B28*C28</f>
        <v>450</v>
      </c>
      <c r="E28" s="206"/>
      <c r="F28" s="208"/>
      <c r="G28" s="204"/>
      <c r="H28" s="206">
        <f>H27+B28</f>
        <v>500</v>
      </c>
      <c r="I28" s="6" t="s">
        <v>28</v>
      </c>
      <c r="J28" s="204">
        <f>J27+D28</f>
        <v>750</v>
      </c>
    </row>
    <row r="29" spans="1:10">
      <c r="A29" s="226"/>
      <c r="B29" s="223"/>
      <c r="C29" s="203"/>
      <c r="D29" s="205"/>
      <c r="E29" s="207"/>
      <c r="F29" s="209"/>
      <c r="G29" s="205"/>
      <c r="H29" s="207"/>
      <c r="I29" s="8" t="s">
        <v>29</v>
      </c>
      <c r="J29" s="205"/>
    </row>
    <row r="30" spans="1:10">
      <c r="A30" s="225">
        <v>39479</v>
      </c>
      <c r="B30" s="222"/>
      <c r="C30" s="202"/>
      <c r="D30" s="204"/>
      <c r="E30" s="206">
        <v>80</v>
      </c>
      <c r="F30" s="208">
        <v>1.5</v>
      </c>
      <c r="G30" s="204">
        <f>E30*F30</f>
        <v>120</v>
      </c>
      <c r="H30" s="206">
        <f>H28-E30</f>
        <v>420</v>
      </c>
      <c r="I30" s="6" t="s">
        <v>28</v>
      </c>
      <c r="J30" s="204">
        <f>J28-G30</f>
        <v>630</v>
      </c>
    </row>
    <row r="31" spans="1:10">
      <c r="A31" s="226"/>
      <c r="B31" s="223"/>
      <c r="C31" s="203"/>
      <c r="D31" s="205"/>
      <c r="E31" s="207"/>
      <c r="F31" s="209"/>
      <c r="G31" s="205"/>
      <c r="H31" s="207"/>
      <c r="I31" s="8" t="s">
        <v>40</v>
      </c>
      <c r="J31" s="205"/>
    </row>
    <row r="32" spans="1:10">
      <c r="A32" s="225">
        <v>42430</v>
      </c>
      <c r="B32" s="222"/>
      <c r="C32" s="202"/>
      <c r="D32" s="204"/>
      <c r="E32" s="206">
        <v>110</v>
      </c>
      <c r="F32" s="208">
        <v>1.5</v>
      </c>
      <c r="G32" s="204">
        <f>E32*F32</f>
        <v>165</v>
      </c>
      <c r="H32" s="206">
        <f>H30-E32</f>
        <v>310</v>
      </c>
      <c r="I32" s="6" t="s">
        <v>28</v>
      </c>
      <c r="J32" s="204">
        <f>J30-G32</f>
        <v>465</v>
      </c>
    </row>
    <row r="33" spans="1:10">
      <c r="A33" s="226"/>
      <c r="B33" s="223"/>
      <c r="C33" s="203"/>
      <c r="D33" s="205"/>
      <c r="E33" s="207"/>
      <c r="F33" s="209"/>
      <c r="G33" s="205"/>
      <c r="H33" s="207"/>
      <c r="I33" s="8" t="s">
        <v>41</v>
      </c>
      <c r="J33" s="205"/>
    </row>
    <row r="34" spans="1:10">
      <c r="A34" s="225">
        <v>40695</v>
      </c>
      <c r="B34" s="222">
        <v>150</v>
      </c>
      <c r="C34" s="202">
        <v>1.6</v>
      </c>
      <c r="D34" s="204">
        <f>B34*C34</f>
        <v>240</v>
      </c>
      <c r="E34" s="206"/>
      <c r="F34" s="208"/>
      <c r="G34" s="204"/>
      <c r="H34" s="206">
        <f>H32+B34</f>
        <v>460</v>
      </c>
      <c r="I34" s="6" t="s">
        <v>42</v>
      </c>
      <c r="J34" s="204">
        <f>J32+D34</f>
        <v>705</v>
      </c>
    </row>
    <row r="35" spans="1:10">
      <c r="A35" s="186"/>
      <c r="B35" s="224"/>
      <c r="C35" s="218"/>
      <c r="D35" s="219"/>
      <c r="E35" s="220"/>
      <c r="F35" s="221"/>
      <c r="G35" s="219"/>
      <c r="H35" s="220"/>
      <c r="I35" s="13" t="s">
        <v>41</v>
      </c>
      <c r="J35" s="219"/>
    </row>
    <row r="36" spans="1:10">
      <c r="A36" s="226"/>
      <c r="B36" s="223"/>
      <c r="C36" s="203"/>
      <c r="D36" s="205"/>
      <c r="E36" s="207"/>
      <c r="F36" s="209"/>
      <c r="G36" s="205"/>
      <c r="H36" s="207"/>
      <c r="I36" s="8" t="s">
        <v>34</v>
      </c>
      <c r="J36" s="205"/>
    </row>
    <row r="37" spans="1:10">
      <c r="A37" s="225">
        <v>43313</v>
      </c>
      <c r="B37" s="222"/>
      <c r="C37" s="202"/>
      <c r="D37" s="204"/>
      <c r="E37" s="206">
        <v>130</v>
      </c>
      <c r="F37" s="208">
        <v>1.6</v>
      </c>
      <c r="G37" s="204">
        <f>E37*F37</f>
        <v>208</v>
      </c>
      <c r="H37" s="206">
        <f>H34-E37</f>
        <v>330</v>
      </c>
      <c r="I37" s="6" t="s">
        <v>42</v>
      </c>
      <c r="J37" s="204">
        <f>J34-G37</f>
        <v>497</v>
      </c>
    </row>
    <row r="38" spans="1:10">
      <c r="A38" s="228"/>
      <c r="B38" s="224"/>
      <c r="C38" s="218"/>
      <c r="D38" s="219"/>
      <c r="E38" s="220"/>
      <c r="F38" s="221"/>
      <c r="G38" s="219"/>
      <c r="H38" s="220"/>
      <c r="I38" s="13" t="s">
        <v>41</v>
      </c>
      <c r="J38" s="219"/>
    </row>
    <row r="39" spans="1:10">
      <c r="A39" s="226"/>
      <c r="B39" s="223"/>
      <c r="C39" s="203"/>
      <c r="D39" s="205"/>
      <c r="E39" s="207"/>
      <c r="F39" s="209"/>
      <c r="G39" s="205"/>
      <c r="H39" s="207"/>
      <c r="I39" s="8" t="s">
        <v>43</v>
      </c>
      <c r="J39" s="205"/>
    </row>
    <row r="40" spans="1:10">
      <c r="A40" s="225">
        <v>38961</v>
      </c>
      <c r="B40" s="222"/>
      <c r="C40" s="202"/>
      <c r="D40" s="204"/>
      <c r="E40" s="206">
        <v>160</v>
      </c>
      <c r="F40" s="6" t="s">
        <v>44</v>
      </c>
      <c r="G40" s="204">
        <f>20*1.6+110*1.5+30*1.5</f>
        <v>242</v>
      </c>
      <c r="H40" s="206">
        <f>H37-E40</f>
        <v>170</v>
      </c>
      <c r="I40" s="208">
        <v>1.5</v>
      </c>
      <c r="J40" s="204">
        <f>J37-G40</f>
        <v>255</v>
      </c>
    </row>
    <row r="41" spans="1:10">
      <c r="A41" s="228"/>
      <c r="B41" s="224"/>
      <c r="C41" s="218"/>
      <c r="D41" s="219"/>
      <c r="E41" s="220"/>
      <c r="F41" s="13" t="s">
        <v>41</v>
      </c>
      <c r="G41" s="219"/>
      <c r="H41" s="220"/>
      <c r="I41" s="221"/>
      <c r="J41" s="219"/>
    </row>
    <row r="42" spans="1:10">
      <c r="A42" s="226"/>
      <c r="B42" s="223"/>
      <c r="C42" s="203"/>
      <c r="D42" s="205"/>
      <c r="E42" s="207"/>
      <c r="F42" s="8" t="s">
        <v>30</v>
      </c>
      <c r="G42" s="205"/>
      <c r="H42" s="207"/>
      <c r="I42" s="209" t="s">
        <v>45</v>
      </c>
      <c r="J42" s="205"/>
    </row>
    <row r="43" spans="1:10">
      <c r="A43" s="225">
        <v>40817</v>
      </c>
      <c r="B43" s="222">
        <v>150</v>
      </c>
      <c r="C43" s="202">
        <v>1.7</v>
      </c>
      <c r="D43" s="204">
        <f>B43*C43</f>
        <v>255</v>
      </c>
      <c r="E43" s="206"/>
      <c r="F43" s="208"/>
      <c r="G43" s="204"/>
      <c r="H43" s="206">
        <f>H40+B43</f>
        <v>320</v>
      </c>
      <c r="I43" s="6" t="s">
        <v>46</v>
      </c>
      <c r="J43" s="204">
        <f>J40+D43</f>
        <v>510</v>
      </c>
    </row>
    <row r="44" spans="1:10">
      <c r="A44" s="228"/>
      <c r="B44" s="224"/>
      <c r="C44" s="218"/>
      <c r="D44" s="219"/>
      <c r="E44" s="220"/>
      <c r="F44" s="221"/>
      <c r="G44" s="219"/>
      <c r="H44" s="220"/>
      <c r="I44" s="8" t="s">
        <v>37</v>
      </c>
      <c r="J44" s="219"/>
    </row>
    <row r="45" spans="1:10">
      <c r="A45" s="225">
        <v>37956</v>
      </c>
      <c r="B45" s="222"/>
      <c r="C45" s="202"/>
      <c r="D45" s="204"/>
      <c r="E45" s="206">
        <v>140</v>
      </c>
      <c r="F45" s="202">
        <v>1.7</v>
      </c>
      <c r="G45" s="204">
        <f>E45*F45</f>
        <v>238</v>
      </c>
      <c r="H45" s="206">
        <f>H43-E45</f>
        <v>180</v>
      </c>
      <c r="I45" s="6" t="s">
        <v>47</v>
      </c>
      <c r="J45" s="204">
        <f>J43-G45</f>
        <v>272</v>
      </c>
    </row>
    <row r="46" spans="1:10" ht="15.75" thickBot="1">
      <c r="A46" s="187"/>
      <c r="B46" s="227"/>
      <c r="C46" s="214"/>
      <c r="D46" s="215"/>
      <c r="E46" s="216"/>
      <c r="F46" s="214"/>
      <c r="G46" s="215"/>
      <c r="H46" s="216"/>
      <c r="I46" s="12" t="s">
        <v>48</v>
      </c>
      <c r="J46" s="215"/>
    </row>
    <row r="47" spans="1:10" ht="15.75" thickBot="1"/>
    <row r="48" spans="1:10" ht="15.75" thickBot="1">
      <c r="B48" s="210" t="s">
        <v>49</v>
      </c>
      <c r="C48" s="211"/>
      <c r="D48" s="211"/>
      <c r="E48" s="211"/>
      <c r="F48" s="211"/>
      <c r="G48" s="211"/>
      <c r="H48" s="211"/>
      <c r="I48" s="211"/>
      <c r="J48" s="212"/>
    </row>
    <row r="49" spans="1:10" ht="15.75" thickBot="1">
      <c r="B49" s="197" t="s">
        <v>3</v>
      </c>
      <c r="C49" s="198"/>
      <c r="D49" s="199"/>
      <c r="E49" s="197" t="s">
        <v>4</v>
      </c>
      <c r="F49" s="198"/>
      <c r="G49" s="199"/>
      <c r="H49" s="197" t="s">
        <v>5</v>
      </c>
      <c r="I49" s="198"/>
      <c r="J49" s="199"/>
    </row>
    <row r="50" spans="1:10" ht="15.75" thickBot="1">
      <c r="A50" s="16" t="s">
        <v>26</v>
      </c>
      <c r="B50" s="2" t="s">
        <v>0</v>
      </c>
      <c r="C50" s="3" t="s">
        <v>1</v>
      </c>
      <c r="D50" s="4" t="s">
        <v>2</v>
      </c>
      <c r="E50" s="2" t="s">
        <v>0</v>
      </c>
      <c r="F50" s="3" t="s">
        <v>1</v>
      </c>
      <c r="G50" s="4" t="s">
        <v>2</v>
      </c>
      <c r="H50" s="2" t="s">
        <v>0</v>
      </c>
      <c r="I50" s="3" t="s">
        <v>1</v>
      </c>
      <c r="J50" s="4" t="s">
        <v>2</v>
      </c>
    </row>
    <row r="51" spans="1:10">
      <c r="A51" s="17">
        <v>36892</v>
      </c>
      <c r="B51" s="15"/>
      <c r="C51" s="6"/>
      <c r="D51" s="7"/>
      <c r="E51" s="5"/>
      <c r="F51" s="6"/>
      <c r="G51" s="7"/>
      <c r="H51" s="5">
        <v>200</v>
      </c>
      <c r="I51" s="6">
        <v>1.5</v>
      </c>
      <c r="J51" s="7">
        <f>H51*I51</f>
        <v>300</v>
      </c>
    </row>
    <row r="52" spans="1:10">
      <c r="A52" s="18">
        <v>44197</v>
      </c>
      <c r="B52" s="15">
        <v>300</v>
      </c>
      <c r="C52" s="6">
        <v>1.5</v>
      </c>
      <c r="D52" s="7">
        <f>B52*C52</f>
        <v>450</v>
      </c>
      <c r="E52" s="5"/>
      <c r="F52" s="6"/>
      <c r="G52" s="7"/>
      <c r="H52" s="5">
        <f>H51+B52</f>
        <v>500</v>
      </c>
      <c r="I52" s="6">
        <f t="shared" ref="I52:I59" si="0">J52/H52</f>
        <v>1.5</v>
      </c>
      <c r="J52" s="7">
        <f>J51+D52</f>
        <v>750</v>
      </c>
    </row>
    <row r="53" spans="1:10">
      <c r="A53" s="18">
        <v>39479</v>
      </c>
      <c r="B53" s="15"/>
      <c r="C53" s="6"/>
      <c r="D53" s="7"/>
      <c r="E53" s="5">
        <v>80</v>
      </c>
      <c r="F53" s="6">
        <f>I52</f>
        <v>1.5</v>
      </c>
      <c r="G53" s="7">
        <f>E53*F53</f>
        <v>120</v>
      </c>
      <c r="H53" s="5">
        <f>H52-E53</f>
        <v>420</v>
      </c>
      <c r="I53" s="6">
        <f t="shared" si="0"/>
        <v>1.5</v>
      </c>
      <c r="J53" s="7">
        <f>J52-G53</f>
        <v>630</v>
      </c>
    </row>
    <row r="54" spans="1:10">
      <c r="A54" s="18">
        <v>42430</v>
      </c>
      <c r="B54" s="15"/>
      <c r="C54" s="6"/>
      <c r="D54" s="7"/>
      <c r="E54" s="5">
        <v>110</v>
      </c>
      <c r="F54" s="6">
        <f>I53</f>
        <v>1.5</v>
      </c>
      <c r="G54" s="7">
        <f>E54*F54</f>
        <v>165</v>
      </c>
      <c r="H54" s="5">
        <f>H53-E54</f>
        <v>310</v>
      </c>
      <c r="I54" s="6">
        <f t="shared" si="0"/>
        <v>1.5</v>
      </c>
      <c r="J54" s="7">
        <f>J53-G54</f>
        <v>465</v>
      </c>
    </row>
    <row r="55" spans="1:10">
      <c r="A55" s="18">
        <v>40695</v>
      </c>
      <c r="B55" s="15">
        <v>150</v>
      </c>
      <c r="C55" s="6">
        <v>1.6</v>
      </c>
      <c r="D55" s="7">
        <f>B55*C55</f>
        <v>240</v>
      </c>
      <c r="E55" s="5"/>
      <c r="F55" s="6"/>
      <c r="G55" s="7"/>
      <c r="H55" s="5">
        <f>H54+B55</f>
        <v>460</v>
      </c>
      <c r="I55" s="6">
        <f t="shared" si="0"/>
        <v>1.5326086956521738</v>
      </c>
      <c r="J55" s="7">
        <f>J54+D55</f>
        <v>705</v>
      </c>
    </row>
    <row r="56" spans="1:10">
      <c r="A56" s="18">
        <v>43313</v>
      </c>
      <c r="B56" s="15"/>
      <c r="C56" s="6"/>
      <c r="D56" s="7"/>
      <c r="E56" s="5">
        <v>130</v>
      </c>
      <c r="F56" s="6">
        <f>I55</f>
        <v>1.5326086956521738</v>
      </c>
      <c r="G56" s="7">
        <f>E56*F56</f>
        <v>199.2391304347826</v>
      </c>
      <c r="H56" s="5">
        <f>H55-E56</f>
        <v>330</v>
      </c>
      <c r="I56" s="6">
        <f t="shared" si="0"/>
        <v>1.5326086956521738</v>
      </c>
      <c r="J56" s="7">
        <f>J55-G56</f>
        <v>505.76086956521738</v>
      </c>
    </row>
    <row r="57" spans="1:10">
      <c r="A57" s="18">
        <v>38961</v>
      </c>
      <c r="B57" s="15"/>
      <c r="C57" s="6"/>
      <c r="D57" s="7"/>
      <c r="E57" s="5">
        <v>160</v>
      </c>
      <c r="F57" s="6">
        <f>I56</f>
        <v>1.5326086956521738</v>
      </c>
      <c r="G57" s="7">
        <f>E57*F57</f>
        <v>245.21739130434781</v>
      </c>
      <c r="H57" s="5">
        <f>H56-E57</f>
        <v>170</v>
      </c>
      <c r="I57" s="6">
        <f t="shared" si="0"/>
        <v>1.5326086956521738</v>
      </c>
      <c r="J57" s="7">
        <f>J56-G57</f>
        <v>260.54347826086956</v>
      </c>
    </row>
    <row r="58" spans="1:10">
      <c r="A58" s="18">
        <v>40817</v>
      </c>
      <c r="B58" s="15">
        <v>150</v>
      </c>
      <c r="C58" s="6">
        <v>1.7</v>
      </c>
      <c r="D58" s="7">
        <f>B58*C58</f>
        <v>255</v>
      </c>
      <c r="E58" s="5"/>
      <c r="F58" s="6"/>
      <c r="G58" s="7"/>
      <c r="H58" s="5">
        <f>H57+B58</f>
        <v>320</v>
      </c>
      <c r="I58" s="6">
        <f t="shared" si="0"/>
        <v>1.6110733695652173</v>
      </c>
      <c r="J58" s="7">
        <f>J57+D58</f>
        <v>515.54347826086951</v>
      </c>
    </row>
    <row r="59" spans="1:10" ht="15.75" thickBot="1">
      <c r="A59" s="18">
        <v>37956</v>
      </c>
      <c r="B59" s="9"/>
      <c r="C59" s="10"/>
      <c r="D59" s="11"/>
      <c r="E59" s="9">
        <v>140</v>
      </c>
      <c r="F59" s="10">
        <f>I58</f>
        <v>1.6110733695652173</v>
      </c>
      <c r="G59" s="11">
        <f>E59*F59</f>
        <v>225.55027173913041</v>
      </c>
      <c r="H59" s="9">
        <f>H58-E59</f>
        <v>180</v>
      </c>
      <c r="I59" s="10">
        <f t="shared" si="0"/>
        <v>1.6110733695652173</v>
      </c>
      <c r="J59" s="11">
        <f>J58-G59</f>
        <v>289.99320652173913</v>
      </c>
    </row>
    <row r="60" spans="1:10">
      <c r="A60" s="19"/>
    </row>
  </sheetData>
  <mergeCells count="153">
    <mergeCell ref="H45:H46"/>
    <mergeCell ref="J45:J46"/>
    <mergeCell ref="B48:J48"/>
    <mergeCell ref="B49:D49"/>
    <mergeCell ref="E49:G49"/>
    <mergeCell ref="H49:J49"/>
    <mergeCell ref="A45:A46"/>
    <mergeCell ref="B45:B46"/>
    <mergeCell ref="C45:C46"/>
    <mergeCell ref="D45:D46"/>
    <mergeCell ref="E45:E46"/>
    <mergeCell ref="G45:G46"/>
    <mergeCell ref="A43:A44"/>
    <mergeCell ref="B43:B44"/>
    <mergeCell ref="C43:C44"/>
    <mergeCell ref="D43:D44"/>
    <mergeCell ref="E43:E44"/>
    <mergeCell ref="F43:F44"/>
    <mergeCell ref="G43:G44"/>
    <mergeCell ref="H43:H44"/>
    <mergeCell ref="J43:J44"/>
    <mergeCell ref="J37:J39"/>
    <mergeCell ref="A40:A42"/>
    <mergeCell ref="B40:B42"/>
    <mergeCell ref="C40:C42"/>
    <mergeCell ref="D40:D42"/>
    <mergeCell ref="E40:E42"/>
    <mergeCell ref="G40:G42"/>
    <mergeCell ref="H40:H42"/>
    <mergeCell ref="J40:J42"/>
    <mergeCell ref="A32:A33"/>
    <mergeCell ref="A34:A36"/>
    <mergeCell ref="A37:A39"/>
    <mergeCell ref="B37:B39"/>
    <mergeCell ref="C37:C39"/>
    <mergeCell ref="A16:A17"/>
    <mergeCell ref="A18:A20"/>
    <mergeCell ref="A21:A22"/>
    <mergeCell ref="H37:H39"/>
    <mergeCell ref="A28:A29"/>
    <mergeCell ref="B34:B36"/>
    <mergeCell ref="C34:C36"/>
    <mergeCell ref="D34:D36"/>
    <mergeCell ref="E34:E36"/>
    <mergeCell ref="F34:F36"/>
    <mergeCell ref="G34:G36"/>
    <mergeCell ref="H34:H36"/>
    <mergeCell ref="E21:E22"/>
    <mergeCell ref="G21:G22"/>
    <mergeCell ref="H21:H22"/>
    <mergeCell ref="A5:A6"/>
    <mergeCell ref="A7:A8"/>
    <mergeCell ref="A9:A10"/>
    <mergeCell ref="A11:A13"/>
    <mergeCell ref="A14:A15"/>
    <mergeCell ref="F45:F46"/>
    <mergeCell ref="I40:I42"/>
    <mergeCell ref="F37:F39"/>
    <mergeCell ref="D37:D39"/>
    <mergeCell ref="E37:E39"/>
    <mergeCell ref="G37:G39"/>
    <mergeCell ref="H32:H33"/>
    <mergeCell ref="H28:H29"/>
    <mergeCell ref="B24:J24"/>
    <mergeCell ref="B25:D25"/>
    <mergeCell ref="E25:G25"/>
    <mergeCell ref="H25:J25"/>
    <mergeCell ref="H18:H20"/>
    <mergeCell ref="J18:J20"/>
    <mergeCell ref="B21:B22"/>
    <mergeCell ref="C21:C22"/>
    <mergeCell ref="D21:D22"/>
    <mergeCell ref="A30:A31"/>
    <mergeCell ref="J32:J33"/>
    <mergeCell ref="J34:J36"/>
    <mergeCell ref="B32:B33"/>
    <mergeCell ref="C32:C33"/>
    <mergeCell ref="D32:D33"/>
    <mergeCell ref="E32:E33"/>
    <mergeCell ref="F32:F33"/>
    <mergeCell ref="G32:G33"/>
    <mergeCell ref="J28:J29"/>
    <mergeCell ref="B30:B31"/>
    <mergeCell ref="C30:C31"/>
    <mergeCell ref="D30:D31"/>
    <mergeCell ref="E30:E31"/>
    <mergeCell ref="F30:F31"/>
    <mergeCell ref="G30:G31"/>
    <mergeCell ref="H30:H31"/>
    <mergeCell ref="J30:J31"/>
    <mergeCell ref="B28:B29"/>
    <mergeCell ref="C28:C29"/>
    <mergeCell ref="D28:D29"/>
    <mergeCell ref="E28:E29"/>
    <mergeCell ref="F28:F29"/>
    <mergeCell ref="G28:G29"/>
    <mergeCell ref="J21:J22"/>
    <mergeCell ref="B18:B20"/>
    <mergeCell ref="C18:C20"/>
    <mergeCell ref="D18:D20"/>
    <mergeCell ref="E18:E20"/>
    <mergeCell ref="F18:F20"/>
    <mergeCell ref="G18:G20"/>
    <mergeCell ref="H14:H15"/>
    <mergeCell ref="J14:J15"/>
    <mergeCell ref="B16:B17"/>
    <mergeCell ref="C16:C17"/>
    <mergeCell ref="D16:D17"/>
    <mergeCell ref="E16:E17"/>
    <mergeCell ref="G16:G17"/>
    <mergeCell ref="H16:H17"/>
    <mergeCell ref="J16:J17"/>
    <mergeCell ref="B14:B15"/>
    <mergeCell ref="C14:C15"/>
    <mergeCell ref="D14:D15"/>
    <mergeCell ref="E14:E15"/>
    <mergeCell ref="G14:G15"/>
    <mergeCell ref="F16:F17"/>
    <mergeCell ref="J9:J10"/>
    <mergeCell ref="B11:B13"/>
    <mergeCell ref="C11:C13"/>
    <mergeCell ref="D11:D13"/>
    <mergeCell ref="E11:E13"/>
    <mergeCell ref="F11:F13"/>
    <mergeCell ref="G11:G13"/>
    <mergeCell ref="H11:H13"/>
    <mergeCell ref="J11:J13"/>
    <mergeCell ref="B9:B10"/>
    <mergeCell ref="C9:C10"/>
    <mergeCell ref="D9:D10"/>
    <mergeCell ref="E9:E10"/>
    <mergeCell ref="G9:G10"/>
    <mergeCell ref="H9:H10"/>
    <mergeCell ref="B1:J1"/>
    <mergeCell ref="B2:D2"/>
    <mergeCell ref="E2:G2"/>
    <mergeCell ref="H2:J2"/>
    <mergeCell ref="H5:H6"/>
    <mergeCell ref="J5:J6"/>
    <mergeCell ref="B7:B8"/>
    <mergeCell ref="C7:C8"/>
    <mergeCell ref="D7:D8"/>
    <mergeCell ref="E7:E8"/>
    <mergeCell ref="F7:F8"/>
    <mergeCell ref="G7:G8"/>
    <mergeCell ref="H7:H8"/>
    <mergeCell ref="J7:J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4"/>
  <dimension ref="A1:O46"/>
  <sheetViews>
    <sheetView workbookViewId="0">
      <selection sqref="A1:A3"/>
    </sheetView>
  </sheetViews>
  <sheetFormatPr baseColWidth="10" defaultRowHeight="15"/>
  <cols>
    <col min="1" max="1" width="7.140625" bestFit="1" customWidth="1"/>
    <col min="2" max="2" width="8" bestFit="1" customWidth="1"/>
    <col min="3" max="3" width="5.42578125" bestFit="1" customWidth="1"/>
    <col min="4" max="4" width="7.85546875" bestFit="1" customWidth="1"/>
    <col min="5" max="5" width="8" bestFit="1" customWidth="1"/>
    <col min="6" max="6" width="10" bestFit="1" customWidth="1"/>
    <col min="7" max="7" width="7.85546875" bestFit="1" customWidth="1"/>
    <col min="8" max="8" width="8" bestFit="1" customWidth="1"/>
    <col min="9" max="9" width="10" bestFit="1" customWidth="1"/>
    <col min="10" max="10" width="7.85546875" bestFit="1" customWidth="1"/>
    <col min="12" max="12" width="30" bestFit="1" customWidth="1"/>
  </cols>
  <sheetData>
    <row r="1" spans="1:15" ht="15.75" customHeight="1" thickBot="1">
      <c r="A1" s="229" t="s">
        <v>26</v>
      </c>
      <c r="B1" s="210" t="s">
        <v>17</v>
      </c>
      <c r="C1" s="211"/>
      <c r="D1" s="211"/>
      <c r="E1" s="211"/>
      <c r="F1" s="211"/>
      <c r="G1" s="211"/>
      <c r="H1" s="211"/>
      <c r="I1" s="211"/>
      <c r="J1" s="212"/>
      <c r="L1" s="46" t="s">
        <v>72</v>
      </c>
      <c r="M1" s="47" t="s">
        <v>73</v>
      </c>
      <c r="N1" s="48" t="s">
        <v>76</v>
      </c>
      <c r="O1" s="43"/>
    </row>
    <row r="2" spans="1:15" ht="15.75" thickBot="1">
      <c r="A2" s="186"/>
      <c r="B2" s="197" t="s">
        <v>3</v>
      </c>
      <c r="C2" s="198"/>
      <c r="D2" s="199"/>
      <c r="E2" s="197" t="s">
        <v>4</v>
      </c>
      <c r="F2" s="198"/>
      <c r="G2" s="199"/>
      <c r="H2" s="197" t="s">
        <v>5</v>
      </c>
      <c r="I2" s="198"/>
      <c r="J2" s="199"/>
      <c r="L2" s="46" t="s">
        <v>74</v>
      </c>
      <c r="M2" s="47" t="s">
        <v>75</v>
      </c>
      <c r="N2" s="48" t="s">
        <v>77</v>
      </c>
      <c r="O2" s="43"/>
    </row>
    <row r="3" spans="1:15" ht="15.75" thickBot="1">
      <c r="A3" s="187"/>
      <c r="B3" s="2" t="s">
        <v>0</v>
      </c>
      <c r="C3" s="3" t="s">
        <v>1</v>
      </c>
      <c r="D3" s="4" t="s">
        <v>2</v>
      </c>
      <c r="E3" s="2" t="s">
        <v>0</v>
      </c>
      <c r="F3" s="3" t="s">
        <v>1</v>
      </c>
      <c r="G3" s="4" t="s">
        <v>2</v>
      </c>
      <c r="H3" s="2" t="s">
        <v>0</v>
      </c>
      <c r="I3" s="3" t="s">
        <v>1</v>
      </c>
      <c r="J3" s="4" t="s">
        <v>2</v>
      </c>
    </row>
    <row r="4" spans="1:15">
      <c r="A4" s="17">
        <v>36892</v>
      </c>
      <c r="B4" s="15"/>
      <c r="C4" s="6"/>
      <c r="D4" s="7"/>
      <c r="E4" s="5"/>
      <c r="F4" s="6"/>
      <c r="G4" s="7"/>
      <c r="H4" s="5">
        <v>100</v>
      </c>
      <c r="I4" s="6">
        <v>8</v>
      </c>
      <c r="J4" s="7">
        <f>H4*I4</f>
        <v>800</v>
      </c>
    </row>
    <row r="5" spans="1:15">
      <c r="A5" s="225">
        <v>38718</v>
      </c>
      <c r="B5" s="222">
        <v>60</v>
      </c>
      <c r="C5" s="202">
        <v>9</v>
      </c>
      <c r="D5" s="204">
        <f>B5*C5</f>
        <v>540</v>
      </c>
      <c r="E5" s="206"/>
      <c r="F5" s="208"/>
      <c r="G5" s="204"/>
      <c r="H5" s="206">
        <f>H4+B5</f>
        <v>160</v>
      </c>
      <c r="I5" s="30" t="s">
        <v>56</v>
      </c>
      <c r="J5" s="204">
        <f>J4+D5</f>
        <v>1340</v>
      </c>
      <c r="M5" s="42" t="s">
        <v>17</v>
      </c>
      <c r="N5" s="42" t="s">
        <v>53</v>
      </c>
      <c r="O5" s="42" t="s">
        <v>49</v>
      </c>
    </row>
    <row r="6" spans="1:15">
      <c r="A6" s="226"/>
      <c r="B6" s="223"/>
      <c r="C6" s="203"/>
      <c r="D6" s="205"/>
      <c r="E6" s="207"/>
      <c r="F6" s="209"/>
      <c r="G6" s="205"/>
      <c r="H6" s="207"/>
      <c r="I6" s="32" t="s">
        <v>57</v>
      </c>
      <c r="J6" s="205"/>
      <c r="L6" s="41" t="s">
        <v>69</v>
      </c>
      <c r="M6" s="45">
        <v>6770</v>
      </c>
      <c r="N6" s="45">
        <v>6770</v>
      </c>
      <c r="O6" s="45">
        <v>6770</v>
      </c>
    </row>
    <row r="7" spans="1:15">
      <c r="A7" s="225">
        <v>41275</v>
      </c>
      <c r="B7" s="222"/>
      <c r="C7" s="202"/>
      <c r="D7" s="204"/>
      <c r="E7" s="206">
        <v>70</v>
      </c>
      <c r="F7" s="208">
        <v>8</v>
      </c>
      <c r="G7" s="204">
        <f>E7*F7</f>
        <v>560</v>
      </c>
      <c r="H7" s="206">
        <f>H5-E7</f>
        <v>90</v>
      </c>
      <c r="I7" s="30" t="s">
        <v>58</v>
      </c>
      <c r="J7" s="204">
        <f>J5-G7</f>
        <v>780</v>
      </c>
      <c r="L7" s="41" t="s">
        <v>78</v>
      </c>
      <c r="M7" s="45"/>
      <c r="N7" s="45"/>
      <c r="O7" s="45"/>
    </row>
    <row r="8" spans="1:15">
      <c r="A8" s="226"/>
      <c r="B8" s="223"/>
      <c r="C8" s="203"/>
      <c r="D8" s="205"/>
      <c r="E8" s="207"/>
      <c r="F8" s="209"/>
      <c r="G8" s="205"/>
      <c r="H8" s="207"/>
      <c r="I8" s="32" t="s">
        <v>57</v>
      </c>
      <c r="J8" s="205"/>
      <c r="L8" s="44" t="s">
        <v>70</v>
      </c>
      <c r="M8" s="45">
        <v>800</v>
      </c>
      <c r="N8" s="45">
        <v>800</v>
      </c>
      <c r="O8" s="45">
        <v>800</v>
      </c>
    </row>
    <row r="9" spans="1:15">
      <c r="A9" s="225">
        <v>44197</v>
      </c>
      <c r="B9" s="222">
        <v>150</v>
      </c>
      <c r="C9" s="202">
        <v>9</v>
      </c>
      <c r="D9" s="204">
        <f>B9*C9</f>
        <v>1350</v>
      </c>
      <c r="E9" s="206"/>
      <c r="F9" s="208"/>
      <c r="G9" s="204"/>
      <c r="H9" s="206">
        <f>H7+B9</f>
        <v>240</v>
      </c>
      <c r="I9" s="30" t="s">
        <v>59</v>
      </c>
      <c r="J9" s="204">
        <f>J7+D9</f>
        <v>2130</v>
      </c>
      <c r="L9" s="44" t="s">
        <v>79</v>
      </c>
      <c r="M9" s="45">
        <v>2790</v>
      </c>
      <c r="N9" s="45">
        <v>2790</v>
      </c>
      <c r="O9" s="45">
        <v>2790</v>
      </c>
    </row>
    <row r="10" spans="1:15">
      <c r="A10" s="228"/>
      <c r="B10" s="224"/>
      <c r="C10" s="218"/>
      <c r="D10" s="219"/>
      <c r="E10" s="220"/>
      <c r="F10" s="221"/>
      <c r="G10" s="219"/>
      <c r="H10" s="220"/>
      <c r="I10" s="33" t="s">
        <v>57</v>
      </c>
      <c r="J10" s="219"/>
      <c r="L10" s="44" t="s">
        <v>80</v>
      </c>
      <c r="M10" s="45">
        <f>J17</f>
        <v>630</v>
      </c>
      <c r="N10" s="45">
        <f>J34</f>
        <v>840</v>
      </c>
      <c r="O10" s="45">
        <f>J46</f>
        <v>872.2265625</v>
      </c>
    </row>
    <row r="11" spans="1:15">
      <c r="A11" s="226"/>
      <c r="B11" s="223"/>
      <c r="C11" s="203"/>
      <c r="D11" s="205"/>
      <c r="E11" s="207"/>
      <c r="F11" s="209"/>
      <c r="G11" s="205"/>
      <c r="H11" s="207"/>
      <c r="I11" s="32" t="s">
        <v>60</v>
      </c>
      <c r="J11" s="205"/>
      <c r="L11" s="44" t="s">
        <v>81</v>
      </c>
      <c r="M11" s="45">
        <f>M8+M9-M10</f>
        <v>2960</v>
      </c>
      <c r="N11" s="45">
        <f>N8+N9-N10</f>
        <v>2750</v>
      </c>
      <c r="O11" s="45">
        <f>O8+O9-O10</f>
        <v>2717.7734375</v>
      </c>
    </row>
    <row r="12" spans="1:15">
      <c r="A12" s="225">
        <v>45292</v>
      </c>
      <c r="B12" s="222"/>
      <c r="C12" s="202"/>
      <c r="D12" s="204"/>
      <c r="E12" s="206">
        <v>210</v>
      </c>
      <c r="F12" s="30" t="s">
        <v>59</v>
      </c>
      <c r="G12" s="204">
        <f>30*8+60*9+120*9</f>
        <v>1860</v>
      </c>
      <c r="H12" s="206">
        <f>H9-E12</f>
        <v>30</v>
      </c>
      <c r="I12" s="208">
        <v>9</v>
      </c>
      <c r="J12" s="204">
        <f>J9-G12</f>
        <v>270</v>
      </c>
      <c r="L12" s="44" t="s">
        <v>82</v>
      </c>
      <c r="M12" s="45">
        <f>M6-M11</f>
        <v>3810</v>
      </c>
      <c r="N12" s="45">
        <f>N6-N11</f>
        <v>4020</v>
      </c>
      <c r="O12" s="45">
        <f>O6-O11</f>
        <v>4052.2265625</v>
      </c>
    </row>
    <row r="13" spans="1:15">
      <c r="A13" s="186"/>
      <c r="B13" s="224"/>
      <c r="C13" s="218"/>
      <c r="D13" s="219"/>
      <c r="E13" s="220"/>
      <c r="F13" s="33" t="s">
        <v>57</v>
      </c>
      <c r="G13" s="219"/>
      <c r="H13" s="220"/>
      <c r="I13" s="221" t="s">
        <v>29</v>
      </c>
      <c r="J13" s="219"/>
      <c r="L13" s="44" t="s">
        <v>83</v>
      </c>
      <c r="M13" s="45">
        <v>1900</v>
      </c>
      <c r="N13" s="45">
        <v>1900</v>
      </c>
      <c r="O13" s="45">
        <v>1900</v>
      </c>
    </row>
    <row r="14" spans="1:15">
      <c r="A14" s="226"/>
      <c r="B14" s="223"/>
      <c r="C14" s="203"/>
      <c r="D14" s="205"/>
      <c r="E14" s="207"/>
      <c r="F14" s="32" t="s">
        <v>61</v>
      </c>
      <c r="G14" s="205"/>
      <c r="H14" s="207"/>
      <c r="I14" s="209" t="s">
        <v>34</v>
      </c>
      <c r="J14" s="205"/>
      <c r="L14" s="44" t="s">
        <v>84</v>
      </c>
      <c r="M14" s="45">
        <f>M12-M13</f>
        <v>1910</v>
      </c>
      <c r="N14" s="45">
        <f>N12-N13</f>
        <v>2120</v>
      </c>
      <c r="O14" s="45">
        <f>O12-O13</f>
        <v>2152.2265625</v>
      </c>
    </row>
    <row r="15" spans="1:15">
      <c r="A15" s="225">
        <v>46388</v>
      </c>
      <c r="B15" s="222">
        <v>90</v>
      </c>
      <c r="C15" s="202">
        <v>10</v>
      </c>
      <c r="D15" s="204">
        <f>B15*C15</f>
        <v>900</v>
      </c>
      <c r="E15" s="206"/>
      <c r="F15" s="208"/>
      <c r="G15" s="204"/>
      <c r="H15" s="206">
        <f>H12+B15</f>
        <v>120</v>
      </c>
      <c r="I15" s="30" t="s">
        <v>62</v>
      </c>
      <c r="J15" s="204">
        <f>J14+D15</f>
        <v>900</v>
      </c>
      <c r="L15" s="44" t="s">
        <v>71</v>
      </c>
      <c r="M15" s="45">
        <f>M14*0.1</f>
        <v>191</v>
      </c>
      <c r="N15" s="45">
        <f>N14*0.1</f>
        <v>212</v>
      </c>
      <c r="O15" s="45">
        <f>O14*0.1</f>
        <v>215.22265625</v>
      </c>
    </row>
    <row r="16" spans="1:15">
      <c r="A16" s="226"/>
      <c r="B16" s="223"/>
      <c r="C16" s="203"/>
      <c r="D16" s="205"/>
      <c r="E16" s="207"/>
      <c r="F16" s="209"/>
      <c r="G16" s="205"/>
      <c r="H16" s="207"/>
      <c r="I16" s="32" t="s">
        <v>63</v>
      </c>
      <c r="J16" s="205"/>
      <c r="L16" s="44" t="s">
        <v>85</v>
      </c>
      <c r="M16" s="45">
        <f>M14-M15</f>
        <v>1719</v>
      </c>
      <c r="N16" s="45">
        <f>N14-N15</f>
        <v>1908</v>
      </c>
      <c r="O16" s="45">
        <f>O14-O15</f>
        <v>1937.00390625</v>
      </c>
    </row>
    <row r="17" spans="1:10">
      <c r="A17" s="225">
        <v>10959</v>
      </c>
      <c r="B17" s="222"/>
      <c r="C17" s="202"/>
      <c r="D17" s="204"/>
      <c r="E17" s="206">
        <v>30</v>
      </c>
      <c r="F17" s="208">
        <v>9</v>
      </c>
      <c r="G17" s="204">
        <f>E17*F17</f>
        <v>270</v>
      </c>
      <c r="H17" s="206">
        <f>H15-E17</f>
        <v>90</v>
      </c>
      <c r="I17" s="202">
        <v>10</v>
      </c>
      <c r="J17" s="204">
        <f>J15-G17</f>
        <v>630</v>
      </c>
    </row>
    <row r="18" spans="1:10" ht="15.75" thickBot="1">
      <c r="A18" s="187"/>
      <c r="B18" s="227"/>
      <c r="C18" s="214"/>
      <c r="D18" s="215"/>
      <c r="E18" s="216"/>
      <c r="F18" s="230"/>
      <c r="G18" s="215"/>
      <c r="H18" s="216"/>
      <c r="I18" s="214" t="s">
        <v>34</v>
      </c>
      <c r="J18" s="215"/>
    </row>
    <row r="19" spans="1:10" ht="15.75" thickBot="1">
      <c r="B19" s="1"/>
      <c r="C19" s="1"/>
      <c r="D19" s="1"/>
      <c r="E19" s="1"/>
      <c r="F19" s="1"/>
      <c r="G19" s="1"/>
      <c r="H19" s="1"/>
      <c r="I19" s="1"/>
      <c r="J19" s="1"/>
    </row>
    <row r="20" spans="1:10" ht="15.75" thickBot="1">
      <c r="A20" s="229" t="s">
        <v>26</v>
      </c>
      <c r="B20" s="210" t="s">
        <v>18</v>
      </c>
      <c r="C20" s="211"/>
      <c r="D20" s="211"/>
      <c r="E20" s="211"/>
      <c r="F20" s="211"/>
      <c r="G20" s="211"/>
      <c r="H20" s="211"/>
      <c r="I20" s="211"/>
      <c r="J20" s="212"/>
    </row>
    <row r="21" spans="1:10" ht="15.75" thickBot="1">
      <c r="A21" s="186"/>
      <c r="B21" s="197" t="s">
        <v>3</v>
      </c>
      <c r="C21" s="198"/>
      <c r="D21" s="199"/>
      <c r="E21" s="197" t="s">
        <v>4</v>
      </c>
      <c r="F21" s="198"/>
      <c r="G21" s="199"/>
      <c r="H21" s="197" t="s">
        <v>5</v>
      </c>
      <c r="I21" s="198"/>
      <c r="J21" s="199"/>
    </row>
    <row r="22" spans="1:10" ht="15.75" thickBot="1">
      <c r="A22" s="187"/>
      <c r="B22" s="2" t="s">
        <v>0</v>
      </c>
      <c r="C22" s="3" t="s">
        <v>1</v>
      </c>
      <c r="D22" s="4" t="s">
        <v>2</v>
      </c>
      <c r="E22" s="2" t="s">
        <v>0</v>
      </c>
      <c r="F22" s="3" t="s">
        <v>1</v>
      </c>
      <c r="G22" s="4" t="s">
        <v>2</v>
      </c>
      <c r="H22" s="2" t="s">
        <v>0</v>
      </c>
      <c r="I22" s="3" t="s">
        <v>1</v>
      </c>
      <c r="J22" s="4" t="s">
        <v>2</v>
      </c>
    </row>
    <row r="23" spans="1:10">
      <c r="A23" s="17">
        <v>36892</v>
      </c>
      <c r="B23" s="15"/>
      <c r="C23" s="30"/>
      <c r="D23" s="7"/>
      <c r="E23" s="28"/>
      <c r="F23" s="30"/>
      <c r="G23" s="7"/>
      <c r="H23" s="28">
        <v>100</v>
      </c>
      <c r="I23" s="30">
        <v>8</v>
      </c>
      <c r="J23" s="7">
        <f>H23*I23</f>
        <v>800</v>
      </c>
    </row>
    <row r="24" spans="1:10">
      <c r="A24" s="225">
        <v>38718</v>
      </c>
      <c r="B24" s="222">
        <v>60</v>
      </c>
      <c r="C24" s="202">
        <v>9</v>
      </c>
      <c r="D24" s="204">
        <f>B24*C24</f>
        <v>540</v>
      </c>
      <c r="E24" s="206"/>
      <c r="F24" s="208"/>
      <c r="G24" s="204"/>
      <c r="H24" s="206">
        <f>H23+B24</f>
        <v>160</v>
      </c>
      <c r="I24" s="30" t="s">
        <v>56</v>
      </c>
      <c r="J24" s="204">
        <f>J23+D24</f>
        <v>1340</v>
      </c>
    </row>
    <row r="25" spans="1:10">
      <c r="A25" s="226"/>
      <c r="B25" s="223"/>
      <c r="C25" s="203"/>
      <c r="D25" s="205"/>
      <c r="E25" s="207"/>
      <c r="F25" s="209"/>
      <c r="G25" s="205"/>
      <c r="H25" s="207"/>
      <c r="I25" s="32" t="s">
        <v>57</v>
      </c>
      <c r="J25" s="205"/>
    </row>
    <row r="26" spans="1:10">
      <c r="A26" s="225">
        <v>41275</v>
      </c>
      <c r="B26" s="222"/>
      <c r="C26" s="202"/>
      <c r="D26" s="204"/>
      <c r="E26" s="206">
        <v>70</v>
      </c>
      <c r="F26" s="30" t="s">
        <v>64</v>
      </c>
      <c r="G26" s="204">
        <f>60*9+10*8</f>
        <v>620</v>
      </c>
      <c r="H26" s="206">
        <f>H24-E26</f>
        <v>90</v>
      </c>
      <c r="I26" s="208">
        <v>8</v>
      </c>
      <c r="J26" s="204">
        <f>J24-G26</f>
        <v>720</v>
      </c>
    </row>
    <row r="27" spans="1:10">
      <c r="A27" s="226"/>
      <c r="B27" s="223"/>
      <c r="C27" s="203"/>
      <c r="D27" s="205"/>
      <c r="E27" s="207"/>
      <c r="F27" s="32" t="s">
        <v>65</v>
      </c>
      <c r="G27" s="205"/>
      <c r="H27" s="207"/>
      <c r="I27" s="209" t="s">
        <v>57</v>
      </c>
      <c r="J27" s="205"/>
    </row>
    <row r="28" spans="1:10">
      <c r="A28" s="225">
        <v>44197</v>
      </c>
      <c r="B28" s="222">
        <v>150</v>
      </c>
      <c r="C28" s="202">
        <v>9</v>
      </c>
      <c r="D28" s="204">
        <f>B28*C28</f>
        <v>1350</v>
      </c>
      <c r="E28" s="206"/>
      <c r="F28" s="208"/>
      <c r="G28" s="204"/>
      <c r="H28" s="206">
        <f>H26+B28</f>
        <v>240</v>
      </c>
      <c r="I28" s="30" t="s">
        <v>66</v>
      </c>
      <c r="J28" s="204">
        <f>J26+D28</f>
        <v>2070</v>
      </c>
    </row>
    <row r="29" spans="1:10">
      <c r="A29" s="228"/>
      <c r="B29" s="224"/>
      <c r="C29" s="218"/>
      <c r="D29" s="219"/>
      <c r="E29" s="220"/>
      <c r="F29" s="221"/>
      <c r="G29" s="219"/>
      <c r="H29" s="220"/>
      <c r="I29" s="33" t="s">
        <v>60</v>
      </c>
      <c r="J29" s="219"/>
    </row>
    <row r="30" spans="1:10">
      <c r="A30" s="225">
        <v>45292</v>
      </c>
      <c r="B30" s="222"/>
      <c r="C30" s="202"/>
      <c r="D30" s="204"/>
      <c r="E30" s="206">
        <v>210</v>
      </c>
      <c r="F30" s="30" t="s">
        <v>60</v>
      </c>
      <c r="G30" s="204">
        <f>150*9+60*8</f>
        <v>1830</v>
      </c>
      <c r="H30" s="206">
        <f>H28-E30</f>
        <v>30</v>
      </c>
      <c r="I30" s="208">
        <v>8</v>
      </c>
      <c r="J30" s="204">
        <f>J28-G30</f>
        <v>240</v>
      </c>
    </row>
    <row r="31" spans="1:10">
      <c r="A31" s="186"/>
      <c r="B31" s="224"/>
      <c r="C31" s="218"/>
      <c r="D31" s="219"/>
      <c r="E31" s="220"/>
      <c r="F31" s="33" t="s">
        <v>67</v>
      </c>
      <c r="G31" s="219"/>
      <c r="H31" s="220"/>
      <c r="I31" s="221" t="s">
        <v>29</v>
      </c>
      <c r="J31" s="219"/>
    </row>
    <row r="32" spans="1:10">
      <c r="A32" s="225">
        <v>46388</v>
      </c>
      <c r="B32" s="222">
        <v>90</v>
      </c>
      <c r="C32" s="202">
        <v>10</v>
      </c>
      <c r="D32" s="204">
        <f>B32*C32</f>
        <v>900</v>
      </c>
      <c r="E32" s="206"/>
      <c r="F32" s="208"/>
      <c r="G32" s="204"/>
      <c r="H32" s="206">
        <f>H30+B32</f>
        <v>120</v>
      </c>
      <c r="I32" s="30" t="s">
        <v>58</v>
      </c>
      <c r="J32" s="204">
        <f>J30+D32</f>
        <v>1140</v>
      </c>
    </row>
    <row r="33" spans="1:10">
      <c r="A33" s="226"/>
      <c r="B33" s="223"/>
      <c r="C33" s="203"/>
      <c r="D33" s="205"/>
      <c r="E33" s="207"/>
      <c r="F33" s="209"/>
      <c r="G33" s="205"/>
      <c r="H33" s="207"/>
      <c r="I33" s="32" t="s">
        <v>63</v>
      </c>
      <c r="J33" s="205"/>
    </row>
    <row r="34" spans="1:10">
      <c r="A34" s="225">
        <v>10959</v>
      </c>
      <c r="B34" s="222"/>
      <c r="C34" s="202"/>
      <c r="D34" s="204"/>
      <c r="E34" s="206">
        <v>30</v>
      </c>
      <c r="F34" s="208">
        <v>10</v>
      </c>
      <c r="G34" s="204">
        <f>E34*F34</f>
        <v>300</v>
      </c>
      <c r="H34" s="206">
        <f>H32-E34</f>
        <v>90</v>
      </c>
      <c r="I34" s="30" t="s">
        <v>58</v>
      </c>
      <c r="J34" s="204">
        <f>J32-G34</f>
        <v>840</v>
      </c>
    </row>
    <row r="35" spans="1:10" ht="15.75" thickBot="1">
      <c r="A35" s="187"/>
      <c r="B35" s="227"/>
      <c r="C35" s="214"/>
      <c r="D35" s="215"/>
      <c r="E35" s="216"/>
      <c r="F35" s="230"/>
      <c r="G35" s="215"/>
      <c r="H35" s="216"/>
      <c r="I35" s="31" t="s">
        <v>68</v>
      </c>
      <c r="J35" s="215"/>
    </row>
    <row r="36" spans="1:10" ht="15.75" thickBot="1"/>
    <row r="37" spans="1:10" ht="15.75" thickBot="1">
      <c r="A37" s="229" t="s">
        <v>26</v>
      </c>
      <c r="B37" s="210" t="s">
        <v>18</v>
      </c>
      <c r="C37" s="211"/>
      <c r="D37" s="211"/>
      <c r="E37" s="211"/>
      <c r="F37" s="211"/>
      <c r="G37" s="211"/>
      <c r="H37" s="211"/>
      <c r="I37" s="211"/>
      <c r="J37" s="212"/>
    </row>
    <row r="38" spans="1:10" ht="15.75" thickBot="1">
      <c r="A38" s="186"/>
      <c r="B38" s="197" t="s">
        <v>3</v>
      </c>
      <c r="C38" s="198"/>
      <c r="D38" s="199"/>
      <c r="E38" s="197" t="s">
        <v>4</v>
      </c>
      <c r="F38" s="198"/>
      <c r="G38" s="199"/>
      <c r="H38" s="197" t="s">
        <v>5</v>
      </c>
      <c r="I38" s="198"/>
      <c r="J38" s="199"/>
    </row>
    <row r="39" spans="1:10" ht="15.75" thickBot="1">
      <c r="A39" s="187"/>
      <c r="B39" s="2" t="s">
        <v>0</v>
      </c>
      <c r="C39" s="3" t="s">
        <v>1</v>
      </c>
      <c r="D39" s="4" t="s">
        <v>2</v>
      </c>
      <c r="E39" s="2" t="s">
        <v>0</v>
      </c>
      <c r="F39" s="3" t="s">
        <v>1</v>
      </c>
      <c r="G39" s="4" t="s">
        <v>2</v>
      </c>
      <c r="H39" s="2" t="s">
        <v>0</v>
      </c>
      <c r="I39" s="3" t="s">
        <v>1</v>
      </c>
      <c r="J39" s="4" t="s">
        <v>2</v>
      </c>
    </row>
    <row r="40" spans="1:10">
      <c r="A40" s="17">
        <v>36892</v>
      </c>
      <c r="B40" s="15"/>
      <c r="C40" s="30"/>
      <c r="D40" s="7"/>
      <c r="E40" s="28"/>
      <c r="F40" s="30"/>
      <c r="G40" s="7"/>
      <c r="H40" s="28">
        <v>100</v>
      </c>
      <c r="I40" s="30">
        <v>8</v>
      </c>
      <c r="J40" s="7">
        <f>H40*I40</f>
        <v>800</v>
      </c>
    </row>
    <row r="41" spans="1:10">
      <c r="A41" s="34">
        <v>38718</v>
      </c>
      <c r="B41" s="35">
        <v>60</v>
      </c>
      <c r="C41" s="30">
        <v>9</v>
      </c>
      <c r="D41" s="29">
        <f>B41*C41</f>
        <v>540</v>
      </c>
      <c r="E41" s="28"/>
      <c r="F41" s="27"/>
      <c r="G41" s="29"/>
      <c r="H41" s="28">
        <f>H40+B41</f>
        <v>160</v>
      </c>
      <c r="I41" s="30">
        <f t="shared" ref="I41:I46" si="0">J41/H41</f>
        <v>8.375</v>
      </c>
      <c r="J41" s="29">
        <f>J40+D41</f>
        <v>1340</v>
      </c>
    </row>
    <row r="42" spans="1:10">
      <c r="A42" s="34">
        <v>41275</v>
      </c>
      <c r="B42" s="35"/>
      <c r="C42" s="30"/>
      <c r="D42" s="29"/>
      <c r="E42" s="28">
        <v>70</v>
      </c>
      <c r="F42" s="30">
        <f>I41</f>
        <v>8.375</v>
      </c>
      <c r="G42" s="29">
        <f>E42*F42</f>
        <v>586.25</v>
      </c>
      <c r="H42" s="28">
        <f>H41-E42</f>
        <v>90</v>
      </c>
      <c r="I42" s="30">
        <f t="shared" si="0"/>
        <v>8.375</v>
      </c>
      <c r="J42" s="29">
        <f>J41-G42</f>
        <v>753.75</v>
      </c>
    </row>
    <row r="43" spans="1:10">
      <c r="A43" s="34">
        <v>44197</v>
      </c>
      <c r="B43" s="35">
        <v>150</v>
      </c>
      <c r="C43" s="30">
        <v>9</v>
      </c>
      <c r="D43" s="29">
        <f>B43*C43</f>
        <v>1350</v>
      </c>
      <c r="E43" s="28"/>
      <c r="F43" s="27"/>
      <c r="G43" s="29"/>
      <c r="H43" s="28">
        <f>H42+B43</f>
        <v>240</v>
      </c>
      <c r="I43" s="30">
        <f t="shared" si="0"/>
        <v>8.765625</v>
      </c>
      <c r="J43" s="29">
        <f>J42+D43</f>
        <v>2103.75</v>
      </c>
    </row>
    <row r="44" spans="1:10">
      <c r="A44" s="34">
        <v>45292</v>
      </c>
      <c r="B44" s="35"/>
      <c r="C44" s="30"/>
      <c r="D44" s="29"/>
      <c r="E44" s="28">
        <v>210</v>
      </c>
      <c r="F44" s="30">
        <f>I43</f>
        <v>8.765625</v>
      </c>
      <c r="G44" s="29">
        <f>E44*F44</f>
        <v>1840.78125</v>
      </c>
      <c r="H44" s="28">
        <f>H43-E44</f>
        <v>30</v>
      </c>
      <c r="I44" s="30">
        <f t="shared" si="0"/>
        <v>8.765625</v>
      </c>
      <c r="J44" s="29">
        <f>J43-G44</f>
        <v>262.96875</v>
      </c>
    </row>
    <row r="45" spans="1:10">
      <c r="A45" s="34">
        <v>46388</v>
      </c>
      <c r="B45" s="35">
        <v>90</v>
      </c>
      <c r="C45" s="30">
        <v>10</v>
      </c>
      <c r="D45" s="29">
        <f>B45*C45</f>
        <v>900</v>
      </c>
      <c r="E45" s="28"/>
      <c r="F45" s="27"/>
      <c r="G45" s="29"/>
      <c r="H45" s="28">
        <f>H44+B45</f>
        <v>120</v>
      </c>
      <c r="I45" s="30">
        <f t="shared" si="0"/>
        <v>9.69140625</v>
      </c>
      <c r="J45" s="29">
        <f>J44+D45</f>
        <v>1162.96875</v>
      </c>
    </row>
    <row r="46" spans="1:10" ht="15.75" thickBot="1">
      <c r="A46" s="37">
        <v>10959</v>
      </c>
      <c r="B46" s="38"/>
      <c r="C46" s="10"/>
      <c r="D46" s="39"/>
      <c r="E46" s="9">
        <v>30</v>
      </c>
      <c r="F46" s="40">
        <f>I45</f>
        <v>9.69140625</v>
      </c>
      <c r="G46" s="11">
        <f>E46*F46</f>
        <v>290.7421875</v>
      </c>
      <c r="H46" s="9">
        <f>H45-E46</f>
        <v>90</v>
      </c>
      <c r="I46" s="10">
        <f t="shared" si="0"/>
        <v>9.69140625</v>
      </c>
      <c r="J46" s="39">
        <f>J45-G46</f>
        <v>872.2265625</v>
      </c>
    </row>
  </sheetData>
  <mergeCells count="124">
    <mergeCell ref="B1:J1"/>
    <mergeCell ref="B2:D2"/>
    <mergeCell ref="E2:G2"/>
    <mergeCell ref="H2:J2"/>
    <mergeCell ref="A5:A6"/>
    <mergeCell ref="B5:B6"/>
    <mergeCell ref="C5:C6"/>
    <mergeCell ref="D5:D6"/>
    <mergeCell ref="E5:E6"/>
    <mergeCell ref="F5:F6"/>
    <mergeCell ref="A1:A3"/>
    <mergeCell ref="G5:G6"/>
    <mergeCell ref="H5:H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J7:J8"/>
    <mergeCell ref="A9:A11"/>
    <mergeCell ref="B9:B11"/>
    <mergeCell ref="C9:C11"/>
    <mergeCell ref="D9:D11"/>
    <mergeCell ref="E9:E11"/>
    <mergeCell ref="G9:G11"/>
    <mergeCell ref="H9:H11"/>
    <mergeCell ref="J9:J11"/>
    <mergeCell ref="F9:F11"/>
    <mergeCell ref="G12:G14"/>
    <mergeCell ref="H12:H14"/>
    <mergeCell ref="J12:J14"/>
    <mergeCell ref="A15:A16"/>
    <mergeCell ref="B15:B16"/>
    <mergeCell ref="C15:C16"/>
    <mergeCell ref="D15:D16"/>
    <mergeCell ref="E15:E16"/>
    <mergeCell ref="G15:G16"/>
    <mergeCell ref="H15:H16"/>
    <mergeCell ref="A12:A14"/>
    <mergeCell ref="B12:B14"/>
    <mergeCell ref="C12:C14"/>
    <mergeCell ref="D12:D14"/>
    <mergeCell ref="E12:E14"/>
    <mergeCell ref="F15:F16"/>
    <mergeCell ref="I12:I14"/>
    <mergeCell ref="J15:J16"/>
    <mergeCell ref="A17:A18"/>
    <mergeCell ref="B17:B18"/>
    <mergeCell ref="C17:C18"/>
    <mergeCell ref="D17:D18"/>
    <mergeCell ref="E17:E18"/>
    <mergeCell ref="F17:F18"/>
    <mergeCell ref="G17:G18"/>
    <mergeCell ref="H17:H18"/>
    <mergeCell ref="J17:J18"/>
    <mergeCell ref="I17:I18"/>
    <mergeCell ref="B20:J20"/>
    <mergeCell ref="B21:D21"/>
    <mergeCell ref="E21:G21"/>
    <mergeCell ref="H21:J21"/>
    <mergeCell ref="A24:A25"/>
    <mergeCell ref="B24:B25"/>
    <mergeCell ref="C24:C25"/>
    <mergeCell ref="D24:D25"/>
    <mergeCell ref="E24:E25"/>
    <mergeCell ref="A20:A22"/>
    <mergeCell ref="F24:F25"/>
    <mergeCell ref="G24:G25"/>
    <mergeCell ref="H24:H25"/>
    <mergeCell ref="J24:J25"/>
    <mergeCell ref="A26:A27"/>
    <mergeCell ref="B26:B27"/>
    <mergeCell ref="C26:C27"/>
    <mergeCell ref="D26:D27"/>
    <mergeCell ref="E26:E27"/>
    <mergeCell ref="I26:I27"/>
    <mergeCell ref="G26:G27"/>
    <mergeCell ref="H26:H27"/>
    <mergeCell ref="J26:J27"/>
    <mergeCell ref="A28:A29"/>
    <mergeCell ref="B28:B29"/>
    <mergeCell ref="C28:C29"/>
    <mergeCell ref="D28:D29"/>
    <mergeCell ref="E28:E29"/>
    <mergeCell ref="F28:F29"/>
    <mergeCell ref="G28:G29"/>
    <mergeCell ref="H28:H29"/>
    <mergeCell ref="J28:J29"/>
    <mergeCell ref="A30:A31"/>
    <mergeCell ref="B30:B31"/>
    <mergeCell ref="C30:C31"/>
    <mergeCell ref="D30:D31"/>
    <mergeCell ref="E30:E31"/>
    <mergeCell ref="G30:G31"/>
    <mergeCell ref="H30:H31"/>
    <mergeCell ref="I30:I31"/>
    <mergeCell ref="J30:J31"/>
    <mergeCell ref="A32:A33"/>
    <mergeCell ref="B32:B33"/>
    <mergeCell ref="C32:C33"/>
    <mergeCell ref="D32:D33"/>
    <mergeCell ref="E32:E33"/>
    <mergeCell ref="F32:F33"/>
    <mergeCell ref="G32:G33"/>
    <mergeCell ref="H32:H33"/>
    <mergeCell ref="J32:J33"/>
    <mergeCell ref="A37:A39"/>
    <mergeCell ref="B37:J37"/>
    <mergeCell ref="B38:D38"/>
    <mergeCell ref="E38:G38"/>
    <mergeCell ref="H38:J38"/>
    <mergeCell ref="A34:A35"/>
    <mergeCell ref="B34:B35"/>
    <mergeCell ref="C34:C35"/>
    <mergeCell ref="D34:D35"/>
    <mergeCell ref="E34:E35"/>
    <mergeCell ref="F34:F35"/>
    <mergeCell ref="G34:G35"/>
    <mergeCell ref="H34:H35"/>
    <mergeCell ref="J34:J35"/>
  </mergeCell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3"/>
  <dimension ref="A1:P24"/>
  <sheetViews>
    <sheetView workbookViewId="0"/>
  </sheetViews>
  <sheetFormatPr baseColWidth="10" defaultRowHeight="12.75"/>
  <cols>
    <col min="1" max="1" width="33.85546875" style="1" bestFit="1" customWidth="1"/>
    <col min="2" max="2" width="22.140625" style="1" bestFit="1" customWidth="1"/>
    <col min="3" max="3" width="9.85546875" style="1" bestFit="1" customWidth="1"/>
    <col min="4" max="4" width="8.85546875" style="1" bestFit="1" customWidth="1"/>
    <col min="5" max="5" width="7.85546875" style="1" bestFit="1" customWidth="1"/>
    <col min="6" max="7" width="8.85546875" style="1" bestFit="1" customWidth="1"/>
    <col min="8" max="8" width="9.85546875" style="1" bestFit="1" customWidth="1"/>
    <col min="9" max="9" width="11.42578125" style="54"/>
    <col min="10" max="10" width="22.140625" style="1" bestFit="1" customWidth="1"/>
    <col min="11" max="15" width="6.42578125" style="1" bestFit="1" customWidth="1"/>
    <col min="16" max="16" width="10.85546875" style="1" bestFit="1" customWidth="1"/>
    <col min="17" max="16384" width="11.42578125" style="1"/>
  </cols>
  <sheetData>
    <row r="1" spans="1:16" ht="13.5" thickBot="1">
      <c r="A1" s="61" t="s">
        <v>101</v>
      </c>
      <c r="B1" s="61" t="s">
        <v>102</v>
      </c>
      <c r="C1" s="61" t="s">
        <v>95</v>
      </c>
      <c r="D1" s="61" t="s">
        <v>96</v>
      </c>
      <c r="E1" s="61" t="s">
        <v>97</v>
      </c>
      <c r="F1" s="61">
        <v>1</v>
      </c>
      <c r="G1" s="61">
        <v>2</v>
      </c>
      <c r="H1" s="61" t="s">
        <v>94</v>
      </c>
      <c r="J1" s="49" t="s">
        <v>102</v>
      </c>
      <c r="K1" s="50" t="s">
        <v>95</v>
      </c>
      <c r="L1" s="50" t="s">
        <v>96</v>
      </c>
      <c r="M1" s="50" t="s">
        <v>97</v>
      </c>
      <c r="N1" s="50">
        <v>1</v>
      </c>
      <c r="O1" s="50">
        <v>2</v>
      </c>
      <c r="P1" s="51" t="s">
        <v>94</v>
      </c>
    </row>
    <row r="2" spans="1:16" ht="13.5" thickBot="1">
      <c r="A2" s="62" t="s">
        <v>86</v>
      </c>
      <c r="B2" s="63" t="s">
        <v>98</v>
      </c>
      <c r="C2" s="64">
        <f>K2*I2</f>
        <v>800</v>
      </c>
      <c r="D2" s="64">
        <f>L2*I2</f>
        <v>400</v>
      </c>
      <c r="E2" s="64">
        <f>M2*I2</f>
        <v>160</v>
      </c>
      <c r="F2" s="64">
        <f>N2*I2</f>
        <v>600</v>
      </c>
      <c r="G2" s="64">
        <f>O2*I2</f>
        <v>439.99999999999994</v>
      </c>
      <c r="H2" s="64">
        <f t="shared" ref="H2:H21" si="0">SUM(C2:G2)</f>
        <v>2400</v>
      </c>
      <c r="I2" s="55">
        <v>2400</v>
      </c>
      <c r="J2" s="56" t="s">
        <v>98</v>
      </c>
      <c r="K2" s="57">
        <f>10000/P2</f>
        <v>0.33333333333333331</v>
      </c>
      <c r="L2" s="57">
        <f>5000/P2</f>
        <v>0.16666666666666666</v>
      </c>
      <c r="M2" s="57">
        <f>2000/P2</f>
        <v>6.6666666666666666E-2</v>
      </c>
      <c r="N2" s="57">
        <f>7500/P2</f>
        <v>0.25</v>
      </c>
      <c r="O2" s="57">
        <f>5500/P2</f>
        <v>0.18333333333333332</v>
      </c>
      <c r="P2" s="52">
        <v>30000</v>
      </c>
    </row>
    <row r="3" spans="1:16" ht="13.5" thickBot="1">
      <c r="A3" s="65" t="s">
        <v>89</v>
      </c>
      <c r="B3" s="63" t="s">
        <v>98</v>
      </c>
      <c r="C3" s="64">
        <f>K2*I3</f>
        <v>1057.3333333333333</v>
      </c>
      <c r="D3" s="64">
        <f>L2*I3</f>
        <v>528.66666666666663</v>
      </c>
      <c r="E3" s="64">
        <f>M2*I3</f>
        <v>211.46666666666667</v>
      </c>
      <c r="F3" s="64">
        <f>N2*I3</f>
        <v>793</v>
      </c>
      <c r="G3" s="64">
        <f>O2*I3</f>
        <v>581.5333333333333</v>
      </c>
      <c r="H3" s="64">
        <f t="shared" si="0"/>
        <v>3172</v>
      </c>
      <c r="I3" s="55">
        <v>3172</v>
      </c>
      <c r="J3" s="53" t="s">
        <v>100</v>
      </c>
      <c r="K3" s="57">
        <f>76180/P3</f>
        <v>0.47226716757487275</v>
      </c>
      <c r="L3" s="57">
        <f>28472/P3</f>
        <v>0.17650814905738746</v>
      </c>
      <c r="M3" s="57">
        <f>9975/P3</f>
        <v>6.1838605888151169E-2</v>
      </c>
      <c r="N3" s="57">
        <f>37230/P3</f>
        <v>0.23080213505923489</v>
      </c>
      <c r="O3" s="57">
        <f>9450/P3</f>
        <v>5.8583942420353738E-2</v>
      </c>
      <c r="P3" s="52">
        <v>161307</v>
      </c>
    </row>
    <row r="4" spans="1:16" ht="13.5" thickBot="1">
      <c r="A4" s="65" t="s">
        <v>103</v>
      </c>
      <c r="B4" s="63" t="s">
        <v>98</v>
      </c>
      <c r="C4" s="64">
        <f>K2*I4</f>
        <v>181.5</v>
      </c>
      <c r="D4" s="64">
        <f>L2*I4</f>
        <v>90.75</v>
      </c>
      <c r="E4" s="64">
        <f>M2*I4</f>
        <v>36.299999999999997</v>
      </c>
      <c r="F4" s="64">
        <f>N2*I4</f>
        <v>136.125</v>
      </c>
      <c r="G4" s="64">
        <f>O2*I4</f>
        <v>99.824999999999989</v>
      </c>
      <c r="H4" s="64">
        <f t="shared" si="0"/>
        <v>544.5</v>
      </c>
      <c r="I4" s="55">
        <v>544.5</v>
      </c>
      <c r="J4" s="56" t="s">
        <v>105</v>
      </c>
      <c r="K4" s="57">
        <f>623225/P4</f>
        <v>0.61157630609775604</v>
      </c>
      <c r="L4" s="57">
        <f>250960/P4</f>
        <v>0.24626930848135561</v>
      </c>
      <c r="M4" s="57">
        <f>20210/P4</f>
        <v>1.983225503828577E-2</v>
      </c>
      <c r="N4" s="57">
        <f>112862/P4</f>
        <v>0.11075249718609642</v>
      </c>
      <c r="O4" s="57">
        <f>11790/P4</f>
        <v>1.1569633196506147E-2</v>
      </c>
      <c r="P4" s="52">
        <v>1019047</v>
      </c>
    </row>
    <row r="5" spans="1:16" ht="13.5" thickBot="1">
      <c r="A5" s="62" t="s">
        <v>87</v>
      </c>
      <c r="B5" s="66" t="s">
        <v>100</v>
      </c>
      <c r="C5" s="64">
        <f>K3*I5</f>
        <v>1150.44282021239</v>
      </c>
      <c r="D5" s="64">
        <f>L3*I5</f>
        <v>429.97385110379582</v>
      </c>
      <c r="E5" s="64">
        <f>M3*I5</f>
        <v>150.63884394353624</v>
      </c>
      <c r="F5" s="64">
        <f>N3*I5</f>
        <v>562.23400100429615</v>
      </c>
      <c r="G5" s="64">
        <f>O3*I5</f>
        <v>142.71048373598171</v>
      </c>
      <c r="H5" s="64">
        <f t="shared" si="0"/>
        <v>2436</v>
      </c>
      <c r="I5" s="55">
        <v>2436</v>
      </c>
      <c r="J5" s="56" t="s">
        <v>104</v>
      </c>
      <c r="K5" s="57">
        <f>31912/P5</f>
        <v>0.75778875379939215</v>
      </c>
      <c r="L5" s="57">
        <f>9640/P5</f>
        <v>0.22891337386018237</v>
      </c>
      <c r="M5" s="57">
        <f>560/P5</f>
        <v>1.3297872340425532E-2</v>
      </c>
      <c r="N5" s="57"/>
      <c r="O5" s="57"/>
      <c r="P5" s="52">
        <f>31912+9640+560</f>
        <v>42112</v>
      </c>
    </row>
    <row r="6" spans="1:16" ht="13.5" thickBot="1">
      <c r="A6" s="62" t="s">
        <v>88</v>
      </c>
      <c r="B6" s="66" t="s">
        <v>100</v>
      </c>
      <c r="C6" s="64">
        <f>K3*I6</f>
        <v>2833.6030054492367</v>
      </c>
      <c r="D6" s="64">
        <f>L3*I6</f>
        <v>1059.0488943443247</v>
      </c>
      <c r="E6" s="64">
        <f>M3*I6</f>
        <v>371.03163532890699</v>
      </c>
      <c r="F6" s="64">
        <f>N3*I6</f>
        <v>1384.8128103554093</v>
      </c>
      <c r="G6" s="64">
        <f>O3*I6</f>
        <v>351.50365452212242</v>
      </c>
      <c r="H6" s="64">
        <f t="shared" si="0"/>
        <v>6000</v>
      </c>
      <c r="I6" s="55">
        <v>6000</v>
      </c>
      <c r="J6" s="56" t="s">
        <v>99</v>
      </c>
      <c r="K6" s="57">
        <f>52000/P6</f>
        <v>0.67567567567567566</v>
      </c>
      <c r="L6" s="57">
        <f>20800/P6</f>
        <v>0.27027027027027029</v>
      </c>
      <c r="M6" s="57">
        <f>4160/P6</f>
        <v>5.4054054054054057E-2</v>
      </c>
      <c r="N6" s="57"/>
      <c r="O6" s="57"/>
      <c r="P6" s="52">
        <f>52000+20800+4160</f>
        <v>76960</v>
      </c>
    </row>
    <row r="7" spans="1:16" ht="13.5" thickBot="1">
      <c r="A7" s="62" t="s">
        <v>90</v>
      </c>
      <c r="B7" s="66" t="s">
        <v>100</v>
      </c>
      <c r="C7" s="64">
        <f>K3*I7</f>
        <v>1708.1903451183148</v>
      </c>
      <c r="D7" s="64">
        <f>L3*I7</f>
        <v>638.42997514057049</v>
      </c>
      <c r="E7" s="64">
        <f>M3*I7</f>
        <v>223.67023749744277</v>
      </c>
      <c r="F7" s="64">
        <f>N3*I7</f>
        <v>834.81132250925259</v>
      </c>
      <c r="G7" s="64">
        <f>O3*I7</f>
        <v>211.89811973441948</v>
      </c>
      <c r="H7" s="64">
        <f t="shared" si="0"/>
        <v>3617.0000000000005</v>
      </c>
      <c r="I7" s="58">
        <v>3617</v>
      </c>
      <c r="J7" s="36"/>
      <c r="K7" s="59"/>
      <c r="L7" s="59"/>
      <c r="M7" s="59"/>
      <c r="N7" s="59"/>
      <c r="O7" s="59"/>
      <c r="P7" s="60"/>
    </row>
    <row r="8" spans="1:16" ht="13.5" thickBot="1">
      <c r="A8" s="62" t="s">
        <v>91</v>
      </c>
      <c r="B8" s="66" t="s">
        <v>100</v>
      </c>
      <c r="C8" s="64">
        <f>K3*I8</f>
        <v>4349.5806133645783</v>
      </c>
      <c r="D8" s="64">
        <f>L3*I8</f>
        <v>1625.6400528185386</v>
      </c>
      <c r="E8" s="64">
        <f>M3*I8</f>
        <v>569.53356022987225</v>
      </c>
      <c r="F8" s="64">
        <f>N3*I8</f>
        <v>2125.6876638955532</v>
      </c>
      <c r="G8" s="64">
        <f>O3*I8</f>
        <v>539.55810969145796</v>
      </c>
      <c r="H8" s="64">
        <f t="shared" si="0"/>
        <v>9210</v>
      </c>
      <c r="I8" s="58">
        <v>9210</v>
      </c>
    </row>
    <row r="9" spans="1:16" ht="13.5" thickBot="1">
      <c r="A9" s="62" t="s">
        <v>92</v>
      </c>
      <c r="B9" s="66" t="s">
        <v>100</v>
      </c>
      <c r="C9" s="64">
        <f>K3*I9</f>
        <v>415.12284029831312</v>
      </c>
      <c r="D9" s="64">
        <f>L3*I9</f>
        <v>155.15066302144356</v>
      </c>
      <c r="E9" s="64">
        <f>M3*I9</f>
        <v>54.356134575684877</v>
      </c>
      <c r="F9" s="64">
        <f>N3*I9</f>
        <v>202.87507671706746</v>
      </c>
      <c r="G9" s="64">
        <f>O3*I9</f>
        <v>51.495285387490938</v>
      </c>
      <c r="H9" s="64">
        <f t="shared" si="0"/>
        <v>879</v>
      </c>
      <c r="I9" s="58">
        <v>879</v>
      </c>
    </row>
    <row r="10" spans="1:16" ht="13.5" thickBot="1">
      <c r="A10" s="62" t="s">
        <v>93</v>
      </c>
      <c r="B10" s="66" t="s">
        <v>100</v>
      </c>
      <c r="C10" s="64">
        <f>K3*I10</f>
        <v>572.38780710074582</v>
      </c>
      <c r="D10" s="64">
        <f>L3*I10</f>
        <v>213.92787665755361</v>
      </c>
      <c r="E10" s="64">
        <f>M3*I10</f>
        <v>74.948390336439218</v>
      </c>
      <c r="F10" s="64">
        <f>N3*I10</f>
        <v>279.73218769179266</v>
      </c>
      <c r="G10" s="64">
        <f>O3*I10</f>
        <v>71.003738213468736</v>
      </c>
      <c r="H10" s="64">
        <f t="shared" si="0"/>
        <v>1212</v>
      </c>
      <c r="I10" s="58">
        <v>1212</v>
      </c>
    </row>
    <row r="11" spans="1:16" ht="13.5" thickBot="1">
      <c r="A11" s="62" t="s">
        <v>106</v>
      </c>
      <c r="B11" s="63" t="s">
        <v>105</v>
      </c>
      <c r="C11" s="64">
        <f>K4*I11</f>
        <v>2578.4057065081392</v>
      </c>
      <c r="D11" s="64">
        <f>L4*I11</f>
        <v>1038.2714045573953</v>
      </c>
      <c r="E11" s="64">
        <f>M4*I11</f>
        <v>83.612787241412803</v>
      </c>
      <c r="F11" s="64">
        <f>N4*I11</f>
        <v>466.9325281365825</v>
      </c>
      <c r="G11" s="64">
        <f>O4*I11</f>
        <v>48.777573556469918</v>
      </c>
      <c r="H11" s="64">
        <f t="shared" si="0"/>
        <v>4216</v>
      </c>
      <c r="I11" s="58">
        <v>4216</v>
      </c>
    </row>
    <row r="12" spans="1:16" ht="13.5" thickBot="1">
      <c r="A12" s="62" t="s">
        <v>107</v>
      </c>
      <c r="B12" s="63" t="s">
        <v>105</v>
      </c>
      <c r="C12" s="64">
        <f>K4*I12</f>
        <v>18964.981252091417</v>
      </c>
      <c r="D12" s="64">
        <f>L4*I12</f>
        <v>7636.8112560068375</v>
      </c>
      <c r="E12" s="64">
        <f>M4*I12</f>
        <v>614.99822873724179</v>
      </c>
      <c r="F12" s="64">
        <f>N4*I12</f>
        <v>3434.4349377408498</v>
      </c>
      <c r="G12" s="64">
        <f>O4*I12</f>
        <v>358.77432542365563</v>
      </c>
      <c r="H12" s="64">
        <f t="shared" si="0"/>
        <v>31010</v>
      </c>
      <c r="I12" s="58">
        <v>31010</v>
      </c>
    </row>
    <row r="13" spans="1:16" ht="13.5" thickBot="1">
      <c r="A13" s="65" t="s">
        <v>108</v>
      </c>
      <c r="B13" s="63" t="s">
        <v>105</v>
      </c>
      <c r="C13" s="64">
        <f>K4*I13</f>
        <v>999.00989601068454</v>
      </c>
      <c r="D13" s="64">
        <f>L4*I13</f>
        <v>402.28091540429438</v>
      </c>
      <c r="E13" s="64">
        <f>M4*I13</f>
        <v>32.395988605039804</v>
      </c>
      <c r="F13" s="64">
        <f>N4*I13</f>
        <v>180.9142041534885</v>
      </c>
      <c r="G13" s="64">
        <f>O4*I13</f>
        <v>18.898995826492794</v>
      </c>
      <c r="H13" s="64">
        <f t="shared" si="0"/>
        <v>1633.5</v>
      </c>
      <c r="I13" s="55">
        <v>1633.5</v>
      </c>
    </row>
    <row r="14" spans="1:16" ht="13.5" thickBot="1">
      <c r="A14" s="62" t="s">
        <v>109</v>
      </c>
      <c r="B14" s="63" t="s">
        <v>105</v>
      </c>
      <c r="C14" s="64">
        <f>K4*I14</f>
        <v>26175.46590098396</v>
      </c>
      <c r="D14" s="64">
        <f>L4*I14</f>
        <v>10540.32640300202</v>
      </c>
      <c r="E14" s="64">
        <f>M4*I14</f>
        <v>848.82051563863092</v>
      </c>
      <c r="F14" s="64">
        <f>N4*I14</f>
        <v>4740.2068795649266</v>
      </c>
      <c r="G14" s="64">
        <f>O4*I14</f>
        <v>495.18030081046311</v>
      </c>
      <c r="H14" s="64">
        <f t="shared" si="0"/>
        <v>42800</v>
      </c>
      <c r="I14" s="55">
        <v>42800</v>
      </c>
    </row>
    <row r="15" spans="1:16" ht="13.5" thickBot="1">
      <c r="A15" s="62" t="s">
        <v>110</v>
      </c>
      <c r="B15" s="63"/>
      <c r="C15" s="64">
        <v>0</v>
      </c>
      <c r="D15" s="64">
        <v>0</v>
      </c>
      <c r="E15" s="64">
        <v>0</v>
      </c>
      <c r="F15" s="64">
        <v>0</v>
      </c>
      <c r="G15" s="64">
        <v>9450</v>
      </c>
      <c r="H15" s="64">
        <f t="shared" si="0"/>
        <v>9450</v>
      </c>
      <c r="I15" s="55">
        <v>9450</v>
      </c>
    </row>
    <row r="16" spans="1:16" ht="13.5" thickBot="1">
      <c r="A16" s="62" t="s">
        <v>111</v>
      </c>
      <c r="B16" s="63"/>
      <c r="C16" s="64">
        <v>0</v>
      </c>
      <c r="D16" s="64">
        <v>0</v>
      </c>
      <c r="E16" s="64">
        <v>0</v>
      </c>
      <c r="F16" s="64">
        <v>37240</v>
      </c>
      <c r="G16" s="64">
        <v>0</v>
      </c>
      <c r="H16" s="64">
        <f t="shared" si="0"/>
        <v>37240</v>
      </c>
      <c r="I16" s="55">
        <v>37240</v>
      </c>
    </row>
    <row r="17" spans="1:9" ht="13.5" thickBot="1">
      <c r="A17" s="62"/>
      <c r="B17" s="63" t="s">
        <v>104</v>
      </c>
      <c r="C17" s="64">
        <f>SUM(C2:C16)</f>
        <v>61786.023520471113</v>
      </c>
      <c r="D17" s="64">
        <f>SUM(D2:D16)</f>
        <v>24759.27795872344</v>
      </c>
      <c r="E17" s="64">
        <f>SUM(E2:E16)</f>
        <v>3431.7729888008744</v>
      </c>
      <c r="F17" s="64">
        <f>SUM(F2:F16)</f>
        <v>52981.766611769221</v>
      </c>
      <c r="G17" s="64">
        <f>SUM(G2:G16)</f>
        <v>12861.158920235357</v>
      </c>
      <c r="H17" s="64">
        <f t="shared" si="0"/>
        <v>155820</v>
      </c>
      <c r="I17" s="55">
        <f>SUM(I2:I16)</f>
        <v>155820</v>
      </c>
    </row>
    <row r="18" spans="1:9" ht="13.5" thickBot="1">
      <c r="A18" s="62"/>
      <c r="B18" s="63"/>
      <c r="C18" s="64">
        <f>K5*I18</f>
        <v>8771.4374315229779</v>
      </c>
      <c r="D18" s="64">
        <f>L5*I18</f>
        <v>2649.6821521647503</v>
      </c>
      <c r="E18" s="64">
        <f>M5*I18</f>
        <v>153.92344452409338</v>
      </c>
      <c r="F18" s="64">
        <f>G17*0.1</f>
        <v>1286.1158920235357</v>
      </c>
      <c r="G18" s="64">
        <v>0</v>
      </c>
      <c r="H18" s="64">
        <f t="shared" si="0"/>
        <v>12861.158920235357</v>
      </c>
      <c r="I18" s="58">
        <f>G17*0.9</f>
        <v>11575.043028211821</v>
      </c>
    </row>
    <row r="19" spans="1:9" ht="13.5" thickBot="1">
      <c r="A19" s="62"/>
      <c r="B19" s="63"/>
      <c r="C19" s="64">
        <f>C17+C18</f>
        <v>70557.460951994086</v>
      </c>
      <c r="D19" s="64">
        <f>D17+D18</f>
        <v>27408.960110888191</v>
      </c>
      <c r="E19" s="64">
        <f>E17+E18</f>
        <v>3585.696433324968</v>
      </c>
      <c r="F19" s="64">
        <f>F17+F18</f>
        <v>54267.88250379276</v>
      </c>
      <c r="G19" s="64">
        <v>0</v>
      </c>
      <c r="H19" s="64">
        <f t="shared" si="0"/>
        <v>155820</v>
      </c>
      <c r="I19" s="58"/>
    </row>
    <row r="20" spans="1:9" ht="13.5" thickBot="1">
      <c r="A20" s="62"/>
      <c r="B20" s="63" t="s">
        <v>99</v>
      </c>
      <c r="C20" s="64">
        <f>K6*F19</f>
        <v>36667.488178238353</v>
      </c>
      <c r="D20" s="64">
        <f>L6*F19</f>
        <v>14666.995271295342</v>
      </c>
      <c r="E20" s="64">
        <f>M6*F19</f>
        <v>2933.3990542590682</v>
      </c>
      <c r="F20" s="64">
        <v>0</v>
      </c>
      <c r="G20" s="64">
        <v>0</v>
      </c>
      <c r="H20" s="64">
        <f t="shared" si="0"/>
        <v>54267.882503792767</v>
      </c>
      <c r="I20" s="58"/>
    </row>
    <row r="21" spans="1:9" ht="13.5" thickBot="1">
      <c r="A21" s="62"/>
      <c r="B21" s="63"/>
      <c r="C21" s="64">
        <f>C19+C20</f>
        <v>107224.94913023245</v>
      </c>
      <c r="D21" s="64">
        <f>D19+D20</f>
        <v>42075.955382183529</v>
      </c>
      <c r="E21" s="64">
        <f>E19+E20</f>
        <v>6519.0954875840362</v>
      </c>
      <c r="F21" s="64">
        <v>0</v>
      </c>
      <c r="G21" s="64">
        <v>0</v>
      </c>
      <c r="H21" s="64">
        <f t="shared" si="0"/>
        <v>155820.00000000003</v>
      </c>
      <c r="I21" s="58"/>
    </row>
    <row r="24" spans="1:9">
      <c r="H24" s="5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segundo examen parcial 01</vt:lpstr>
      <vt:lpstr>segundo examen parcial 02</vt:lpstr>
      <vt:lpstr>segundo examen parcial 03</vt:lpstr>
      <vt:lpstr>tercer examen parcial 01</vt:lpstr>
      <vt:lpstr>tercer examen parcial 03</vt:lpstr>
      <vt:lpstr>EJERCICIO 1</vt:lpstr>
      <vt:lpstr>EJERCICIO 2</vt:lpstr>
      <vt:lpstr>EJERCICIO 3</vt:lpstr>
      <vt:lpstr>EJERCICIO 8</vt:lpstr>
      <vt:lpstr>EJERCICIO 9</vt:lpstr>
      <vt:lpstr>EJERCICIO 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2010-12-03T02:45:13Z</dcterms:modified>
</cp:coreProperties>
</file>